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0116"/>
  <workbookPr autoCompressPictures="0"/>
  <mc:AlternateContent xmlns:mc="http://schemas.openxmlformats.org/markup-compatibility/2006">
    <mc:Choice Requires="x15">
      <x15ac:absPath xmlns:x15ac="http://schemas.microsoft.com/office/spreadsheetml/2010/11/ac" url="/Users/Lotte/Dropbox/project mixed effects and multilevel models/"/>
    </mc:Choice>
  </mc:AlternateContent>
  <bookViews>
    <workbookView xWindow="600" yWindow="900" windowWidth="25600" windowHeight="16000" tabRatio="744" xr2:uid="{00000000-000D-0000-FFFF-FFFF00000000}"/>
  </bookViews>
  <sheets>
    <sheet name="All Data" sheetId="2" r:id="rId1"/>
    <sheet name="Gender" sheetId="5" r:id="rId2"/>
    <sheet name="Age" sheetId="6" r:id="rId3"/>
    <sheet name="Position" sheetId="7" r:id="rId4"/>
    <sheet name="Institution" sheetId="8" r:id="rId5"/>
    <sheet name="discipline" sheetId="9" r:id="rId6"/>
    <sheet name="challenges" sheetId="11" r:id="rId7"/>
    <sheet name="concerns1" sheetId="28" r:id="rId8"/>
    <sheet name="concerns2" sheetId="13" r:id="rId9"/>
    <sheet name="use y-n" sheetId="14" r:id="rId10"/>
    <sheet name="first use" sheetId="15" r:id="rId11"/>
    <sheet name="how often" sheetId="16" r:id="rId12"/>
    <sheet name="software" sheetId="17" r:id="rId13"/>
    <sheet name="training" sheetId="18" r:id="rId14"/>
    <sheet name="formula" sheetId="19" r:id="rId15"/>
    <sheet name="variance" sheetId="20" r:id="rId16"/>
    <sheet name="report" sheetId="21" r:id="rId17"/>
    <sheet name="results" sheetId="23" r:id="rId18"/>
    <sheet name="future use" sheetId="24" r:id="rId19"/>
    <sheet name="interest" sheetId="25" r:id="rId20"/>
    <sheet name="preferred report" sheetId="26" r:id="rId21"/>
    <sheet name="analysis code" sheetId="27" r:id="rId22"/>
    <sheet name="Mixed model pubmed citations" sheetId="29" r:id="rId23"/>
  </sheets>
  <definedNames>
    <definedName name="_xlnm._FilterDatabase" localSheetId="6" hidden="1">challenges!$I$1:$K$57</definedName>
  </definedNames>
  <calcPr calcId="171027" concurrentCalc="0"/>
  <extLst>
    <ext xmlns:mx="http://schemas.microsoft.com/office/mac/excel/2008/main" uri="{7523E5D3-25F3-A5E0-1632-64F254C22452}">
      <mx:ArchID Flags="2"/>
    </ext>
  </extLst>
</workbook>
</file>

<file path=xl/calcChain.xml><?xml version="1.0" encoding="utf-8"?>
<calcChain xmlns="http://schemas.openxmlformats.org/spreadsheetml/2006/main">
  <c r="F24" i="27" l="1"/>
  <c r="F28" i="27"/>
  <c r="G27" i="27"/>
  <c r="G28" i="27"/>
  <c r="H28" i="27"/>
  <c r="I26" i="27"/>
  <c r="G26" i="27"/>
  <c r="F26" i="27"/>
  <c r="F8" i="27"/>
  <c r="F12" i="27"/>
  <c r="F18" i="27"/>
  <c r="F17" i="27"/>
  <c r="F16" i="27"/>
  <c r="I15" i="27"/>
  <c r="G15" i="27"/>
  <c r="G14" i="27"/>
  <c r="F14" i="27"/>
  <c r="L3" i="26"/>
  <c r="L2" i="26"/>
  <c r="L4" i="26"/>
  <c r="L5" i="26"/>
  <c r="L6" i="26"/>
  <c r="L7" i="26"/>
  <c r="L8" i="26"/>
  <c r="M3" i="26"/>
  <c r="M4" i="26"/>
  <c r="M5" i="26"/>
  <c r="M6" i="26"/>
  <c r="M7" i="26"/>
  <c r="M2" i="26"/>
  <c r="L28" i="26"/>
  <c r="L27" i="26"/>
  <c r="L19" i="26"/>
  <c r="L20" i="26"/>
  <c r="L18" i="26"/>
  <c r="L15" i="26"/>
  <c r="L14" i="26"/>
  <c r="L13" i="26"/>
  <c r="L12" i="26"/>
  <c r="L11" i="26"/>
  <c r="R3" i="23"/>
  <c r="R2" i="23"/>
  <c r="R4" i="23"/>
  <c r="R5" i="23"/>
  <c r="R6" i="23"/>
  <c r="R7" i="23"/>
  <c r="R8" i="23"/>
  <c r="R9" i="23"/>
  <c r="R10" i="23"/>
  <c r="R11" i="23"/>
  <c r="R12" i="23"/>
  <c r="R13" i="23"/>
  <c r="R14" i="23"/>
  <c r="R15" i="23"/>
  <c r="R16" i="23"/>
  <c r="R17" i="23"/>
  <c r="R18" i="23"/>
  <c r="R19" i="23"/>
  <c r="R20" i="23"/>
  <c r="R21" i="23"/>
  <c r="R22" i="23"/>
  <c r="R23" i="23"/>
  <c r="R24" i="23"/>
  <c r="R25" i="23"/>
  <c r="T3" i="23"/>
  <c r="T4" i="23"/>
  <c r="T5" i="23"/>
  <c r="T6" i="23"/>
  <c r="T7" i="23"/>
  <c r="T8" i="23"/>
  <c r="T9" i="23"/>
  <c r="T10" i="23"/>
  <c r="T11" i="23"/>
  <c r="T12" i="23"/>
  <c r="T13" i="23"/>
  <c r="T14" i="23"/>
  <c r="T15" i="23"/>
  <c r="T16" i="23"/>
  <c r="T17" i="23"/>
  <c r="T18" i="23"/>
  <c r="T19" i="23"/>
  <c r="T20" i="23"/>
  <c r="T21" i="23"/>
  <c r="T22" i="23"/>
  <c r="T23" i="23"/>
  <c r="T24" i="23"/>
  <c r="T2" i="23"/>
  <c r="L4" i="23"/>
  <c r="J4" i="23"/>
  <c r="M4" i="23"/>
  <c r="L3" i="23"/>
  <c r="J3" i="23"/>
  <c r="N3" i="23"/>
  <c r="M3" i="23"/>
  <c r="N4" i="23"/>
  <c r="K4" i="23"/>
  <c r="K3" i="23"/>
  <c r="G3" i="19"/>
  <c r="G2" i="19"/>
  <c r="L7" i="13"/>
  <c r="I5" i="13"/>
  <c r="L5" i="13"/>
  <c r="I6" i="13"/>
  <c r="L6" i="13"/>
  <c r="I8" i="13"/>
  <c r="L8" i="13"/>
  <c r="I9" i="13"/>
  <c r="L9" i="13"/>
  <c r="I10" i="13"/>
  <c r="L10" i="13"/>
  <c r="I11" i="13"/>
  <c r="L11" i="13"/>
  <c r="I12" i="13"/>
  <c r="L12" i="13"/>
  <c r="I13" i="13"/>
  <c r="L13" i="13"/>
  <c r="I14" i="13"/>
  <c r="L14" i="13"/>
  <c r="I15" i="13"/>
  <c r="L15" i="13"/>
  <c r="I16" i="13"/>
  <c r="L16" i="13"/>
  <c r="I17" i="13"/>
  <c r="L17" i="13"/>
  <c r="I18" i="13"/>
  <c r="L18" i="13"/>
  <c r="I19" i="13"/>
  <c r="L19" i="13"/>
  <c r="I20" i="13"/>
  <c r="L20" i="13"/>
  <c r="I21" i="13"/>
  <c r="L21" i="13"/>
  <c r="I22" i="13"/>
  <c r="L22" i="13"/>
  <c r="I23" i="13"/>
  <c r="L23" i="13"/>
  <c r="I24" i="13"/>
  <c r="L24" i="13"/>
  <c r="I25" i="13"/>
  <c r="L25" i="13"/>
  <c r="I26" i="13"/>
  <c r="L26" i="13"/>
  <c r="I27" i="13"/>
  <c r="L27" i="13"/>
  <c r="I28" i="13"/>
  <c r="L28" i="13"/>
  <c r="I29" i="13"/>
  <c r="L29" i="13"/>
  <c r="I4" i="13"/>
  <c r="L4" i="13"/>
  <c r="I2" i="13"/>
  <c r="I3" i="13"/>
  <c r="K3" i="13"/>
  <c r="K2" i="13"/>
  <c r="I5" i="28"/>
  <c r="L5" i="28"/>
  <c r="I6" i="28"/>
  <c r="L6" i="28"/>
  <c r="I7" i="28"/>
  <c r="L7" i="28"/>
  <c r="I8" i="28"/>
  <c r="L8" i="28"/>
  <c r="I9" i="28"/>
  <c r="L9" i="28"/>
  <c r="I10" i="28"/>
  <c r="L10" i="28"/>
  <c r="I11" i="28"/>
  <c r="L11" i="28"/>
  <c r="I12" i="28"/>
  <c r="L12" i="28"/>
  <c r="I13" i="28"/>
  <c r="L13" i="28"/>
  <c r="I14" i="28"/>
  <c r="L14" i="28"/>
  <c r="I15" i="28"/>
  <c r="L15" i="28"/>
  <c r="I16" i="28"/>
  <c r="L16" i="28"/>
  <c r="I17" i="28"/>
  <c r="L17" i="28"/>
  <c r="I18" i="28"/>
  <c r="L18" i="28"/>
  <c r="I19" i="28"/>
  <c r="L19" i="28"/>
  <c r="I20" i="28"/>
  <c r="L20" i="28"/>
  <c r="I21" i="28"/>
  <c r="L21" i="28"/>
  <c r="I22" i="28"/>
  <c r="L22" i="28"/>
  <c r="I23" i="28"/>
  <c r="L23" i="28"/>
  <c r="I24" i="28"/>
  <c r="L24" i="28"/>
  <c r="I25" i="28"/>
  <c r="L25" i="28"/>
  <c r="I26" i="28"/>
  <c r="L26" i="28"/>
  <c r="I27" i="28"/>
  <c r="L27" i="28"/>
  <c r="I28" i="28"/>
  <c r="L28" i="28"/>
  <c r="I29" i="28"/>
  <c r="L29" i="28"/>
  <c r="I30" i="28"/>
  <c r="L30" i="28"/>
  <c r="I31" i="28"/>
  <c r="L31" i="28"/>
  <c r="I32" i="28"/>
  <c r="L32" i="28"/>
  <c r="I33" i="28"/>
  <c r="L33" i="28"/>
  <c r="I34" i="28"/>
  <c r="L34" i="28"/>
  <c r="I35" i="28"/>
  <c r="L35" i="28"/>
  <c r="I36" i="28"/>
  <c r="L36" i="28"/>
  <c r="I37" i="28"/>
  <c r="L37" i="28"/>
  <c r="I38" i="28"/>
  <c r="L38" i="28"/>
  <c r="I39" i="28"/>
  <c r="L39" i="28"/>
  <c r="I40" i="28"/>
  <c r="L40" i="28"/>
  <c r="L41" i="28"/>
  <c r="L42" i="28"/>
  <c r="I4" i="28"/>
  <c r="L4" i="28"/>
  <c r="I2" i="28"/>
  <c r="I3" i="28"/>
  <c r="K3" i="28"/>
  <c r="K2" i="28"/>
  <c r="O20" i="11"/>
  <c r="O6" i="11"/>
  <c r="O16" i="11"/>
  <c r="O10" i="11"/>
  <c r="O7" i="11"/>
  <c r="O5" i="11"/>
  <c r="O3" i="11"/>
  <c r="O8" i="11"/>
  <c r="K3" i="11"/>
  <c r="N3" i="11"/>
  <c r="K4" i="11"/>
  <c r="N4" i="11"/>
  <c r="K5" i="11"/>
  <c r="N5" i="11"/>
  <c r="K6" i="11"/>
  <c r="N6" i="11"/>
  <c r="K7" i="11"/>
  <c r="N7" i="11"/>
  <c r="K8" i="11"/>
  <c r="N8" i="11"/>
  <c r="K9" i="11"/>
  <c r="N9" i="11"/>
  <c r="K10" i="11"/>
  <c r="N10" i="11"/>
  <c r="K11" i="11"/>
  <c r="N11" i="11"/>
  <c r="K12" i="11"/>
  <c r="N12" i="11"/>
  <c r="K13" i="11"/>
  <c r="N13" i="11"/>
  <c r="K14" i="11"/>
  <c r="N14" i="11"/>
  <c r="K15" i="11"/>
  <c r="N15" i="11"/>
  <c r="K16" i="11"/>
  <c r="N16" i="11"/>
  <c r="K17" i="11"/>
  <c r="N17" i="11"/>
  <c r="K18" i="11"/>
  <c r="N18" i="11"/>
  <c r="K19" i="11"/>
  <c r="N19" i="11"/>
  <c r="K20" i="11"/>
  <c r="N20" i="11"/>
  <c r="K21" i="11"/>
  <c r="N21" i="11"/>
  <c r="K22" i="11"/>
  <c r="N22" i="11"/>
  <c r="K23" i="11"/>
  <c r="N23" i="11"/>
  <c r="K24" i="11"/>
  <c r="N24" i="11"/>
  <c r="K25" i="11"/>
  <c r="N25" i="11"/>
  <c r="K26" i="11"/>
  <c r="N26" i="11"/>
  <c r="K27" i="11"/>
  <c r="N27" i="11"/>
  <c r="K28" i="11"/>
  <c r="N28" i="11"/>
  <c r="K29" i="11"/>
  <c r="N29" i="11"/>
  <c r="K30" i="11"/>
  <c r="N30" i="11"/>
  <c r="K31" i="11"/>
  <c r="N31" i="11"/>
  <c r="K32" i="11"/>
  <c r="N32" i="11"/>
  <c r="K33" i="11"/>
  <c r="N33" i="11"/>
  <c r="K34" i="11"/>
  <c r="N34" i="11"/>
  <c r="K35" i="11"/>
  <c r="N35" i="11"/>
  <c r="K36" i="11"/>
  <c r="N36" i="11"/>
  <c r="K37" i="11"/>
  <c r="N37" i="11"/>
  <c r="K38" i="11"/>
  <c r="N38" i="11"/>
  <c r="K39" i="11"/>
  <c r="N39" i="11"/>
  <c r="K40" i="11"/>
  <c r="N40" i="11"/>
  <c r="K41" i="11"/>
  <c r="N41" i="11"/>
  <c r="K42" i="11"/>
  <c r="N42" i="11"/>
  <c r="K43" i="11"/>
  <c r="N43" i="11"/>
  <c r="K44" i="11"/>
  <c r="N44" i="11"/>
  <c r="K45" i="11"/>
  <c r="N45" i="11"/>
  <c r="K46" i="11"/>
  <c r="N46" i="11"/>
  <c r="K47" i="11"/>
  <c r="N47" i="11"/>
  <c r="K48" i="11"/>
  <c r="N48" i="11"/>
  <c r="K49" i="11"/>
  <c r="N49" i="11"/>
  <c r="K50" i="11"/>
  <c r="N50" i="11"/>
  <c r="K51" i="11"/>
  <c r="N51" i="11"/>
  <c r="K52" i="11"/>
  <c r="N52" i="11"/>
  <c r="K53" i="11"/>
  <c r="N53" i="11"/>
  <c r="K54" i="11"/>
  <c r="N54" i="11"/>
  <c r="K55" i="11"/>
  <c r="N55" i="11"/>
  <c r="K56" i="11"/>
  <c r="N56" i="11"/>
  <c r="K57" i="11"/>
  <c r="N57" i="11"/>
  <c r="K2" i="11"/>
  <c r="N2" i="11"/>
  <c r="I22" i="17"/>
  <c r="K22" i="17"/>
  <c r="I21" i="17"/>
  <c r="K21" i="17"/>
  <c r="I20" i="17"/>
  <c r="K20" i="17"/>
  <c r="I19" i="17"/>
  <c r="K19" i="17"/>
  <c r="I17" i="17"/>
  <c r="K17" i="17"/>
  <c r="I16" i="17"/>
  <c r="K16" i="17"/>
  <c r="I15" i="17"/>
  <c r="K15" i="17"/>
  <c r="I13" i="17"/>
  <c r="K13" i="17"/>
  <c r="K14" i="17"/>
  <c r="K4" i="17"/>
  <c r="I3" i="17"/>
  <c r="K3" i="17"/>
  <c r="I4" i="17"/>
  <c r="E6" i="16"/>
  <c r="E5" i="16"/>
  <c r="E4" i="16"/>
  <c r="E7" i="6"/>
  <c r="E6" i="6"/>
  <c r="E3" i="6"/>
  <c r="H21" i="9"/>
  <c r="I30" i="9"/>
  <c r="I29" i="9"/>
  <c r="I28" i="9"/>
  <c r="I23" i="9"/>
  <c r="I24" i="9"/>
  <c r="I25" i="9"/>
  <c r="I26" i="9"/>
  <c r="I27" i="9"/>
  <c r="I22" i="9"/>
  <c r="P79" i="18"/>
  <c r="P78" i="18"/>
  <c r="P77" i="18"/>
  <c r="P76" i="18"/>
  <c r="P75" i="18"/>
  <c r="P74" i="18"/>
  <c r="P73" i="18"/>
  <c r="P72" i="18"/>
  <c r="P31" i="18"/>
  <c r="P71" i="18"/>
  <c r="P70" i="18"/>
  <c r="P40" i="18"/>
  <c r="P69" i="18"/>
  <c r="P68" i="18"/>
  <c r="P67" i="18"/>
  <c r="P66" i="18"/>
  <c r="P65" i="18"/>
  <c r="P64" i="18"/>
  <c r="P63" i="18"/>
  <c r="P62" i="18"/>
  <c r="P61" i="18"/>
  <c r="P39" i="18"/>
  <c r="P60" i="18"/>
  <c r="P59" i="18"/>
  <c r="P58" i="18"/>
  <c r="P38" i="18"/>
  <c r="P26" i="18"/>
  <c r="P57" i="18"/>
  <c r="P37" i="18"/>
  <c r="P22" i="18"/>
  <c r="P56" i="18"/>
  <c r="P36" i="18"/>
  <c r="P55" i="18"/>
  <c r="P54" i="18"/>
  <c r="P24" i="18"/>
  <c r="P16" i="18"/>
  <c r="P30" i="18"/>
  <c r="P23" i="18"/>
  <c r="P53" i="18"/>
  <c r="P35" i="18"/>
  <c r="P34" i="18"/>
  <c r="P52" i="18"/>
  <c r="P51" i="18"/>
  <c r="P29" i="18"/>
  <c r="P50" i="18"/>
  <c r="P80" i="18"/>
  <c r="P49" i="18"/>
  <c r="P48" i="18"/>
  <c r="P47" i="18"/>
  <c r="P46" i="18"/>
  <c r="P33" i="18"/>
  <c r="P25" i="18"/>
  <c r="P45" i="18"/>
  <c r="P28" i="18"/>
  <c r="P15" i="18"/>
  <c r="P14" i="18"/>
  <c r="P20" i="18"/>
  <c r="P44" i="18"/>
  <c r="P27" i="18"/>
  <c r="P43" i="18"/>
  <c r="P21" i="18"/>
  <c r="P19" i="18"/>
  <c r="P18" i="18"/>
  <c r="P12" i="18"/>
  <c r="P42" i="18"/>
  <c r="P13" i="18"/>
  <c r="P41" i="18"/>
  <c r="P32" i="18"/>
  <c r="P11" i="18"/>
  <c r="P17" i="18"/>
  <c r="P3" i="18"/>
  <c r="P7" i="18"/>
  <c r="P5" i="18"/>
  <c r="P4" i="18"/>
  <c r="P2" i="18"/>
  <c r="P6" i="18"/>
  <c r="I12" i="17"/>
  <c r="I10" i="17"/>
  <c r="I9" i="17"/>
  <c r="I8" i="17"/>
  <c r="I7" i="17"/>
  <c r="I6" i="17"/>
  <c r="I5" i="17"/>
  <c r="C2" i="15"/>
  <c r="C3" i="15"/>
  <c r="C4" i="15"/>
  <c r="C5" i="15"/>
  <c r="C8" i="15"/>
  <c r="C10" i="15"/>
  <c r="C11" i="15"/>
  <c r="C12" i="15"/>
  <c r="C13" i="15"/>
  <c r="C14" i="15"/>
  <c r="C17" i="15"/>
  <c r="C18" i="15"/>
  <c r="C19" i="15"/>
  <c r="C20" i="15"/>
  <c r="C22" i="15"/>
  <c r="C23" i="15"/>
  <c r="C24" i="15"/>
  <c r="C25" i="15"/>
  <c r="C26" i="15"/>
  <c r="C27" i="15"/>
  <c r="C29" i="15"/>
  <c r="C30" i="15"/>
  <c r="C31" i="15"/>
  <c r="C32" i="15"/>
  <c r="C33" i="15"/>
  <c r="C34" i="15"/>
  <c r="C35" i="15"/>
  <c r="C36" i="15"/>
  <c r="C37" i="15"/>
  <c r="C38" i="15"/>
  <c r="C39" i="15"/>
  <c r="C40" i="15"/>
  <c r="C41" i="15"/>
  <c r="C42" i="15"/>
  <c r="C43"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6" i="15"/>
  <c r="C77" i="15"/>
  <c r="C80" i="15"/>
  <c r="C81" i="15"/>
  <c r="C82" i="15"/>
  <c r="C83" i="15"/>
  <c r="C84" i="15"/>
  <c r="C85" i="15"/>
  <c r="C87" i="15"/>
  <c r="C88" i="15"/>
  <c r="C92" i="15"/>
  <c r="C93" i="15"/>
  <c r="C94" i="15"/>
  <c r="C97" i="15"/>
  <c r="C98" i="15"/>
  <c r="C99" i="15"/>
  <c r="C100" i="15"/>
  <c r="C101" i="15"/>
  <c r="C102" i="15"/>
  <c r="C104" i="15"/>
  <c r="C105" i="15"/>
  <c r="C106" i="15"/>
  <c r="C107" i="15"/>
  <c r="C108" i="15"/>
  <c r="C110" i="15"/>
  <c r="C111" i="15"/>
  <c r="C112" i="15"/>
  <c r="C114" i="15"/>
  <c r="C115" i="15"/>
  <c r="C116" i="15"/>
  <c r="C117" i="15"/>
  <c r="C120" i="15"/>
  <c r="C121" i="15"/>
  <c r="C122" i="15"/>
  <c r="C123" i="15"/>
  <c r="C124" i="15"/>
  <c r="C125" i="15"/>
  <c r="C126" i="15"/>
  <c r="C127" i="15"/>
  <c r="C128" i="15"/>
  <c r="C129"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F3" i="15"/>
  <c r="F2" i="15"/>
  <c r="I7" i="13"/>
  <c r="K3" i="9"/>
  <c r="K2" i="9"/>
  <c r="F4" i="24"/>
  <c r="F3" i="24"/>
  <c r="F2" i="24"/>
  <c r="N9" i="21"/>
  <c r="N8" i="21"/>
  <c r="N7" i="21"/>
  <c r="N6" i="21"/>
  <c r="N5" i="21"/>
  <c r="N4" i="21"/>
  <c r="L9" i="21"/>
  <c r="L8" i="21"/>
  <c r="L7" i="21"/>
  <c r="L6" i="21"/>
  <c r="L5" i="21"/>
  <c r="L4" i="21"/>
  <c r="J9" i="21"/>
  <c r="J8" i="21"/>
  <c r="J7" i="21"/>
  <c r="J6" i="21"/>
  <c r="J5" i="21"/>
  <c r="J4" i="21"/>
  <c r="E4" i="20"/>
  <c r="E3" i="20"/>
  <c r="E2" i="20"/>
  <c r="E3" i="16"/>
  <c r="E2" i="16"/>
  <c r="E2" i="14"/>
  <c r="F6" i="8"/>
  <c r="F5" i="8"/>
  <c r="F4" i="8"/>
  <c r="F3" i="8"/>
  <c r="F2" i="8"/>
  <c r="E4" i="7"/>
  <c r="E5" i="7"/>
  <c r="E6" i="7"/>
  <c r="E2" i="7"/>
  <c r="E5" i="6"/>
  <c r="E4" i="6"/>
  <c r="E2" i="6"/>
  <c r="E5" i="5"/>
  <c r="E4" i="5"/>
  <c r="E3" i="5"/>
  <c r="E2" i="5"/>
  <c r="FH18" i="2"/>
  <c r="FD18" i="2"/>
  <c r="FE18" i="2"/>
  <c r="FF18" i="2"/>
  <c r="FG18" i="2"/>
  <c r="FD12" i="2"/>
  <c r="FE12" i="2"/>
  <c r="FF12" i="2"/>
  <c r="FG12" i="2"/>
  <c r="FH12" i="2"/>
  <c r="C12" i="2"/>
  <c r="D12" i="2"/>
  <c r="B12" i="2"/>
  <c r="F7" i="8"/>
  <c r="B18" i="2"/>
  <c r="C18" i="2"/>
  <c r="D18" i="2"/>
  <c r="E18" i="2"/>
  <c r="F18" i="2"/>
  <c r="G18" i="2"/>
  <c r="H18" i="2"/>
  <c r="I18" i="2"/>
  <c r="J18" i="2"/>
  <c r="K18" i="2"/>
  <c r="L18" i="2"/>
  <c r="M18" i="2"/>
  <c r="N18" i="2"/>
  <c r="O18" i="2"/>
  <c r="P18" i="2"/>
  <c r="Q18" i="2"/>
  <c r="R18" i="2"/>
  <c r="S18" i="2"/>
  <c r="T18" i="2"/>
  <c r="U18" i="2"/>
  <c r="V18" i="2"/>
  <c r="W18" i="2"/>
  <c r="X18" i="2"/>
  <c r="Y18" i="2"/>
  <c r="Z18" i="2"/>
  <c r="AA18" i="2"/>
  <c r="AB18" i="2"/>
  <c r="AC18" i="2"/>
  <c r="AD18" i="2"/>
  <c r="AE18" i="2"/>
  <c r="AF18" i="2"/>
  <c r="AG18" i="2"/>
  <c r="AH18" i="2"/>
  <c r="AI18" i="2"/>
  <c r="AJ18" i="2"/>
  <c r="AK18" i="2"/>
  <c r="AL18" i="2"/>
  <c r="AM18" i="2"/>
  <c r="AN18" i="2"/>
  <c r="AO18" i="2"/>
  <c r="AP18" i="2"/>
  <c r="AQ18" i="2"/>
  <c r="AR18" i="2"/>
  <c r="AS18" i="2"/>
  <c r="AT18" i="2"/>
  <c r="AU18" i="2"/>
  <c r="AV18" i="2"/>
  <c r="AW18" i="2"/>
  <c r="AX18" i="2"/>
  <c r="AY18" i="2"/>
  <c r="AZ18" i="2"/>
  <c r="BA18" i="2"/>
  <c r="BB18" i="2"/>
  <c r="BC18" i="2"/>
  <c r="BD18" i="2"/>
  <c r="BE18" i="2"/>
  <c r="BF18" i="2"/>
  <c r="BG18" i="2"/>
  <c r="BH18" i="2"/>
  <c r="BI18" i="2"/>
  <c r="BJ18" i="2"/>
  <c r="BK18" i="2"/>
  <c r="BL18" i="2"/>
  <c r="BM18" i="2"/>
  <c r="BN18" i="2"/>
  <c r="BO18" i="2"/>
  <c r="BP18" i="2"/>
  <c r="BQ18" i="2"/>
  <c r="BR18" i="2"/>
  <c r="BS18" i="2"/>
  <c r="BT18" i="2"/>
  <c r="BU18" i="2"/>
  <c r="BV18" i="2"/>
  <c r="BW18" i="2"/>
  <c r="BX18" i="2"/>
  <c r="BY18" i="2"/>
  <c r="BZ18" i="2"/>
  <c r="CA18" i="2"/>
  <c r="CB18" i="2"/>
  <c r="CC18" i="2"/>
  <c r="CD18" i="2"/>
  <c r="CE18" i="2"/>
  <c r="CF18" i="2"/>
  <c r="CG18" i="2"/>
  <c r="CH18" i="2"/>
  <c r="CI18" i="2"/>
  <c r="CJ18" i="2"/>
  <c r="CK18" i="2"/>
  <c r="CL18" i="2"/>
  <c r="CM18" i="2"/>
  <c r="CN18" i="2"/>
  <c r="CO18" i="2"/>
  <c r="CP18" i="2"/>
  <c r="CQ18" i="2"/>
  <c r="CR18" i="2"/>
  <c r="CS18" i="2"/>
  <c r="CT18" i="2"/>
  <c r="CU18" i="2"/>
  <c r="CV18" i="2"/>
  <c r="CW18" i="2"/>
  <c r="CX18" i="2"/>
  <c r="CY18" i="2"/>
  <c r="CZ18" i="2"/>
  <c r="DA18" i="2"/>
  <c r="DB18" i="2"/>
  <c r="DC18" i="2"/>
  <c r="DD18" i="2"/>
  <c r="DE18" i="2"/>
  <c r="DF18" i="2"/>
  <c r="DG18" i="2"/>
  <c r="DH18" i="2"/>
  <c r="DI18" i="2"/>
  <c r="DJ18" i="2"/>
  <c r="DK18" i="2"/>
  <c r="DL18" i="2"/>
  <c r="DM18" i="2"/>
  <c r="DN18" i="2"/>
  <c r="DO18" i="2"/>
  <c r="DP18" i="2"/>
  <c r="DQ18" i="2"/>
  <c r="DR18" i="2"/>
  <c r="DS18" i="2"/>
  <c r="DT18" i="2"/>
  <c r="DU18" i="2"/>
  <c r="DV18" i="2"/>
  <c r="DW18" i="2"/>
  <c r="DX18" i="2"/>
  <c r="DY18" i="2"/>
  <c r="DZ18" i="2"/>
  <c r="EA18" i="2"/>
  <c r="EB18" i="2"/>
  <c r="EC18" i="2"/>
  <c r="ED18" i="2"/>
  <c r="EE18" i="2"/>
  <c r="EF18" i="2"/>
  <c r="EG18" i="2"/>
  <c r="EH18" i="2"/>
  <c r="EI18" i="2"/>
  <c r="EJ18" i="2"/>
  <c r="EK18" i="2"/>
  <c r="EL18" i="2"/>
  <c r="EM18" i="2"/>
  <c r="EN18" i="2"/>
  <c r="EO18" i="2"/>
  <c r="ER18" i="2"/>
  <c r="ES18" i="2"/>
  <c r="ET18" i="2"/>
  <c r="EU18" i="2"/>
  <c r="EV18" i="2"/>
  <c r="EW18" i="2"/>
  <c r="EX18" i="2"/>
  <c r="EY18" i="2"/>
  <c r="EZ18" i="2"/>
  <c r="FA18" i="2"/>
  <c r="FB18" i="2"/>
  <c r="FC18" i="2"/>
  <c r="EQ18" i="2"/>
  <c r="EP18" i="2"/>
  <c r="T12" i="2"/>
  <c r="U12" i="2"/>
  <c r="V12" i="2"/>
  <c r="W12" i="2"/>
  <c r="X12" i="2"/>
  <c r="Y12" i="2"/>
  <c r="Z12" i="2"/>
  <c r="AA12" i="2"/>
  <c r="AB12" i="2"/>
  <c r="AC12" i="2"/>
  <c r="AD12" i="2"/>
  <c r="AE12" i="2"/>
  <c r="AF12" i="2"/>
  <c r="AG12" i="2"/>
  <c r="AH12" i="2"/>
  <c r="AI12" i="2"/>
  <c r="AJ12" i="2"/>
  <c r="AK12" i="2"/>
  <c r="AL12" i="2"/>
  <c r="AM12" i="2"/>
  <c r="AN12" i="2"/>
  <c r="AO12" i="2"/>
  <c r="AP12" i="2"/>
  <c r="AQ12" i="2"/>
  <c r="AR12" i="2"/>
  <c r="AS12" i="2"/>
  <c r="AT12" i="2"/>
  <c r="AU12" i="2"/>
  <c r="AV12" i="2"/>
  <c r="AW12" i="2"/>
  <c r="AX12" i="2"/>
  <c r="AY12" i="2"/>
  <c r="AZ12" i="2"/>
  <c r="BA12" i="2"/>
  <c r="BB12" i="2"/>
  <c r="BC12" i="2"/>
  <c r="BD12" i="2"/>
  <c r="BE12" i="2"/>
  <c r="BF12" i="2"/>
  <c r="BG12" i="2"/>
  <c r="BH12" i="2"/>
  <c r="BI12" i="2"/>
  <c r="BJ12" i="2"/>
  <c r="BK12" i="2"/>
  <c r="BL12" i="2"/>
  <c r="BM12" i="2"/>
  <c r="BN12" i="2"/>
  <c r="BO12" i="2"/>
  <c r="BP12" i="2"/>
  <c r="BQ12" i="2"/>
  <c r="BR12" i="2"/>
  <c r="BS12" i="2"/>
  <c r="BT12" i="2"/>
  <c r="BU12" i="2"/>
  <c r="BV12" i="2"/>
  <c r="BW12" i="2"/>
  <c r="BX12" i="2"/>
  <c r="BY12" i="2"/>
  <c r="BZ12" i="2"/>
  <c r="CA12" i="2"/>
  <c r="CB12" i="2"/>
  <c r="CC12" i="2"/>
  <c r="CD12" i="2"/>
  <c r="CE12" i="2"/>
  <c r="CF12" i="2"/>
  <c r="CG12" i="2"/>
  <c r="CH12" i="2"/>
  <c r="CI12" i="2"/>
  <c r="CJ12" i="2"/>
  <c r="CK12" i="2"/>
  <c r="CL12" i="2"/>
  <c r="CM12" i="2"/>
  <c r="CN12" i="2"/>
  <c r="CO12" i="2"/>
  <c r="CP12" i="2"/>
  <c r="CQ12" i="2"/>
  <c r="CR12" i="2"/>
  <c r="CS12" i="2"/>
  <c r="CT12" i="2"/>
  <c r="CU12" i="2"/>
  <c r="CV12" i="2"/>
  <c r="CW12" i="2"/>
  <c r="CX12" i="2"/>
  <c r="CY12" i="2"/>
  <c r="CZ12" i="2"/>
  <c r="DA12" i="2"/>
  <c r="DB12" i="2"/>
  <c r="DC12" i="2"/>
  <c r="DD12" i="2"/>
  <c r="DE12" i="2"/>
  <c r="DF12" i="2"/>
  <c r="DG12" i="2"/>
  <c r="DH12" i="2"/>
  <c r="DI12" i="2"/>
  <c r="DJ12" i="2"/>
  <c r="DK12" i="2"/>
  <c r="DL12" i="2"/>
  <c r="DM12" i="2"/>
  <c r="DN12" i="2"/>
  <c r="DO12" i="2"/>
  <c r="DP12" i="2"/>
  <c r="DQ12" i="2"/>
  <c r="DR12" i="2"/>
  <c r="DS12" i="2"/>
  <c r="DT12" i="2"/>
  <c r="DU12" i="2"/>
  <c r="DV12" i="2"/>
  <c r="DW12" i="2"/>
  <c r="DX12" i="2"/>
  <c r="DY12" i="2"/>
  <c r="DZ12" i="2"/>
  <c r="EA12" i="2"/>
  <c r="EB12" i="2"/>
  <c r="EC12" i="2"/>
  <c r="ED12" i="2"/>
  <c r="EE12" i="2"/>
  <c r="EF12" i="2"/>
  <c r="EG12" i="2"/>
  <c r="EH12" i="2"/>
  <c r="EI12" i="2"/>
  <c r="EJ12" i="2"/>
  <c r="EK12" i="2"/>
  <c r="EL12" i="2"/>
  <c r="EM12" i="2"/>
  <c r="EN12" i="2"/>
  <c r="EO12" i="2"/>
  <c r="EP12" i="2"/>
  <c r="EQ12" i="2"/>
  <c r="ER12" i="2"/>
  <c r="ES12" i="2"/>
  <c r="ET12" i="2"/>
  <c r="EU12" i="2"/>
  <c r="EV12" i="2"/>
  <c r="EW12" i="2"/>
  <c r="EX12" i="2"/>
  <c r="EY12" i="2"/>
  <c r="EZ12" i="2"/>
  <c r="FA12" i="2"/>
  <c r="FB12" i="2"/>
  <c r="FC12" i="2"/>
  <c r="E12" i="2"/>
  <c r="F12" i="2"/>
  <c r="G12" i="2"/>
  <c r="H12" i="2"/>
  <c r="I12" i="2"/>
  <c r="J12" i="2"/>
  <c r="K12" i="2"/>
  <c r="L12" i="2"/>
  <c r="M12" i="2"/>
  <c r="N12" i="2"/>
  <c r="O12" i="2"/>
  <c r="P12" i="2"/>
  <c r="Q12" i="2"/>
  <c r="R12" i="2"/>
  <c r="S12" i="2"/>
  <c r="EY23" i="2"/>
  <c r="G4" i="24"/>
  <c r="G3" i="24"/>
  <c r="M5" i="21"/>
  <c r="M6" i="21"/>
  <c r="M7" i="21"/>
  <c r="M8" i="21"/>
  <c r="M9" i="21"/>
  <c r="M4" i="21"/>
  <c r="K9" i="21"/>
  <c r="K5" i="21"/>
  <c r="K6" i="21"/>
  <c r="K7" i="21"/>
  <c r="K8" i="21"/>
  <c r="K4" i="21"/>
  <c r="F4" i="20"/>
  <c r="F3" i="20"/>
  <c r="E4" i="14"/>
  <c r="F4" i="14"/>
  <c r="E3" i="14"/>
  <c r="F3" i="14"/>
  <c r="F5" i="5"/>
  <c r="F4" i="5"/>
  <c r="F3" i="5"/>
  <c r="F5" i="7"/>
  <c r="F6" i="7"/>
  <c r="E7" i="7"/>
  <c r="F7" i="7"/>
  <c r="E8" i="7"/>
  <c r="F8" i="7"/>
  <c r="E9" i="7"/>
  <c r="F9" i="7"/>
  <c r="E3" i="7"/>
  <c r="E10" i="7"/>
  <c r="F10" i="7"/>
  <c r="F4" i="7"/>
  <c r="G7" i="8"/>
  <c r="G6" i="8"/>
  <c r="G5" i="8"/>
  <c r="G4" i="8"/>
  <c r="G3" i="8"/>
  <c r="S30" i="2"/>
  <c r="K30" i="2"/>
</calcChain>
</file>

<file path=xl/sharedStrings.xml><?xml version="1.0" encoding="utf-8"?>
<sst xmlns="http://schemas.openxmlformats.org/spreadsheetml/2006/main" count="11503" uniqueCount="2208">
  <si>
    <t>Response ID</t>
  </si>
  <si>
    <t>Gender</t>
  </si>
  <si>
    <t>Age</t>
  </si>
  <si>
    <t>Position [Undergraduate]</t>
  </si>
  <si>
    <t>Position [Postgraduate (MSc)]</t>
  </si>
  <si>
    <t>Position [Postgraduate (PhD)]</t>
  </si>
  <si>
    <t>Position [Post-doctoral researcher]</t>
  </si>
  <si>
    <t>Position [Lecturer/Assistant Professor]</t>
  </si>
  <si>
    <t>Position [Reader/Senior Lecturer/Associate Professor]</t>
  </si>
  <si>
    <t>Position [Professor]</t>
  </si>
  <si>
    <t>Position [Other]</t>
  </si>
  <si>
    <t>Institution [University UK]</t>
  </si>
  <si>
    <t>Institution [University Other]</t>
  </si>
  <si>
    <t>Institution [Research Institute UK]</t>
  </si>
  <si>
    <t>Institution [Research Institute Other]</t>
  </si>
  <si>
    <t>Institution [Other]</t>
  </si>
  <si>
    <t>In which country is your university located?</t>
  </si>
  <si>
    <t>In which country is your Research Institute located?</t>
  </si>
  <si>
    <t>What is your research discipline?</t>
  </si>
  <si>
    <t>How long have you been doing research in this discipline?</t>
  </si>
  <si>
    <t>In your opinion, what are the main challenges to using mixed models?</t>
  </si>
  <si>
    <t>Do you have any concerns about applying and reporting mixed models for your own data? 
	If so, what are they?</t>
  </si>
  <si>
    <t>Do you have any concerns about the use of mixed models in your field? 
	If so, what are they?</t>
  </si>
  <si>
    <t>Have you used mixed-models for data analysis?</t>
  </si>
  <si>
    <t>When did you first use them (year)?</t>
  </si>
  <si>
    <t>How often do you use them (approx. % of data analyses)?</t>
  </si>
  <si>
    <t>What software do you use to fit mixed models?</t>
  </si>
  <si>
    <t>What training / support have you used to learn mixed model analyses? 
	(Please refer to specific papers, books, courses or websites, if relevant)</t>
  </si>
  <si>
    <t>What is the typical formula for a model you employ?
	e.g. RT ~ factor1 + (1|subjectID) + (1|itemID)</t>
  </si>
  <si>
    <t>Do you specify variance-covariance structures?</t>
  </si>
  <si>
    <t>Do you report (select all that apply): [p-values]</t>
  </si>
  <si>
    <t>Do you report (select all that apply): [confidence intervals]</t>
  </si>
  <si>
    <t>Do you report (select all that apply): [likelihood ratio tests]</t>
  </si>
  <si>
    <t>Do you report (select all that apply): [F-tests]</t>
  </si>
  <si>
    <t>Do you report (select all that apply): [description of model fitting process]</t>
  </si>
  <si>
    <t>Do you report (select all that apply): [results of iterated models / model testing]</t>
  </si>
  <si>
    <t>Have you compared your results following a more traditional analysis and a mixed-effects analysis?</t>
  </si>
  <si>
    <t>Have the results been different?</t>
  </si>
  <si>
    <t>What was your evaluation of the results?</t>
  </si>
  <si>
    <t>Do you plan to use mixed models?</t>
  </si>
  <si>
    <t>How soon do you plan on using mixed models?</t>
  </si>
  <si>
    <t>What is your interest in mixed-models / what do you hope to use them for?</t>
  </si>
  <si>
    <t>When mixed models are reported, would you prefer model estimates reported in text, in a table, as a partial effects plot? 
	Why?</t>
  </si>
  <si>
    <t>Would you share analysis code and data? 
	Why?</t>
  </si>
  <si>
    <t>Would you like to access analysis code and data in published reports?
	Why?</t>
  </si>
  <si>
    <t>Female</t>
  </si>
  <si>
    <t>No</t>
  </si>
  <si>
    <t>Yes</t>
  </si>
  <si>
    <t>Psycholinguistics Speech &amp; Language Therapy</t>
  </si>
  <si>
    <t>5 years</t>
  </si>
  <si>
    <t>Implementation - programming can be difficult
Selecting amongst different options
Model convergence difficulties
Presentation of data for publication
Model selection</t>
  </si>
  <si>
    <t>Yes - need to know what routine checks to do and how to select models correctly.
How to deal with convergence issues.</t>
  </si>
  <si>
    <t>Yes. They are being demanded increasingly in publication and reporting of results is often inconsistent.</t>
  </si>
  <si>
    <t>R</t>
  </si>
  <si>
    <t>BA Skill Acquisition Grant&gt; mentoring from Harald Baayen. Self-teaching.</t>
  </si>
  <si>
    <t>Within subjects, with different conditions
RT ~ Trial + (Condition|Subject) + (Condition|Item) + factors...conditions etc.</t>
  </si>
  <si>
    <t>N/A</t>
  </si>
  <si>
    <t xml:space="preserve">In a table and as plots, to make it easier to read. </t>
  </si>
  <si>
    <t>Yes. So that others can replicate my analyses and also use the data for other studies if necessary. I would only share after publication.</t>
  </si>
  <si>
    <t>Yes. So that analysis is transparent.</t>
  </si>
  <si>
    <t>Male</t>
  </si>
  <si>
    <t>Psycholinguistics</t>
  </si>
  <si>
    <t>10 years</t>
  </si>
  <si>
    <t>People used to using ANOVA/t-tests etc. in a 'standard' way may find the different options/ways in which an analysis can be done with mixed models a challenging (e.g. how to decide what random effects to include, how to code variables and how this alters the interpretation of the results etc). But the problem here really is that people assume statistics (like ANOVA) can be done in one simple 'right' way, when this isn't really the case.</t>
  </si>
  <si>
    <t>As I've learnt more about mixed models I realise that previous analyses may not have been optimal, but I have fewer concerns now that I think some standards in the use of mixed-models are emerging in the field.</t>
  </si>
  <si>
    <t>There have been errors made in the past, with people reporting non-optimal models (usually underspecified random effects structure) or not describing the analysis in enough detail, but I think some standards are emerging now (and people are more aware of issues relating to mixed effects analysis), so things have improved.</t>
  </si>
  <si>
    <t>I originally attended a two-day workshop. Going through Harald Baayen's 2008 book and articles from the 2008 special issue of the Journal of Memory and Language were also useful (and also the follow-up paper by Barr et al. 2013, again in JML). Other issues (e.g. coding schemes) have mainly been learnt from internet resources such as the R-Lang mailing list.</t>
  </si>
  <si>
    <t>I usually use 2x2 repeated measures designs with subject and item random effects as below:
rt ~ a * b + (1+a*b|subject) + (1+a*b|item)
If that model fails to converge, I usually start by removing the random correlations:
rt ~ a * b + (1|subject) + (0+a|subject) + (0+b|subject) + (0+a:b|subject) + (1|item) + (0+a|item) + (0+b|item) + (0+a:b|item) 
If that fails, I'll remove whichever random effects parameter has the least variance until the model converges.</t>
  </si>
  <si>
    <t>Yes and No is a better answer. I find for data with a continuous DV, Barr et al.'s (2013) 'maximal' mixed effects analysis and F1/F2 ANOVAs give similar results most of the time.
I've had some wild differences when analysing binomial data though (e.g. aggregated proportions in ANOVA and the raw binomial response with mixed models). Sometimes, the mixed models seem to give spurious results, with tiny differences being significant, when traditional (and supposedly 'wrong') ANOVA analyses give results that look more sensible from the spread the spread of the data.
I think the problem here though is really how binomial mixed-models are specified (especially the random effects). I agree with Barr et al.'s (2013) suggestion of using 'maximal' models for data with a continuous DV, but I think 'maximal' models for binomial data can often be very badly specified (leading to results I don't 100% trust).</t>
  </si>
  <si>
    <t>A table is fine.</t>
  </si>
  <si>
    <t>In principle yes, I think the field as a whole needs to become more transparent.</t>
  </si>
  <si>
    <t>Yes. I think it would be good practice (and easy enough to implement) to show at least the actual code for the final model reported when research is published.</t>
  </si>
  <si>
    <t>Cognitive Neuroscience</t>
  </si>
  <si>
    <t>14 years</t>
  </si>
  <si>
    <t>Model specification - knowing what to include and what not to include.</t>
  </si>
  <si>
    <t>R, SPSS, Matlab</t>
  </si>
  <si>
    <t>Can't remember which books &amp; web sites</t>
  </si>
  <si>
    <t>Y ~ (1|X1) + X2 + (0+X2|X1)</t>
  </si>
  <si>
    <t>Difference covariate slopes per subject, which leads to different overall fixed effect covariate slope</t>
  </si>
  <si>
    <t>table</t>
  </si>
  <si>
    <t>Why not?</t>
  </si>
  <si>
    <t>Sure</t>
  </si>
  <si>
    <t>Psychology</t>
  </si>
  <si>
    <t xml:space="preserve">PhD 2005-2009 and since then. </t>
  </si>
  <si>
    <t xml:space="preserve">Knowing when it's appropriate to use them and remembering how to do it. </t>
  </si>
  <si>
    <t xml:space="preserve">I haven't used mixed models for a while so I'd need to spend some time remembering how to run the analysis. </t>
  </si>
  <si>
    <t>Just familiarity with the analytical technique.</t>
  </si>
  <si>
    <t>SPSS</t>
  </si>
  <si>
    <t>Support from stats advisor for specific project</t>
  </si>
  <si>
    <t>No idea</t>
  </si>
  <si>
    <t>Table with plot if it helps understanding. Clarity.</t>
  </si>
  <si>
    <t>In principle yes</t>
  </si>
  <si>
    <t>Yes, to see how robust the findings were and to check they did it correctly.</t>
  </si>
  <si>
    <t>12 years</t>
  </si>
  <si>
    <t>I don't understand them, and as a lecturer the training often isn't available</t>
  </si>
  <si>
    <t>Just that I don't know how to do it.</t>
  </si>
  <si>
    <t>No, it is increasingly used and those who know say it's good.</t>
  </si>
  <si>
    <t>Probably a table.  Easier to refer to.</t>
  </si>
  <si>
    <t>Yes - that's what science is about</t>
  </si>
  <si>
    <t>It would be good if it were available, though I think I'd be unlikely to use it.</t>
  </si>
  <si>
    <t>1 year</t>
  </si>
  <si>
    <t>I do not know enough about them.</t>
  </si>
  <si>
    <t>No, I believe they would be largely appropriate</t>
  </si>
  <si>
    <t>NA</t>
  </si>
  <si>
    <t>Plots and table</t>
  </si>
  <si>
    <t>They may seem a bit daunting to beginners</t>
  </si>
  <si>
    <t>r</t>
  </si>
  <si>
    <t>Bristol LEMMA course
Multilevel Analysis by Snijders and Bosker
Linear Mixed Models: A Practical Guide Using Statistical Software by West, Welch, and Galecki.</t>
  </si>
  <si>
    <t>RT ~ factor1 + (1|subjectID)</t>
  </si>
  <si>
    <t>That I love Mixed models</t>
  </si>
  <si>
    <t>In a table, for clarity</t>
  </si>
  <si>
    <t>I would share code, because it's a good why for me to learn.
I wouldn't share data, for confidentiality issues.</t>
  </si>
  <si>
    <t>It would be nice to access code, to be able to evaluate the soundness of the statistical approach in the report.</t>
  </si>
  <si>
    <t xml:space="preserve">language acquisition </t>
  </si>
  <si>
    <t>15 years</t>
  </si>
  <si>
    <t>That there is not enough training for people to be able to use them.</t>
  </si>
  <si>
    <t xml:space="preserve">That a large number of people reading our papers are not able to understand the statistics because they are not familiar with the analyses. </t>
  </si>
  <si>
    <t>In the field of language acquisition very few people are familiar with mixed models, especially linguists. Reviewers often can't evaluate the analyses. Readers may have difficulties to understand the results.</t>
  </si>
  <si>
    <t xml:space="preserve">I would like to use mixed models asap </t>
  </si>
  <si>
    <t>To be able to look at the contribution of a range of factors within the same analysis</t>
  </si>
  <si>
    <t>not sure</t>
  </si>
  <si>
    <t>analysis code: yes
data: maybe, there is also the fear of letting go of your data when you make raw data available</t>
  </si>
  <si>
    <t>Yes, because you can explore the data yourself further and you may be able to find something that the authors haven't seen/found</t>
  </si>
  <si>
    <t>United states</t>
  </si>
  <si>
    <t>9 years</t>
  </si>
  <si>
    <t>Standardization, instruction without introductory text books, the rapidly changing standards, review process - some reviewers request these models but researchers are not all skilled in these techniques</t>
  </si>
  <si>
    <t>Whether methods I've used in previous papers are now considered incorrect (e.g., residualization, random effect structures).  The use of logit mixed-models for error data</t>
  </si>
  <si>
    <t>Florian Jaeger's tutorials, Baayen book, R-lang postings, Gelman book</t>
  </si>
  <si>
    <t>DV~ Factor1*Factor2*Factor3 + (1+Factor1*Factor2*Factor3|Subject) + (1+Factor1*Factor2*Factor3|Item)</t>
  </si>
  <si>
    <t>Largely methods correspond to each other. I usually include the more traditional analysis in supplemental materials or indicate in the text that the methods converged.</t>
  </si>
  <si>
    <t>Perhaps - I'm not sure I could easily do that on my own without guidance on what this would look like and I've been well-trained in these methods.</t>
  </si>
  <si>
    <t>Yes. This is important for standardizing the field.</t>
  </si>
  <si>
    <t>Yes - at least as a supplement so that others can see what analyses were performed.</t>
  </si>
  <si>
    <t>USA</t>
  </si>
  <si>
    <t>psycholinguistics</t>
  </si>
  <si>
    <t>1. The criteria for the random effect structure. Always keep it maximum (Barr et al, JML) or a more data oriented approach?
2. begin with the most simple model (and  then add variables) or begin with the most complete model (and then exclude variables to reach optimal model fit)?
3. the interpretation of random effects
4. the difference in viewpoints among researchers concerning what are valid/acceptable/standard procedures (this relates to point 1).</t>
  </si>
  <si>
    <t>Sometimes I have problems reaching convergence when testing complicated models.</t>
  </si>
  <si>
    <t>- The tendency to only focus on fixed effects in reporting the data; I believe we can learn a lot from exploring random effects more elaborately instead of simply keeping the random effect structure maximum and focus exclusively on the fixed effects.
- Th</t>
  </si>
  <si>
    <t>I mostly use binary outcome variables:
lmer(Outcome ~ factor1 * factor2 + (1+factor1*factor2|subjectID) + (1+factor1*factor2|itemID), Data = XX, family = "binomial")
The random slopes depend on whether the factors are within or between units:
- within-participant factors: by-participant random slopes
- between-participant factors: no by-participant random slopes
- within-item factors: by-item random slopes
- between-item factors: no by-item random slopes</t>
  </si>
  <si>
    <t>Mixed effects models give comparable results as e.g., ANOVA, but are much more flexible in use and provide, in my view, a much more intuitive treatment of the data because the analysis is done on the 'long' data.</t>
  </si>
  <si>
    <t>In a table, especially when the analysis includes multiple predictors. Because it provides an easy view of all predictors that were included in the model.</t>
  </si>
  <si>
    <t>I always share analysis code (as an appendix to the paper). I would be willing to share data on personal request.</t>
  </si>
  <si>
    <t>Yes, in order to be able to further analyze the data in case new questions arise on the basis of the data, and in order to facilitate replication.</t>
  </si>
  <si>
    <t>the Netherlands</t>
  </si>
  <si>
    <t>second language acquisition</t>
  </si>
  <si>
    <t>3 years</t>
  </si>
  <si>
    <t>Lack of awareness, competing implementations and standards</t>
  </si>
  <si>
    <t>Execution time, lack of standards</t>
  </si>
  <si>
    <t>Lack of awareness, lack of knowledge about their implementation, lack of established standards.</t>
  </si>
  <si>
    <t>R (lme4)</t>
  </si>
  <si>
    <t>r-sig-mixed-models FAQ:
http://glmm.wikidot.com/faq
Slides by Florian Jaeger at LSA Summer Linguistic Institute 2013.
Numerous websites, blogs, web-tutorials, etc.</t>
  </si>
  <si>
    <t>Y~f1+f2+f3+(1+f1+f2+f3|r1)+(1+f1+f2+f3|r2)</t>
  </si>
  <si>
    <t xml:space="preserve">In a table, as there is usually a lot to report, and tables help to keep it structured and clear. </t>
  </si>
  <si>
    <t>Yes, why not?</t>
  </si>
  <si>
    <t>Yes, as this may both help me to learn new things and to make sure that someone's analysis is correct and robust.</t>
  </si>
  <si>
    <t>Lack of understanding of how to model random effects, how to deal with lack of convergence, types of coding, reporting/finding significance levels, dealing with multi-level factors</t>
  </si>
  <si>
    <t>All of the above that I just listed.</t>
  </si>
  <si>
    <t>People do it differently in every paper. There are no clear standards. For example, the recent recommendation by Barr et al. to keep random effects maximal means that my models don't converge, even with many thousands of observations when you use more than a 2x2 design. There is no clear and consistent agreed-upon method for model fitting and model interpretation.</t>
  </si>
  <si>
    <t>R, LME package</t>
  </si>
  <si>
    <t>courses on hierarchical models, Baayen et al., 2008, Barr et al., 2013, Jaeger, 2008</t>
  </si>
  <si>
    <t>it depends on the experiment. Frankly, I feel like it's the wild west with regard to fitting random effects.</t>
  </si>
  <si>
    <t>The difference always lies with how the random effects are specified. Typically I go with the more conservative outcome.</t>
  </si>
  <si>
    <t>Table. So I can see the estimates</t>
  </si>
  <si>
    <t>yes</t>
  </si>
  <si>
    <t>yes -- this lets us see how the final models were fit.</t>
  </si>
  <si>
    <t>Data Scientist</t>
  </si>
  <si>
    <t>Corporation</t>
  </si>
  <si>
    <t>8 years</t>
  </si>
  <si>
    <t>Defining best practices and reporting actual practices</t>
  </si>
  <si>
    <t>No, other than that I may not be 100% up to date on current best practices</t>
  </si>
  <si>
    <t>If one doesn't keep up with best practices, their use can be dangerous. That said, I still think it's the best option we have right now.</t>
  </si>
  <si>
    <t xml:space="preserve">Baayen (2008) "Analyzing Linguistic Data: A Practical Introduction to Statistics using R", Cambridge: Cambridge University Press.
https://mailman.ucsd.edu/mailman/listinfo/ling-r-lang-l
Barr, Levy, Scheepers, &amp; Tily (2013) "Random effects structure for confirmatory hypothesis testing:
Keep it maximal" JML
Jaeger, T.F. (2008). Categorical Data Analysis: Away from ANOVAs (transformation or not) and towards Logit Mixed Models. Journal of Memory and Language, 59 (4): 434â€”446. 
</t>
  </si>
  <si>
    <t>RT ~ factor1 * factor2 + (1 + factor1 * factor2 | subjID) + (1 + factor1 * factor2 | itemID)</t>
  </si>
  <si>
    <t>Values in table and plot, for ease of visualization and comparison</t>
  </si>
  <si>
    <t>yes, for transparency and reproduceability</t>
  </si>
  <si>
    <t>yes, for reproduceabilily</t>
  </si>
  <si>
    <t xml:space="preserve">Psycholinguistics </t>
  </si>
  <si>
    <t>Running them is easy, diagnostics are often not used by researchers. Much freedom in specifying models allows for p value hacking</t>
  </si>
  <si>
    <t xml:space="preserve">Dealing with multiple comparisons 
Dealing with complex interactions
</t>
  </si>
  <si>
    <t>Limited reporting of details. 
Experimenter degrees of freedom.</t>
  </si>
  <si>
    <t>lmer in R</t>
  </si>
  <si>
    <t xml:space="preserve">Self taught. Baayen was a key early text, but have read many other papers and books. Gelman and Hill also good. </t>
  </si>
  <si>
    <t>RT ~ factor1 + (1|subjectID) + (1|itemID)</t>
  </si>
  <si>
    <t>Models without varying slops less conservative, with varying slops more conservative</t>
  </si>
  <si>
    <t xml:space="preserve">No preference, depends on data and model complexity - same as would be for ANOVA really. </t>
  </si>
  <si>
    <t>Yes, keeps you honest, shows best practice, should be the standard in the field, allows errors to be corrected,</t>
  </si>
  <si>
    <t xml:space="preserve">Yes
Helpful for learning new techniques in modelling. Probably wouldn't check the analysis unless reviewing a paper, and even then might not. Might be useful to check things like effect sizes and run analyses not found in the paper. </t>
  </si>
  <si>
    <t>Italy</t>
  </si>
  <si>
    <t>Psycholinguistcs</t>
  </si>
  <si>
    <t>it's quite difficult to find good reference materials and to understand what standard practice is.</t>
  </si>
  <si>
    <t>I'm not sure how the random structure should be modeled.</t>
  </si>
  <si>
    <t>I think that they are really useful and powerful.</t>
  </si>
  <si>
    <t>R lme4 library</t>
  </si>
  <si>
    <t>Journal of memory and language 2008
Bates' lme4 manual
Barr et al. 2013, Journal of memory and language
Florian Jaeger's online material</t>
  </si>
  <si>
    <t>Accuracy ~ factor1*factor2 + (1+ factor1*factor|subjectID) + (1+ factor1*factor|ItemID)</t>
  </si>
  <si>
    <t>Table. i think tables are more readable.</t>
  </si>
  <si>
    <t>Yes. I woul like if someone more experienced than I am could check my analysis.</t>
  </si>
  <si>
    <t>Yes. It would be very useful to understand the others practice.</t>
  </si>
  <si>
    <t>The Netherlands</t>
  </si>
  <si>
    <t>There are no clear standards for certain things (e.g., how to deal with non-convergence).
Some of the code might also not be reliable. For example, people reported differences when running the same analysis in different versions of the same software.</t>
  </si>
  <si>
    <t>Not really.</t>
  </si>
  <si>
    <t>See challenges.</t>
  </si>
  <si>
    <t>Baayen's book, a couple of papers by researchers like Jaeger and Barr.</t>
  </si>
  <si>
    <t>response~(1+F1|subj)+(1+F1|item)+F1</t>
  </si>
  <si>
    <t>table. same as results one sees when running the analysis, so easiest to read.</t>
  </si>
  <si>
    <t>yes.</t>
  </si>
  <si>
    <t xml:space="preserve">If I build a study on someone's paradigm, it could be useful. Data could also be useful for meta-analyses. Otherwise, not really. </t>
  </si>
  <si>
    <t>Russia</t>
  </si>
  <si>
    <t>4 years</t>
  </si>
  <si>
    <t>calculating power</t>
  </si>
  <si>
    <t>yes, I suppose in analyzing my data from a visual-world eye-tracking experiment I should have used higher order modeling, but I don not have enough knowledge to correctly apply the technique</t>
  </si>
  <si>
    <t>researchers not checking the model assumptions</t>
  </si>
  <si>
    <t>http://www.bodowinter.com/tutorials.html
http://talklab.psy.gla.ac.uk/
Barr, D.J., Levy, R., Scheepers, C., and Tily, H.J. (2013) Random effects structure for confirmatory hypothesis testing: keep it maximal. Journal of Memory and Language, 68(3). pp. 255-278. (doi:10.1016/j.jml.2012.11.001)
http://resmeth.wikidot.com/
http://www.stat.columbia.edu/~gelman/arm/</t>
  </si>
  <si>
    <t>acc.full &lt;- glmer(accuracy ~ reflexive*mmatch + (1 + reflexive*mmatch | item.no) + 
                    (1 + reflexive*mmatch | subject), data = exp, family = binomial,
                  control = glmerControl(optimizer = "bobyqa"))</t>
  </si>
  <si>
    <t xml:space="preserve">a table and a plot, as these give more structured information </t>
  </si>
  <si>
    <t>yes, I would. 
to allow other researches compare their analysis and results with mine, to have my code reviewed, to enable data accumulation</t>
  </si>
  <si>
    <t>yes, to be able to check directly which analysis was employed, since it is often not covered in enough detail; to be able to reanalyze the data and to be able to analyse the joint data from similar/identical eperiments</t>
  </si>
  <si>
    <t>Linguistics</t>
  </si>
  <si>
    <t>- using software package (R) I was unfamiliar with
- minimal training/knowlegde available in my lab</t>
  </si>
  <si>
    <t>yes
- model selection
- overfitting
- method of p-value computation</t>
  </si>
  <si>
    <t>- reviewers may show a preference for the use of mixed models, but this may not (should not!) change anything to the results or make their interpretation any easier</t>
  </si>
  <si>
    <t>accuracy ~ factor1 + factor2*factor3 + (max random structure)</t>
  </si>
  <si>
    <t>I prefer the procedure of building a mixed effects model in R to running ANOVA in SPSS</t>
  </si>
  <si>
    <t>in text or in a table, depending on the research question and model design</t>
  </si>
  <si>
    <t>yes. Why not?</t>
  </si>
  <si>
    <t>in some cases it might be helpful to compare others' code to your own standard, and to learn from it</t>
  </si>
  <si>
    <t>Understanding interaction effects and how they impact on main effects in results</t>
  </si>
  <si>
    <t>No except that exp psych reviewers are often suspicious of them</t>
  </si>
  <si>
    <t>See above</t>
  </si>
  <si>
    <t>R and spss</t>
  </si>
  <si>
    <t>Dept training 
Online tutorials
Baa yens book</t>
  </si>
  <si>
    <t>Yes this</t>
  </si>
  <si>
    <t>Classic an ova results were qualitatively similar</t>
  </si>
  <si>
    <t>Table</t>
  </si>
  <si>
    <t>Yes
Why not?</t>
  </si>
  <si>
    <t>Yes to code
Current systems for data access work well</t>
  </si>
  <si>
    <t>Understanding how to interpret the output</t>
  </si>
  <si>
    <t>Interpretation in accordance with standard rules of statistical analyses</t>
  </si>
  <si>
    <t xml:space="preserve">None - I think they should be used more if they are taught well. </t>
  </si>
  <si>
    <t>University courses, Baayen handbook on R for linguistic analyses</t>
  </si>
  <si>
    <t xml:space="preserve">Accuracy ~ 1 + OutcomeMeasure + (1|Variable) + (1|Subject) </t>
  </si>
  <si>
    <t xml:space="preserve">I think we got a better fit for our data using LMEs instead of the traditional ANOVAs/Regression models. </t>
  </si>
  <si>
    <t xml:space="preserve">I think I would probably prefer as a table to make it easier to read/parse. </t>
  </si>
  <si>
    <t xml:space="preserve">Yes, to help others if they need it. </t>
  </si>
  <si>
    <t xml:space="preserve">Sure, I think it would be helpful to see how others have done their models and what their data looks like. </t>
  </si>
  <si>
    <t>United States</t>
  </si>
  <si>
    <t>Cognitive Neuroscience of Language</t>
  </si>
  <si>
    <t>Model selection (log liklihoods vs. maximal model vs. apriori model)
Determining what constitutes an appropriate slope term in the random effects structure.
How to deal with models that fail to converge.
Convincing evidence that mixed models provide information above and beyond F1 and F2 tests</t>
  </si>
  <si>
    <t xml:space="preserve">Yes.
Do you report your model selection criteria and if so, in what level of detail (i.e., perhaps several models fail to converge before you arrive at one that does)? Do you report your contrast coding? 
Do you report parameters or just some type of fit statistic and t- and p-values?
Why not report both mixed models and F1/F2 tests? If they fail to converge on the same basic results, how do you interpret this?
</t>
  </si>
  <si>
    <t>Yes, there is very little consensus on whether they should be applied (some reviewers want only ANOVAs, others want LMERs, others want both!).  If they are applied, there is little consensus over how to select models (this is highly debated!).</t>
  </si>
  <si>
    <t>Harold Baayen's books, Dale Barr's research, Florian Jaegar's blog, Jared Linck's unpublished how-to manuscript, internal R workshops by experts in the field</t>
  </si>
  <si>
    <t>RT ~ factor1 * factor2 + (1+factor1*factor2|subjectID) +(1+factor1*factor2|itemID)</t>
  </si>
  <si>
    <t>Determining if F1 and F2 tests confirm the same reliable main effects and interactions as the mixed models.</t>
  </si>
  <si>
    <t>In a table. Many models are complex and the numbers tend to clutter text. Tables also allow you to glean something about contrasts (if they are not explicitly provided).</t>
  </si>
  <si>
    <t>Yes, and I do. It's important to confirm that models are being run properly!</t>
  </si>
  <si>
    <t>Yes. This would be informative for improving my assessment of my own data.</t>
  </si>
  <si>
    <t>Germany</t>
  </si>
  <si>
    <t>The potential complexity of the models that goes substantially beyond standard procedures. No established guidelines how to use/report them.</t>
  </si>
  <si>
    <t>No concerns, we only use mixed models in our research.</t>
  </si>
  <si>
    <t>Many researchers don't fully understand the models they are fitting. This is particularly true for the use of categorical variables (coding systems), interactions, and the use of random effects.</t>
  </si>
  <si>
    <t>R (lme4,gamm4)</t>
  </si>
  <si>
    <t>Books, articles, workshops, internet research, discussions with colleagues, trial-and-error</t>
  </si>
  <si>
    <t>log(rt) ~ factor*covariate+(1|subject)+(1|item)</t>
  </si>
  <si>
    <t>Results of mixed models are usually more appropriate.</t>
  </si>
  <si>
    <t>This completely depends on the kind of models and the type of publication, e.g. contrasts might be more conviently reported in the text while the fit of the model(s) are easier to report in a table.</t>
  </si>
  <si>
    <t xml:space="preserve">Yes, I think sharing of data/code would be highly beneficial. Many aspects of the model buidling procedure cannot appropriately communicated given available journal space. </t>
  </si>
  <si>
    <t>Yes. See above.</t>
  </si>
  <si>
    <t>Cal State University</t>
  </si>
  <si>
    <t>Cognitive Psychology</t>
  </si>
  <si>
    <t>structuring the data correctly and using R</t>
  </si>
  <si>
    <t>no</t>
  </si>
  <si>
    <t>We had an R and lmer training course during my post-doc.</t>
  </si>
  <si>
    <t>yes, this is the typical formula
RT ~ factor1 + (1|subjectID) + (1|itemID)
ACC ~ factor1 + (1|subjectID) + (1|itemID)</t>
  </si>
  <si>
    <t>Table because it it easier to parse.</t>
  </si>
  <si>
    <t>yes. science should be open in its practice.</t>
  </si>
  <si>
    <t>yes, science should be open in its practice.</t>
  </si>
  <si>
    <t>about 4 years</t>
  </si>
  <si>
    <t>mainly data sets which are too small, especially when studying special populations such as adults with language deficits and children (both typically developing and with language disorders).</t>
  </si>
  <si>
    <t>I'm trying to avoid reporting p-values for Linear Mixed Models (for which a t-value is given). So far, reviewers haven't complained, but this happens often, as far as I understand from colleagues.</t>
  </si>
  <si>
    <t>No special concerns.</t>
  </si>
  <si>
    <t>Mainly courses at our University (Potsdam), mostly with Prof. Shravan Vasishth and Prof. Reinhold Kliegl (both have some stuff in their home pages, if I'm not wrong).</t>
  </si>
  <si>
    <t>RT ~ factor1 * factor1 * ... * (covariate1 + covariate2 + ...) + (1|subjectID) + (1|itemID)</t>
  </si>
  <si>
    <t>It really depends. 
Generally, I would prefer the entire model output in a table in an Appendix (or in supplementary material, e.g., on the web) and only the relevant results in the text. The reason is that I don't like very big tables, e.g. of an entire page, in the text.
I also prefer plots of partial effects (in addition to model output) since they present a cleaner picture of the data, and they might sometimes unveil hidden effects.</t>
  </si>
  <si>
    <t>Yes.
I believe in open access to data in science.</t>
  </si>
  <si>
    <t>Yes. 
Same reason as above: I believe in open access to data. 
Moreover, sometimes I might want to perform my own analysis on published data. There are cases in which an alternative analysis could reveal different results from the ones published. Lack of access to the data and to the code just prevent researchers from realizing this.</t>
  </si>
  <si>
    <t>Three years</t>
  </si>
  <si>
    <t xml:space="preserve">Nonconverging models. 
Identifying the correct random effect structure for a model.
</t>
  </si>
  <si>
    <t>Barr et al. (2013) in the Journal of Memory and Language 68
Baayen, Davidson and Bates (2008) in Journal of Memory and Language 59</t>
  </si>
  <si>
    <t>RT ~ factor + (1+ factor | subjectID) + (1 + factor | itemID)</t>
  </si>
  <si>
    <t>I have no preference</t>
  </si>
  <si>
    <t>psycholinguistics and communication disorders</t>
  </si>
  <si>
    <t>since 2004</t>
  </si>
  <si>
    <t>knowing how best to use them given the plethora of approaches and the complexity</t>
  </si>
  <si>
    <t>yes; there are different approaches to looking at significance of factors and interactions. there is no clear standard for reporting results.</t>
  </si>
  <si>
    <t>see previous answer</t>
  </si>
  <si>
    <t>Attended a 1-day workshop at Laboratory Phonology conference. self-taught. Two graduate students and did an independent study with me where we worked through examples from the workshop I attended.</t>
  </si>
  <si>
    <t>I don't have an answer for this question right now.</t>
  </si>
  <si>
    <t>Depends on the format of the journal and the readability of the results. No one-size-fits-all for reporting statistics, even with traditional ANOVA.</t>
  </si>
  <si>
    <t>Yes. This seems like good science and good collegiality to me. I would share code, but not sure about data. Only with trusted colleagues.</t>
  </si>
  <si>
    <t>Yes. This would facilitate understanding the quality of the analysis and to implementing the analysis in future work.</t>
  </si>
  <si>
    <t>psycholiguistics</t>
  </si>
  <si>
    <t>7 years</t>
  </si>
  <si>
    <t>difficulty in interpreting the results</t>
  </si>
  <si>
    <t>I am interested</t>
  </si>
  <si>
    <t>can't say</t>
  </si>
  <si>
    <t>in the near future</t>
  </si>
  <si>
    <t>to analyse the level of forgeting</t>
  </si>
  <si>
    <t>both in a table and in text, the table will show the figures, the text will explain everything</t>
  </si>
  <si>
    <t>yes, some other people may have different results</t>
  </si>
  <si>
    <t>yes, to use in my research</t>
  </si>
  <si>
    <t>Language</t>
  </si>
  <si>
    <t>Decisions on how to deal with failure to converge/model selection procedures</t>
  </si>
  <si>
    <t>It has happened that reviewers asked for ANOVA's after I first reported mixed-model analyses. The anova's did not result in the critical interaction of interest. 
This changed my view on that particular dataset, but also my reliance on MM in general. If MM give a significant effect but traditional ANOVA's don't (provided they can be carried out on the dataset, ofcourse), I won't base the story of a paper on that result. Mostly because even if the effect is real in such a case, it may be weak/unreliable.</t>
  </si>
  <si>
    <t>There does not yet seem to be very clear concensus about procedures for model selection (especially in cases of a failure to converge).</t>
  </si>
  <si>
    <t>Analyzing Linguistic Data: A Practical Introduction to Statistics using R (Harald Baayen)</t>
  </si>
  <si>
    <t xml:space="preserve">
exp1.lmer = lmer(prop_x_resp ~
as.factor(Cond)+
(1+Cond|subjectID) + (1+Cond| itemID), 
data = data, family = binomial)
</t>
  </si>
  <si>
    <t xml:space="preserve">The effect was significant with MM but not ANOVAs (with very different p-values!). I considered the effect uninsteresting because even if it were real, it would have to be weak (it is better to be too conservative than too liberal in my view). </t>
  </si>
  <si>
    <t>No particular preference.</t>
  </si>
  <si>
    <t>with the exception of special cases (i.e., patient data) I think data/code should be shared immediately and without much questioning. Most data is collected at universities where research is paid from public money. Researchers should not feel that they "own" their data.</t>
  </si>
  <si>
    <t>Yes. That would help reaching consensus in analysis approaches and would encourage researchers to be scrutinous in their analyses.</t>
  </si>
  <si>
    <t>Cognitive Science</t>
  </si>
  <si>
    <t>17 years</t>
  </si>
  <si>
    <t>1. Lack of standardized application
2. Overly flexible
3. Misapplication
4. Failure of models to converge and unclarity in what to do in those situations; this usually means that one of a very small set of people are consulted about how to fix the situation, rather than having a large set of distributed experts</t>
  </si>
  <si>
    <t>1. I have a great deal of difficulty applying mixed-effects models to my data, in large part because they often fail to converge. This seems most severe in logistic models, where--if there are mostly 1's or 0's in one cell of a condition--convergence failure is frequent.
2. The use of these models feels very prescriptive rather than best practices-motivated. I've put ANOVAs in papers and have been yelled at by reviewers for not using mixed models; I've also put mixed models in papers and have been yelled at by reviewers for "using a weird model just to get a significant result." Thus I now feel obliged to report both.</t>
  </si>
  <si>
    <t>1. People use them without understanding what they're doing
2. It's easier to p-hack than an ANOVA
3. Mixed models (esp. logit models) work better over massive amounts of data, and cog sci/psych experiments generally don't have those massive amounts of data</t>
  </si>
  <si>
    <t>Agresti's "intro" book
Pestering Roger Levy
Getting code from other people
Various websites to see how others have coded certain things; the R help functions are a little too opaque</t>
  </si>
  <si>
    <t>Ideally would use maximal models, so e.g.
RT ~ factor1 + ((1+factor1)|subj) + ((1+factor1)|item))   ## might have those terms a little off as I usually look at my old formulas to implement new ones</t>
  </si>
  <si>
    <t>Typically the results are quite comparable.</t>
  </si>
  <si>
    <t>Text or table is okay, though plots are really nice for immediately grasping the effect.</t>
  </si>
  <si>
    <t>With caution; very easy to do something wrong and propagate the error!</t>
  </si>
  <si>
    <t>Sure, but ouch, that puts a lot of pressure on people to be absolutely perfect. Maybe just have the code reviewed?</t>
  </si>
  <si>
    <t>Cognitive science / psycholinguistics</t>
  </si>
  <si>
    <t xml:space="preserve">Lack of consensus regarding power analysis and effect size calculations.
Non-converging models!
</t>
  </si>
  <si>
    <t xml:space="preserve">As above, plus:
Lack of understanding on the part of reviewers - I have lost count of the number of times a reviewer has claimed my mixed model analysis has been run incorrectly because I report p-values for coefficients... All because lmer in R does not output p-values by default and they don't understand that other packages do. 
</t>
  </si>
  <si>
    <t xml:space="preserve">Incomplete reporting - what are the random factors? Are they crossed? Are slopes randomised per ppt? Etc. </t>
  </si>
  <si>
    <t>On phone so don't have refs to hand...
- An old tech report by Marc Brysbaert
- Locker, Hoffman &amp; Bovaird paper on crossed random factors
- Baayen book on mixed models in psycholinguistics</t>
  </si>
  <si>
    <t xml:space="preserve">Doesn't apply in SPSS - the syntax is completely different and doesn't use formulae of this type, and the point-and-click alternative doesn't use any equivalent. </t>
  </si>
  <si>
    <t xml:space="preserve">Mixed models are generally more powerful and easier to interpret - no faffing about with sig F1 and marginal F2 messy effect patterns. Sometimes such effects come out sig, sometimes not, but either way I trust them more. </t>
  </si>
  <si>
    <t xml:space="preserve">It depends on the complexity of the design. Generally, I prefer text for simple designs with low numbers of variables, table for more complex designs. I don't find partial plots useful most of the time, unless it's purpose is to highlight how the same variables exerts different effects in different circumstances. </t>
  </si>
  <si>
    <t xml:space="preserve">Sure, no problem. Transparency is good. </t>
  </si>
  <si>
    <t xml:space="preserve">Yes. It could be useful sometimes. </t>
  </si>
  <si>
    <t>United Arab Emirates</t>
  </si>
  <si>
    <t>6 years</t>
  </si>
  <si>
    <t>Lack of standards for coding, model comparison, random effects, etc.</t>
  </si>
  <si>
    <t>Failure to get the most desirable models to converge; how to code and test interactions (e.g., crossed vs. nested; testing via model comparison vs. testing via looking at the interaction coefficient within one model)</t>
  </si>
  <si>
    <t>Overzealous use of random effects without thinking about what they mean (e.g., always using crossed random effects of Subjects and Items when the design actually doesn't justify a random effect for Item)</t>
  </si>
  <si>
    <t>Baayen, H. 2008. Analyzing Linguistic Data.
various threads on R mailing list</t>
  </si>
  <si>
    <t>varies depending on the experiment</t>
  </si>
  <si>
    <t>Depends on the size of the model and the nature of the predictions. For a simple design with clear-cut predictions, citing the stats in the prose is fine. For a large model with lots of terms, a table is often more useful.</t>
  </si>
  <si>
    <t>Yes, I believe it is useful for others trying to learn models, and in the context of an article it is good to be transparent</t>
  </si>
  <si>
    <t>Yes, for transparency's sake</t>
  </si>
  <si>
    <t>With a number of potential different ways to approach mixed models, it is important to use the most appropriate method for your data - small changes to models can potentially make big changes to data in terms of effect sizes etc.</t>
  </si>
  <si>
    <t>I always make sure I am consistent in my approach (using maximal random-slope models), but I am concerned that my methods may not match other researchers - or may be deemed inappropriate by others.</t>
  </si>
  <si>
    <t>Yes - with different approaches it is difficult to know what to make of model outputs without seeing the exact models used (these are often not used in publications). I also think that with a lot of uncertainty and the novelty of mixed models, often reviewers may not give analysis sections enough scrutiny</t>
  </si>
  <si>
    <t xml:space="preserve">An R/LME workshop initially. Since then papers by Barr et al. and others. As well as several websites and online tutorials. </t>
  </si>
  <si>
    <t xml:space="preserve">RT ~ factor1 + (factor1|subjectID) + (factor1|itemID)
</t>
  </si>
  <si>
    <t>In text is fine.</t>
  </si>
  <si>
    <t>Yes. 
It would like others' thoughts on my methods.</t>
  </si>
  <si>
    <t xml:space="preserve">Yes. 
Transparency is a good thing - as mentioned before I would like to know exactly how other researchers got their outputs </t>
  </si>
  <si>
    <t>us</t>
  </si>
  <si>
    <t>lack of established methods for use
lack of a text book
lack of courses for students</t>
  </si>
  <si>
    <t>change to lmer are poorly understood yet cause big changes in model fit.</t>
  </si>
  <si>
    <t>I think the relevant quote from a senior person in my field went something like this: "Giving mixed models to psycholinguists is like giving a machine gun to a toddler." 
The problem is that the models are quite powerful and can easily generate type 1 error if you don't know what you're doing</t>
  </si>
  <si>
    <t>lmer in r</t>
  </si>
  <si>
    <t xml:space="preserve">baayen book
papers in 2008 special issue of JML
snijers and bosker
</t>
  </si>
  <si>
    <t xml:space="preserve">DV ~ factor1*factor2 + (1+factor1*factor2|subjectID) + (1+factor1*factor2|itemID), family = binomial
</t>
  </si>
  <si>
    <t>same story different paths to that story</t>
  </si>
  <si>
    <t>table; text is messy</t>
  </si>
  <si>
    <t>yes; it helps best practices</t>
  </si>
  <si>
    <t>yes in an online supplement
to improve best practice</t>
  </si>
  <si>
    <t>Finding documentation, learning R, and the fact that it is relatively new so recommended practices are in development and not always fully agreed upon (this seems to be changing now)</t>
  </si>
  <si>
    <t>How to compute effect sizes and confidence intervals (I think the package LmerTest might do this but need to look into it).</t>
  </si>
  <si>
    <t>Again, recommended practices are in development although consensus seems to emerge now. Also, especially in the beginning people (including me, and probably reviewers) did not understand the analyses. Compared with an Anova that one could do by hand, it is not so easy to see what is going on "under the hood" in mixed-effects models.</t>
  </si>
  <si>
    <t>- Courses, workshops
- papers by Harald Baayen and by Dale Barr (all of the JML papers)
- Dale Barr's website
- conversations with colleagues</t>
  </si>
  <si>
    <t>RT ~ factor1*factor2 + (1+factor1*factor2|subjectID) + (1+factor1*factor2|itemID)</t>
  </si>
  <si>
    <t>My mixed-effects models usually yielded the same results as Anovas and correlations. Small differences have gone in both directions (for instance, p-values lower in mixed-effects than Anova and the other way around).</t>
  </si>
  <si>
    <t>It depends. For big analyses with lots of factors: in a table or plots, as long as the table and/or text clearly specifies what was compared with what (contrasts etc.). For analyses with fewer factors: in text, so that the writer can comment and take the reader by the hand through the results.</t>
  </si>
  <si>
    <t>I have shared code with collaborators/colleagues and would do so with others who asked because it is good practice.</t>
  </si>
  <si>
    <t>Sure, I might learn something and for reviewers it could be helpful (I have heard from some people that they actually put lots of code in submitted papers for review purposes, however it doesn't end up in the published version)</t>
  </si>
  <si>
    <t>Language comprehension</t>
  </si>
  <si>
    <t>18 yrs</t>
  </si>
  <si>
    <t>Lack of training for both new and old researchers</t>
  </si>
  <si>
    <t>Concerns about extent to which reviewers are qualified to judge the analsyses</t>
  </si>
  <si>
    <t>Lack of consistency in approach</t>
  </si>
  <si>
    <t>Orgniaised I house training course as minimal training available.</t>
  </si>
  <si>
    <t>Can't recall. On mobile device</t>
  </si>
  <si>
    <t>Lower P&amp;M values usually seen in lme analyses</t>
  </si>
  <si>
    <t xml:space="preserve">No opinion </t>
  </si>
  <si>
    <t>25 years</t>
  </si>
  <si>
    <t>Agreed reporting standards
Rapidly changing software</t>
  </si>
  <si>
    <t xml:space="preserve">That whatever I do may be superseded as "best practice" (of course this is true for any analyses but mixed models seem to be moving fast) </t>
  </si>
  <si>
    <t>Mixed models aren't a panacea</t>
  </si>
  <si>
    <t>R with lme4</t>
  </si>
  <si>
    <t>Baayen (2008)
Gelman &amp; Hill
Florian Jaeger's blog (hplab)
Interactions with colleagues</t>
  </si>
  <si>
    <t>DV ~ predictors + (within-s predictors|subjectID) + (within-i predictors|itemID)</t>
  </si>
  <si>
    <t xml:space="preserve">Logit mixed models allowed me to find "real" picture </t>
  </si>
  <si>
    <t>In a table because it's easiest to parse (plenty of R libraries for "standard" tables these days</t>
  </si>
  <si>
    <t>Yes
I believe in open science</t>
  </si>
  <si>
    <t>Yes
For evaluation/learning/open science</t>
  </si>
  <si>
    <t>Canada</t>
  </si>
  <si>
    <t>linguistics</t>
  </si>
  <si>
    <t>Only planar interactions (rather than complex surfaces) are modeled.</t>
  </si>
  <si>
    <t>random slopes are ignored too often, and contrasts for categorical variables are too often interpreted as main effects.</t>
  </si>
  <si>
    <t>Baayen (2008)</t>
  </si>
  <si>
    <t>RT ~ factor1 + (1 + factor1|subjectID) + (1+factor1|itemID)
assuming that factor 1 can take multiple values for subject and item</t>
  </si>
  <si>
    <t>Unless the effects are too subtle, multiple regression models with fixed effects replicated the results of mixed-effects models.</t>
  </si>
  <si>
    <t>A table and a partial effects plot, to enable both the visual assessment of effects and the formal inspection of inferential parameters.</t>
  </si>
  <si>
    <t>Yes, to ensure falsifiability of analyses and interpretations.</t>
  </si>
  <si>
    <t>Yes, to be able to replicate results and learn new techniques.</t>
  </si>
  <si>
    <t>R; Mlwin (I used to use SPSS Syntax, but SPSS is to slow)</t>
  </si>
  <si>
    <t>courses by two specialists in the field (on professor of psycholinguistics, one professor of psychology)</t>
  </si>
  <si>
    <t>Answer ~ (factor1 * factor2) + factor3 + (1|subjectID) + (1|itemID)</t>
  </si>
  <si>
    <t>table
because some results can only be interpreted in the context of all results (e.g. coefficients when using treatment contrasts), and this is just a lot easier when all results are given in a table than when hidden in text</t>
  </si>
  <si>
    <t xml:space="preserve">i would if this was the standard procedure and part of the job. 
right now i don't, because I am too lazy to clean my messy scripts </t>
  </si>
  <si>
    <t>I would not find it too important. I don't feel like testing other peoples' work.
It could be useful for borrowing R codes.</t>
  </si>
  <si>
    <t>Netherlands</t>
  </si>
  <si>
    <t>psycholinguistics, reading comprehension</t>
  </si>
  <si>
    <t xml:space="preserve">1. Taking into account random variance of items and subjects in one analysis.
2, More straightfowrad implementation of continuous predictors (i.e. compared to repeated measures anova's </t>
  </si>
  <si>
    <t>1. Starting with simple model and add factors one by one to see improvement in the model OR immediately test the model that seems most relevant from a theoretical point of view
2. Include random slopes in your random factors or intercept only? I get confused by this debate and now just follow Barr 2013</t>
  </si>
  <si>
    <t>It is a problem in the review process. I often get comments on the analyses that make no sense.
On the other hand, I myself find it also difficult to provide constructive feedback to authors when they use mixed-models</t>
  </si>
  <si>
    <t>R lme4 pacakage</t>
  </si>
  <si>
    <t>Mostly by asking colleagues who know what they are doing.</t>
  </si>
  <si>
    <t>RT = 1 + factor1*factor2 (1 +factor1*factor2|sub) (1 +factor1*factor2|item)</t>
  </si>
  <si>
    <t>comparable results but somehow  I'm more confident in case of significant results in case of the mixed-efffects models</t>
  </si>
  <si>
    <t>full models in a table. Especialy with complex models i want to see the estimates and t-values of the non-significant effects in the model</t>
  </si>
  <si>
    <t>to learn from</t>
  </si>
  <si>
    <t>France</t>
  </si>
  <si>
    <t>18 years</t>
  </si>
  <si>
    <t>understanding the mathematical aspects and learning how to use R</t>
  </si>
  <si>
    <t>training by lab colleagues</t>
  </si>
  <si>
    <t>In general, the mixed model analyses give the same pattern of results than the traditional F1 and F2 ANOVA analyses</t>
  </si>
  <si>
    <t>in text</t>
  </si>
  <si>
    <t>yes, I already do so</t>
  </si>
  <si>
    <t>yes, it would be helpful to compare with results of my own experiments</t>
  </si>
  <si>
    <t>35 years</t>
  </si>
  <si>
    <t>learning to use R appropriately - knowing whether one is doing so</t>
  </si>
  <si>
    <t xml:space="preserve">the statistics sections in papers, if they really explain what was done, need to be very long. This can detract from the main point of the paper.
It is hard sometimes to decide when one is 'overfitting' a model; It's also now easier to generate many complex effects that are not directly testing a particular hypothesis.
</t>
  </si>
  <si>
    <t xml:space="preserve">Reviewers often seem to ask for mixed models, or a particular kind of analysis on the basis of what is fashionable, and not on the basis of knowing what is appropriate. 
</t>
  </si>
  <si>
    <t xml:space="preserve">Book / websites / journal articles in Journal of Memory and Language.
Authors:
H. Baayen, K. Johnson, S. Vasishth, F. Jaegar, D. Barr, D. Mirman, </t>
  </si>
  <si>
    <t>that's the one, but w/ 3 factors and all interactions, to start.  Sometimes we add more complex slopes to the error terms.</t>
  </si>
  <si>
    <t xml:space="preserve">The real answer to the yes/no questions above is 'sometimes.'
This question is to general - I don't know what you are asking. </t>
  </si>
  <si>
    <t>In a table if there are lots of variables, so it's easier to find them.</t>
  </si>
  <si>
    <t>yes. It's science, we should be open about what we have done.</t>
  </si>
  <si>
    <t xml:space="preserve">No. It takes up too much room, and is a digression from the main force of most papers. Maybe it could be on a website for people who are interested. </t>
  </si>
  <si>
    <t>Linguistics (Variationist Sociolinguistics)</t>
  </si>
  <si>
    <t>4.5 years</t>
  </si>
  <si>
    <t>More of a learning curve than fixed-effects models, in terms of both the statistical theory and the software that can accommodate them.</t>
  </si>
  <si>
    <t>At the moment I just worry that I don't use them enough. I'm getting the hang of them, but it's taking time.</t>
  </si>
  <si>
    <t>They're just beginning to emerge, and they appear to suit the research very well.</t>
  </si>
  <si>
    <t>R and various packages for it</t>
  </si>
  <si>
    <t>Statistics for Linguistics with R, by Stefan Thomas Gries
The rest of it has been a mix of workshops and osmosis.</t>
  </si>
  <si>
    <t>Variable ~ factor + factor + factor*interaction + (1|subject) + (1|lexical item)</t>
  </si>
  <si>
    <t>The mixed-effects models were a little more sophisticated and showed that some apparent effects in earlier research were attributable to random effects (especially individual differences).</t>
  </si>
  <si>
    <t>Text or table.</t>
  </si>
  <si>
    <t>Sure. I'm not possessive of it, and it might well help someone else.</t>
  </si>
  <si>
    <t>It would make sense for full transparency/replicability, but at the moment I wouldn't insist on it.</t>
  </si>
  <si>
    <t xml:space="preserve">linguistics </t>
  </si>
  <si>
    <t xml:space="preserve">There are no clear standards and everybody thinks they know best but it 
Would most do not have a clue. The interface is user hostile </t>
  </si>
  <si>
    <t xml:space="preserve">What I said above </t>
  </si>
  <si>
    <t>What I said above. Nobody knows what they are doing. Using them is a badge of honour and asmall such a sign of academic insecurity rather than a reflection of genuine understanding or academic need</t>
  </si>
  <si>
    <t>Books, training workshops, papers, colleagues</t>
  </si>
  <si>
    <t>Don't use a single formula</t>
  </si>
  <si>
    <t xml:space="preserve">Not sure what you mean but so far I cannot see any difference in results compared to traditional methods </t>
  </si>
  <si>
    <t>A suitable combination. As traditionally done: enough detail four readers to understand what you did but also a narrative so readers do not have to interpret the results for you</t>
  </si>
  <si>
    <t xml:space="preserve">Yes, it would help with standardisation. Could go in an appendix </t>
  </si>
  <si>
    <t>Yes for the same reasons mentioned above</t>
  </si>
  <si>
    <t>Squaring the debates/advice in the literature, e.g. including random slopes.</t>
  </si>
  <si>
    <t>I'm just starting out with mixed models so still need support of a mentor at every step.</t>
  </si>
  <si>
    <t>Winter, B. (2013). Linear models and linear mixed effects models in R with linguistic applications.
arXiv:1308.5499. [http://arxiv.org/pdf/1308.5499.pdf]
Barr, D. J., Levy, R., Scheepers, C., &amp; Tily, H. J. (2013).  Random-effects structure for confirmatory hypothesis testing: Keep it maximal. Journal of Memory and Language, 68, 255-278.
Baayen, R.H., Davidson, D.J. and Bates, D.M. (2008) Mixed-effects modeling with crossed random effects for subjects and items. Journal of Memory and Language 59, 390-412
Support from two mentors</t>
  </si>
  <si>
    <t xml:space="preserve">fc ~ factor1*factor2 + (1+factor1*factor2  | pname) + (1+factor1*factor2 | trial) </t>
  </si>
  <si>
    <t>in a table</t>
  </si>
  <si>
    <t>not yet; am too inexperienced</t>
  </si>
  <si>
    <t>yes - would be great for learning and checking methods</t>
  </si>
  <si>
    <t>not everyone understands how to interpret them, what random effects structure to use, how to code their fixed effects</t>
  </si>
  <si>
    <t>i wish there were clearer guidelines about reporting of covariance matrices, coding of variables</t>
  </si>
  <si>
    <t>i've now seen multiple times that people just add by-subject and by-item random intercepts as their random effects structure without motivation, and think that's good enough, when really we should be including the maximal random effects structure justified by the data</t>
  </si>
  <si>
    <t>targeted workshops/lab meetings; Gelman &amp; Hill (2007); Barr, Levy, Scheepers, and Tily (2013); Florian Jaeger's HLPlab wiki page http://wiki.bcs.rochester.edu/HlpLab/StatsCourses</t>
  </si>
  <si>
    <t>for controlled experiments: 
RT ~ f1*f2 + (1+f1*f2|subject) + (1+f1*f2|item)
for corpus studies: 
choice ~ f1 + f2 + f3 + f4 + f5 ... + (1|speaker)</t>
  </si>
  <si>
    <t>a table -- clearest overview, all information in one unified format</t>
  </si>
  <si>
    <t>yes -- replicability; my lab has started putting all their projects (including anonymized data, experiments, analysis scripts) on github for transparency</t>
  </si>
  <si>
    <t>yes -- for replicability</t>
  </si>
  <si>
    <t>Sweden</t>
  </si>
  <si>
    <t>Being able to apply a maximal random effects structure and getting the model to converge, and how to understand the robustness or "value" of a finding where it was not possible to specify a maximal random effects structure.</t>
  </si>
  <si>
    <t>Not really any concerns. I try to design experiments so I don't end up in a position where I need "fancy" statistical maneuvers to resolve the situation.</t>
  </si>
  <si>
    <t>I fear people have moved from using ANOVA as a blind recipe, to using mixed models as a blind recipe. It is so easy to specify many predictors in a mixed model, and this may encourage some to stretch further that their data and ability to handle higher-order interactions would allow.</t>
  </si>
  <si>
    <t>Baayen - Analyzing Linguistic Data
Papers by Dale Barr, and Florian Jaeger.
Shorts statistics courses aimed particularly at mixed models.</t>
  </si>
  <si>
    <t>RT ~ factor1 + (factor1|subject) + factor1|item)</t>
  </si>
  <si>
    <t>I don't really compare against an ANOVA. I like to try with and without the different random effects, and plot many variables against each other, including residuals. I don't do this to go on a fishing expedition, but to pick up on curvilinear relationships, or certain points where an effects disappears. Stuff that gets easily missed if you just blindly enter a statistical formula. I'm playing around with generating proper prediction intervals at the moment.</t>
  </si>
  <si>
    <t>I prefer results in a table, as it is easier to read than in a text, and I get exact values if I want to double-check something. Partial effects plots are OK too, as long as it is clear that it is partial effects they are plotting.</t>
  </si>
  <si>
    <t>I would, ideologically, like to. At the same time, I'm also nervous about ironic effects such that the ones that are the most open with their analysis get scrutinized much harder and have more difficulty publishing results.</t>
  </si>
  <si>
    <t>Yes. I would like to see how they solve problems particular to their experiment.</t>
  </si>
  <si>
    <t>Phonetics, Psycholinguistics</t>
  </si>
  <si>
    <t>30+ years</t>
  </si>
  <si>
    <t xml:space="preserve">difficulty to specify and estimate models with adequate random structure in experimental paradigm. insufficient higher-level units in experiments. </t>
  </si>
  <si>
    <t xml:space="preserve">see above. </t>
  </si>
  <si>
    <t>MLwin, R, SPSS</t>
  </si>
  <si>
    <t>books by H Goldstein and JJ Hox, book by Pinheiro &amp; Bates</t>
  </si>
  <si>
    <t>RT ~ 1 + trialnumber + factor1*factor2 + (1+trialnumber+factor1*factor2|subjectID) + (1+trialnumber+factor1|itemID) # factor 2 is between item factor</t>
  </si>
  <si>
    <t>mixed-effects models are superior</t>
  </si>
  <si>
    <t>table, best to convey numerical information</t>
  </si>
  <si>
    <t xml:space="preserve">yes. 
replicability, transparency. 
use estimates of random effects to compute power for future studies. </t>
  </si>
  <si>
    <t xml:space="preserve">yes, see above. </t>
  </si>
  <si>
    <t>4 yrs.</t>
  </si>
  <si>
    <t>Model selection</t>
  </si>
  <si>
    <t>More researchers are using them, however, there are still many who don't understand them very well.</t>
  </si>
  <si>
    <t>R, lme4</t>
  </si>
  <si>
    <t>Baayen, Davidson, Bates (2008); Baayen &amp; Millin (2010); Barr et al. (2013); Jaeger (2008); Singer &amp; Willet (2003); Baayen (2008);</t>
  </si>
  <si>
    <t>RT ~ Preds + (1 + Preds (if appropriate) | Subject) + (1 + Preds (if appropriate) | Item)</t>
  </si>
  <si>
    <t>A very small effect detectable with the mixed model was not detectable in separate subject and item t-tests.</t>
  </si>
  <si>
    <t>In a table and as effects plots. Providing both makes understanding the results simpler.</t>
  </si>
  <si>
    <t>Yes. To allow others to reproduce the analysis.</t>
  </si>
  <si>
    <t>Yes, to learn from the code and be able to check the analyses of others.</t>
  </si>
  <si>
    <t>1) Model fitting procedures:
-Knowing how to treat and code data (e.g., to centre, whether to transform, if and how to use contrast coding etc)
-Following proper model fitting procedures
-Model comparisons
-Fitting random effects structures
2) Model evaluation
-Knowing how to test whether a model violates the assumptions of the specific model type being used
-Knowing how to deal with violation of assumptions when they arise
-Knowing how to evaluate a model's fit
-Knowing how to assess models for outliers and what to do about outliers when present</t>
  </si>
  <si>
    <t>My primary concerns surround reporting of mixed models. There are currently no established conventions or best-practices in my field for how to report mixed models and what information to include. As such, it can be difficult to decide how much information about model fitting and evaluation to actually report.</t>
  </si>
  <si>
    <t>Yes:
1) There is a lack of convention or established best-practices and how to report on mixed models
2) There is a lot of misunderstanding or sheer ignorance about mixed models, what their assumptions are and how they work.
Together, this issues sometimes make it difficult to be able to evaluate and trust the results of some research when it is not clear from model reporting that the authors knew what they were doing and actually properly fit an appropriate model to the data.</t>
  </si>
  <si>
    <t>R and associated packages</t>
  </si>
  <si>
    <t>Courses:
-Graduate statistics course taken in the Linguistics Department at the University of Alberta, taught by Antti Arppe, a quantitative linguist
-2 week course on mixed models taught by Florian Jaeger
-Graduate level statistics course taught by Joseph Roy
Websites:
-HLP/Jaeger Lab Blog
-StackOverflow
-statmethods.net
-CRAN documentation
Books:
-Analyzing Linguistic Data: A practical introduction to statistics. R. H. Baayen. 2008
-Discovering Statistics Using R. A. Field, J. Miles &amp; Z. Field. 2012
Papers:
Baayen, R. H., Davidson, D. J., &amp; Bates, D. M. (2008). Mixed effects modelling with crossed random effects for subjects and items. Journal of Memory and Language, 59, 390-412</t>
  </si>
  <si>
    <t>DV ~ IV1 + IV2 + IV3 + IV2*IV3 + (1+REf1 + Ref2|Subject) + (1|Items), data=Data</t>
  </si>
  <si>
    <t>Generally I prefer to have models reported in a table. I find these easier to read and follow. Where appropriate, though, partial effects plots are also helpful if not necessary to facilitate interpretation of results, particularly in the case of complex interactions where coefficients don't necessarily make the true nature of an interaction clear.</t>
  </si>
  <si>
    <t>Yes. I believe this is an absolutely essential practice to hold people accountable and maintain scientific honesty and integrity, to ensure proper practices are being taken, and to facilitate additional research and replication of previous results. This data would also be extremely helpful for meta-analyses and for future research to be able run power analyses based on previous findings.</t>
  </si>
  <si>
    <t>My reasons for wishing to access analysis code and data in published reports essentially parallels my reasons for why I would share analysis code and data. With data storage not being as great an issue as it once was, I feel that this is a crucial step for fields to take in order to help the advancement of scientific knowledge.</t>
  </si>
  <si>
    <t>sometimes to few groups/cases to estimate random effects</t>
  </si>
  <si>
    <t>Sometimes forward modeling is used where one predictor is added after the other and then model fit is compared. But this is not good because the order of adding predictors heavily influences inference. It would be better to always use backward modeling where one has a full model with all predictors and removes one at a time.</t>
  </si>
  <si>
    <t xml:space="preserve">[Jaeger, 2008] Jaeger, T. F. (2008). Categorical data analysis: Away from ANOVAs (transformation or not) and towards logit mixed models. Journal of Memory and Language, 59(4):434â€“446.
[Baayen, 2008] Baayen, R. H. (2008). Analyzing Linguistic Data: A Practical Introduction to Statistics Using R. Cambridge University Press, Cambridge.
[Mirman, 2014] Mirman, D. (2014). Growth Curve Analysis and Visualization Using R. Chapman &amp; Hall/CRC, Boca Raton.
[Barr et al., 2013] Barr, D. J., Levy, R., Scheepers, C., and Tily, H. J. (2013). Random effects structure for confirmatory hypothesis testing: Keep it maximal. Journal of Memory and Language, 68(3):255â€“278.
[Barr, 2013] Barr, D. J. (2013). Random effects structure for testing interactions in linear mixed-effects models. Frontiers in Psychology, 4(328).
Stackoverflow
http://glmm.wikidot.com/faq
</t>
  </si>
  <si>
    <t>RT ~ 1 + factor + control.variable + (1 + factor | subject) + (1 + factor | item)</t>
  </si>
  <si>
    <t>the main analysis model should be reported in a table, if there are other submodes fitted (to rule out certain other interpretations), these could be reported in the text</t>
  </si>
  <si>
    <t>only with collaborators or if I had to
model formulas, however, should be part of papers</t>
  </si>
  <si>
    <t>model formula should be part of papers so that readers can see exactly what the RE structure etc. was</t>
  </si>
  <si>
    <t xml:space="preserve">The biggest challenge is finding the best model that fits my data. What is the best way to go about doing it? Where should I start? Do I start with the full model and do backward elimination? I'm told to look for the lowest AIC value but if the chi-square fitness test is not significant comparing two models, do I still go with the model with the lower AIC value? </t>
  </si>
  <si>
    <t xml:space="preserve">Yes, my concern is that the reviewers for my manuscript do not understand mixed models and may have a difficult time understanding the results. Some reviewers want to see the actual stats in the main text while others prefer the results to be precise and clean and only providing a table will suffice. </t>
  </si>
  <si>
    <t>I think more people should use mixed models. Also, there is no standard way of reporting mixed models. Although including a table of the mixed model output is a must, some researchers choose to include the stats in the main text (i.e. t and p values) and some researchers choose not to do so.</t>
  </si>
  <si>
    <t>R studio</t>
  </si>
  <si>
    <t>R workshop provided at my university. R cookcook http://www.cookbook-r.com/</t>
  </si>
  <si>
    <t xml:space="preserve">accuracy ~ factor1:factor2+ (factor1|Subject)+(factor1:factor2|Item) </t>
  </si>
  <si>
    <t xml:space="preserve">both in text and in a table. When I report the estimates in a table, reviewers asked for more stats in text. When I include the stats in text, other reviewers asked me to remove them because they can just look at the table. </t>
  </si>
  <si>
    <t xml:space="preserve">Yes, some journals now require access to raw data. </t>
  </si>
  <si>
    <t>Yes, I'd like to access analysis code so I can learn from other researchers how they analyze their data.</t>
  </si>
  <si>
    <t>U.S.</t>
  </si>
  <si>
    <t>experimental psycholinguistics</t>
  </si>
  <si>
    <t>A high level of expertise required;
time-consuming;
absence of training;
no agreed-on standards</t>
  </si>
  <si>
    <t>All of the issues mentioned above. I have been relying on help of 2 graduate students who are being trained as statistitians. I have always used ANOVA myself.</t>
  </si>
  <si>
    <t>Lack of agreed-upon standards for analysis of VWP data</t>
  </si>
  <si>
    <t>R and its specialized packages (lmer)</t>
  </si>
  <si>
    <t>Books by Stefan Greis, local tutoring seminars</t>
  </si>
  <si>
    <t>I do not have access to scripts right now</t>
  </si>
  <si>
    <t>In a table</t>
  </si>
  <si>
    <t>I would, but it is up to my statistician co-authors</t>
  </si>
  <si>
    <t>Yes, if the code has extensive comments</t>
  </si>
  <si>
    <t>Specify appropriate random structure + visualize multidimensional effects</t>
  </si>
  <si>
    <t xml:space="preserve">I am now trying to use them, with RTs and Accuracy. Concerns are related to applying mixed models to electrophysiological data </t>
  </si>
  <si>
    <t>They might sometimes be anticonservative. Concerns are related to the fact that researchers do not explain to the apprpriate extent how the model tested was built</t>
  </si>
  <si>
    <t>Baayen 2008, one workshop and not much else.</t>
  </si>
  <si>
    <t>RT ~ factor1 + (1+factor1|subjectID) + (1|itemID)</t>
  </si>
  <si>
    <t>but I do not always compare mixed and traditional anovas</t>
  </si>
  <si>
    <t>depends on how many models are fitted. a table is good for reading times of one region, but often very large table disengage the reader.</t>
  </si>
  <si>
    <t>yes, because I would like to know where I am doing wrong</t>
  </si>
  <si>
    <t>Ideal models often do not converge
Assumptions are not always met but models are still used (also because there is no ideal way to analyze data otherwise)</t>
  </si>
  <si>
    <t>yes, in case convergence is only reached after several simplifications of the model because it is a little random which random effects remain</t>
  </si>
  <si>
    <t>see above. Also people do use models without understanding them too often. Which is not the researchers' fault really, a psychologist is not a statistician, it is just a difficult transition from old ways of analyzing to new ways without guidelines which are easy enough for everyone to follow.</t>
  </si>
  <si>
    <t>workshops, R-website ressources</t>
  </si>
  <si>
    <t>Accuray ~ factor1 * factor 2 + (factor1 * factor 2|subjectID) + (factor1 * factor 2|itemID)</t>
  </si>
  <si>
    <t>sometimes they are different. It depends whether that worries me or not, depending on which model in that case seems more appropriate to me (e.g. if convergence problems were serious I start doubting the output)</t>
  </si>
  <si>
    <t>I think tables are often more detailled and hence transparent</t>
  </si>
  <si>
    <t>yes of course, I wish there was more sharing and more standards. It is a problem if everybody is doing things their own way (and some of those ways will not be correct). We definitely need transparency and standards here because most of us are not statisticians.</t>
  </si>
  <si>
    <t>yes, same reason as above</t>
  </si>
  <si>
    <t>Linguistics (Phonetics)</t>
  </si>
  <si>
    <t>1. "Too easy" to use in software like R without actually knowing what you're doing
2. Lack of standards for usage and reporting makes it difficult to evaluate and replicate others' work</t>
  </si>
  <si>
    <t>Yes - sometimes I feel like I am not on firm ground and don't know what I'm doing, and there are not standards for what to do (this is partly because all research is inherently different and so different methods SHOULD be used, and partly due to people not knowing what they're doing)</t>
  </si>
  <si>
    <t>Yes, see above.</t>
  </si>
  <si>
    <t>internet resources (the lmer group) and various blogs etc.</t>
  </si>
  <si>
    <t>RT ~ factor1 + (factor1|subID)</t>
  </si>
  <si>
    <t>I wasn't sure how to evaluate the difference</t>
  </si>
  <si>
    <t>Table and plot. Difficult to read/interpret in text. Table provides the details, and plot provides visualization</t>
  </si>
  <si>
    <t>Yes. Necessary for replication.</t>
  </si>
  <si>
    <t>Yes. Necessary for replication and to learn from others' work.</t>
  </si>
  <si>
    <t>eight years</t>
  </si>
  <si>
    <t>complex math behind it not easy to grasp</t>
  </si>
  <si>
    <t>no, as long as data and code are open to interested colleagues</t>
  </si>
  <si>
    <t xml:space="preserve">Baayen's book on using R for empirical linguistics </t>
  </si>
  <si>
    <t xml:space="preserve">yes, to ensure replicability
</t>
  </si>
  <si>
    <t>yes, to ensure replicability</t>
  </si>
  <si>
    <t>interpreting the effects</t>
  </si>
  <si>
    <t>-</t>
  </si>
  <si>
    <t xml:space="preserve">Baayen, R. H. (2008) Analyzing Linguistic Data. A Practical Introduction to Statistics Using R. </t>
  </si>
  <si>
    <t>logRT ~ factor1*factor2 + (1 | item) + (1 + factor1*factor2 | subj)</t>
  </si>
  <si>
    <t>ok</t>
  </si>
  <si>
    <t>Spain</t>
  </si>
  <si>
    <t>visual word recognition; Psycholinguistics</t>
  </si>
  <si>
    <t>learn to use them appropritely and confidently</t>
  </si>
  <si>
    <t>I concern about the way I fixed the final model to report the data</t>
  </si>
  <si>
    <t>no, each day more colleagues are using it</t>
  </si>
  <si>
    <t>Tutorials from R web page and learn from a colleague in a research stay</t>
  </si>
  <si>
    <t>a=lmer(responsetime~xxx*yyyy*zzz+(1|item),data= q)</t>
  </si>
  <si>
    <t>with mixed model the frequency of words reached significance but it was "controlled" in a factorial desing</t>
  </si>
  <si>
    <t>Tables are fine and easy to interpret</t>
  </si>
  <si>
    <t>yes, not relevant the way, but the results. Cooperation is fine.</t>
  </si>
  <si>
    <t>yes, to be transparent and in the future, maybe, analyse the way others have performed</t>
  </si>
  <si>
    <t>Language Acquisition</t>
  </si>
  <si>
    <t>the R language itself</t>
  </si>
  <si>
    <t>advanced courses at my university</t>
  </si>
  <si>
    <t>RT ~ factor1 + (1|subjectID) + (1|itemID)
with more than one factor</t>
  </si>
  <si>
    <t>in the text and in the table</t>
  </si>
  <si>
    <t>it would be nice but I doubt that would run as easy as it should</t>
  </si>
  <si>
    <t>Cognitive Psychology, psycholinguistics</t>
  </si>
  <si>
    <t>Fully learning a new analysis technique, identifying relevant assumptions/limitations for the data set</t>
  </si>
  <si>
    <t xml:space="preserve">Not so far. I always ask people who are more experienced than me with these models for their advice and possible approaches. </t>
  </si>
  <si>
    <t xml:space="preserve">In published reports, it is hard to see how some factors are coded, making interpretation sketchy sometimes. What counts as the best-fit model can depend on whether you start with a fully saturated model and work down, or if you are doing competing model fits for most variance explained. </t>
  </si>
  <si>
    <t>R, lme4, languageR, nlme</t>
  </si>
  <si>
    <t xml:space="preserve">lab group of other psycholinguists; texts (e.g., Baayen, 2008), Florian Jaeger's blog, published articles (Barr 2008; Barr et al., 2013; Baayen et al., 2008; JML special issue on data analysis; Gelman et al., 2012), workshops at conferences. </t>
  </si>
  <si>
    <t>RT ~ REFnp * REFg * cSymSpan + cList + GType + Producer + (1 + REFnp * REFg |fSubject) + (1|fItem)</t>
  </si>
  <si>
    <t xml:space="preserve">multi-level models can account for variation in individual subjects (or items) to a more effective degree (e.g., adding random slopes). Often if an effect is marginal in an ANOVA, or shows up in one dependent measure or region but not dependably, a mixed effects model will show more consistent results. </t>
  </si>
  <si>
    <t xml:space="preserve">I think this depends on the complexity of the models, and the number of models being compared. </t>
  </si>
  <si>
    <t xml:space="preserve">Yes, and I have shared code. Others have shared their code with me, too. I would share data with someone who asked for it, and I could be confident that they wanted to use it for a beneficial scientific endeavor. Because our science will benefit from sharing techniques and being open about our methods. Also, helping each other is good citizenship. </t>
  </si>
  <si>
    <t xml:space="preserve">I'm not sure it's critical in a published report, but having it available in supplementary materials, or an example set of analyses could be helpful. Once there are more established standards, this will become less needed, I suspect. Some researchers will always be doing fancier stuff than the majority, and it helps to be able to break into the new stuff if there are examples to learn from and understand more fully. </t>
  </si>
  <si>
    <t>come up with the model that best interprets your data</t>
  </si>
  <si>
    <t>I'm sometimes concerned of not being using the right type of model</t>
  </si>
  <si>
    <t>Baayen (2008), R help guide</t>
  </si>
  <si>
    <t>mixed model better captured and sort out the variability in the data</t>
  </si>
  <si>
    <t>In a table. It's easier for me to see and interpret the coefficients.</t>
  </si>
  <si>
    <t>I normally do. It's the best way of learning how to use these models</t>
  </si>
  <si>
    <t>Yes. It would be interesting to learn new models and to better understand some of the results. It may also help replicability.</t>
  </si>
  <si>
    <t>1) Computationally intensive relative to more "traditional" methods like ANOVA.
2) No clear consensus in the field about best practices regarding random effect structure.
3) No clear consensus in the field about best practices regarding p-value calculation for linear models.
4) No guarantee that a given model will actually yield an output.</t>
  </si>
  <si>
    <t>1) Given small N sizes, at what point is the random effects structure overfitting the model?
2) How much collinearity is too much?
3) How unbalanced can my experimental design be and still yield useful results?</t>
  </si>
  <si>
    <t>No field-specific concerns beyond the usual concerns with the use of NHST by non-specialists (e.g. file-drawer problems; lack of understanding of fundamental statistical principles; etc).</t>
  </si>
  <si>
    <t>lme4 package in R</t>
  </si>
  <si>
    <t>Baayen, Davidson, Bates (2008, Journal of Memory and Language)
Barr, Levy, Scheepers, Tily (2013, Journal of Memory and Language)
Doug Bate's lme4 book draft
Baayen "Analyzing Linguistic Data" (2008, Cambridge University Press)
Johnson "Quantitative Methods in Linguistics" (2008, Blackwell)
Faraway, "Extending the Linear Model with R" (2006, Chapman &amp; Hall)</t>
  </si>
  <si>
    <t>RT ~ factor1 * factor2 + (factor1 + factor2 | subjectID) + (factor1 + factor2 | itemID)
I do not tend to include interaction terms in random slopes. For nonlinear models (e.g. Poisson) I often exclude random slopes entirely.</t>
  </si>
  <si>
    <t>In a table, as it is easier to see all of the parameters that contribute to the model.</t>
  </si>
  <si>
    <t>Yes, but only once I have finished my main analyses and published the majority of what I have to say. I believe that scientific data ought to be free and that research ought to be replicable. However, I also acknowledge the tremendous effort that many researchers go to to obtain their data, and given the cut-throat nature of academic publishing, understand why many wish to put a brief embargo on releasing their data.</t>
  </si>
  <si>
    <t>It would be nice to have, but I can think of very few papers that I have read where I have though "I really want to see the raw data".</t>
  </si>
  <si>
    <t>Model misspecification (we cannot know the true model and covariance structure; see Barr et al., 2013). Estimation is also sometimes unstable.</t>
  </si>
  <si>
    <t>A bit, because of the reason above.</t>
  </si>
  <si>
    <t>I think it is better than traditional models.</t>
  </si>
  <si>
    <t>R (lme4), HLM, Mplus</t>
  </si>
  <si>
    <t>Raudenbush &amp; Bryk (2002), Baayen et al. (2008).</t>
  </si>
  <si>
    <t>So various.</t>
  </si>
  <si>
    <t>Overall both are consistent but in some cases they are different and in these cases mixed effects model should be preferable.</t>
  </si>
  <si>
    <t>Text or a table.</t>
  </si>
  <si>
    <t>Yes. To be open to discuss model misspecification.</t>
  </si>
  <si>
    <t>Yes. Just curious.</t>
  </si>
  <si>
    <t>I'm not sure how I should structure my random effects. I also struggle to understand "contrasts" in a factorial design.</t>
  </si>
  <si>
    <t>As I wrote above, I am unsure about how to structure my random effects. I think it's also hard to find good explanations for what different contrasts do and how to choose an appropriate contrast.</t>
  </si>
  <si>
    <t>Yes. It's all too common for researchers in my field to say that they used mixed models without explicitly stating how their models were specified. This makes it quite difficult, if not impossible, to compare results across studies.</t>
  </si>
  <si>
    <t xml:space="preserve">Baayen, Davidson &amp; Bates. (2008). Mixed-effects modeling with crossed random effects for subjects and items. Journal of Memory and Language. 
Jaeger. (2008). Categorical data analysis: Away from ANOVAs (transformation or not) and towards logit mixed models. Journal of Memory and Language.
Barr, Levy, Scheepers &amp; Tily. (2013). Random effects structure for confirmatory hypothesis testing: Keep it maximal. Journal of Memory and Language.
</t>
  </si>
  <si>
    <t>RT ~ factor1 * factor2 + (1|subjectID) + (1|itemID)
I understand that I should also specify random slopes, but I am still unsure about what's the right way to do it.</t>
  </si>
  <si>
    <t>I look if both analyses point to the same effects of the experimental manipulations.</t>
  </si>
  <si>
    <t>Table.</t>
  </si>
  <si>
    <t xml:space="preserve">I'd be happy to share data, and I do not object to sharing my code in principle, but I'd be more hesitant if other people were to use my code on their data without first evaluating its suitability critically. </t>
  </si>
  <si>
    <t>Definitely.</t>
  </si>
  <si>
    <t>Understanding what to do when the model doesn't converge or when things otherwise don't work as you expected them to.</t>
  </si>
  <si>
    <t>No.</t>
  </si>
  <si>
    <t>Mostly training from my PhD advisor. I've also found Bodo Winter's online tutorial to be very helpful (http://www.bodowinter.com/tutorials.html) and also Julian Faraway's "Extending the Linear Model with R". Also Florian Jaeger's paper in JML, and some papers by Hugo Quene.</t>
  </si>
  <si>
    <t>Something like that,but usually with random slopes, too:
accuracy ~ f1 + f2 + (f1 + f2|subject) + (1|item), or something along those lines.</t>
  </si>
  <si>
    <t>Table. It's easier to see everything at once.</t>
  </si>
  <si>
    <t>Yes, if someone asked.</t>
  </si>
  <si>
    <t>Yes, that would be very helpful in learning how to use these techniques.</t>
  </si>
  <si>
    <t>37 years</t>
  </si>
  <si>
    <t>1. Learning how to use software (e.g. lme4, SPSS MIXED) to run the analyses.
2. Understanding the components of the models, e.g. random slopes, random intercepts, covariance structures for repeated measures and random effect.
3. Understanding how those components related to components of standard ANOVA models.
4. Understanding what choices, if any, the software makes available (e.g. for covariance structures in lme4).
5. Understanding how to interpret the models (e.g. effect of missing data on orthogonality of tests of fixed effects).</t>
  </si>
  <si>
    <t>These concerns arise from the issues mentioned above and a lack of confidence that i am totally on top of them</t>
  </si>
  <si>
    <t>People applying them without really understanding what they are doing</t>
  </si>
  <si>
    <t>lme4, SPSS MIXED</t>
  </si>
  <si>
    <t>Paper circulated by Marc Brysbaert
Papers by Dale Barr (2 in JML)
CUP book by Harald Baayen
Baayen et al paper in JML
lme4 documentation by Doug Bates
Pinhiero &amp; Bates book (for S and S-PLUS)
LEMMA (http://www.cmm.bris.ac.uk/lemma)
Chapter in Andy Field's book (SPSS version)
Roger Levy book draft (http://idiom.ucsd.edu/~rlevy/papers.html)
papers by Hugo Quene
etc.</t>
  </si>
  <si>
    <t>I would now tend to follow the advice of Barr et al, JML 2013 and include all the terms corresponding to those in an ANOVA model (so, subject*factor and item*factor, where appropriate - i.e. random slopes for within factors and interactions.</t>
  </si>
  <si>
    <t>Usually not very different, especially when not much missing data.
Sometimes mixed will be nonsig when F1 and f2 are (but perhaps quite close to .05).
Interpretation is hard!</t>
  </si>
  <si>
    <t>Probably a table.
Because I am most used to reading results from a table (so not a great reason)</t>
  </si>
  <si>
    <t>Yes
Why not? (though preferably before publication)</t>
  </si>
  <si>
    <t>Yes
I'm not always confident that the analyses have been carried out or reported properly</t>
  </si>
  <si>
    <t>Psychology of Language</t>
  </si>
  <si>
    <t>four years</t>
  </si>
  <si>
    <t>-Robustness to non-normality
-how to obtain 95% confidence intervals</t>
  </si>
  <si>
    <t>lme4 in R</t>
  </si>
  <si>
    <t xml:space="preserve">Univariate and Multivariate Statistics MSc Course at the University of Edimburgh
Analysing linguistic data with R (Baayen)
Data analysis using regression and multilevel models (Gelman &amp; Hill)
</t>
  </si>
  <si>
    <t>RT ~ 1+betweenfactor1+withinfactor2+(1+factor2|SubjectID)+(1+factor2|ItemID)
or
RT ~ 1+betweenfactor1+withinfactor2+(1|SubjectID)+(0+factor2|SubjectID)+ (1|ItemID)+(0+factor2|ItemID)
 if the first does not converge</t>
  </si>
  <si>
    <t>The two methods yield largely comparable results for balanced data sets.</t>
  </si>
  <si>
    <t>In a table: I think it is most clear, and easier to compare estimates for different factors.</t>
  </si>
  <si>
    <t>Yes. It would be a good way of learning if I'm doing something wrong.</t>
  </si>
  <si>
    <t>Yes. It would be a good way to learn, and I would trust the results more.</t>
  </si>
  <si>
    <t>You need to know what you are doing.  LMMs are not fool-proof.</t>
  </si>
  <si>
    <t>No, I don't have any concerns.  The reason is that I invested considerable time in understanding LMMs and I think I know how to use them.  The added flexibility compared to methods like the ANOVA was worth the effort. A lot of analyses could just not be done with ANOVAs.  LMMs are liberating.</t>
  </si>
  <si>
    <t>I have concerns about the use of statistics in general.  Compared to some other statistical problems, the issues with LMMs seem minor to me.  An example: people conduct tons of tests, planned and post-hoc, and rarely correct for multiple comparisons.  Reviewers don't seem to care.  That is a big problem and causes a lot of harm.  Compared to that, the field is very quick to implement best-practices in the LMM framework; take the maximal random effects structures as an example.  My biggest problem with other people's use of LMMs is that many still don't know how to report LMMs properly.</t>
  </si>
  <si>
    <t>lme4, Stan</t>
  </si>
  <si>
    <t>Mainly reading the books by Gelman &amp; Hill (2006) and Baayen (2008).  But also a lot of online resources, especially the R-lang and R-sig-ME mailinglists.  Also courses and discussions with colleagues.</t>
  </si>
  <si>
    <t xml:space="preserve">There is not really a typical formula.  The flexibility of the modeling approach its key advantage.  However, my models tend to be more complex than that given in the example.  They often include several categorical fixed effects, sometimes continuous covariates, random slopes if appropriate, and transformations of the dependent varianble.
</t>
  </si>
  <si>
    <t>Table and plots of coefficients with some kind of error bars.  Partial effects plots can be useful when the models are more complex.  I wish people would report the complete set of estimates not just those that are needed for the question of interest.  I'd like to be able to do basic diagnostics.  Estimates in the text are difficult to digest but unfortunately standard.</t>
  </si>
  <si>
    <t>Yes, because I also want access to other peoples data and code.</t>
  </si>
  <si>
    <t>Yes, to try alternative analyses.</t>
  </si>
  <si>
    <t>Applying them to EEG/ERP data</t>
  </si>
  <si>
    <t xml:space="preserve">No, when it comes to behavioral data. </t>
  </si>
  <si>
    <t xml:space="preserve">My post-doc adviser is an expert in the use of mixed model analyses. </t>
  </si>
  <si>
    <t>RT ~ factor1*factor2 + (1|subject) + (1|item)</t>
  </si>
  <si>
    <t>Yes, so that other researchers could check the results and/or replicate them</t>
  </si>
  <si>
    <t>Yes, it would be useful for the purpose of replicating results</t>
  </si>
  <si>
    <t>Lack of consensus on best practices.</t>
  </si>
  <si>
    <t>Yes! Complicated models' failing to converge. Knowing which advice to follow.</t>
  </si>
  <si>
    <t>Yes! Misapplication of mixed models by those not at the forefront of this area.</t>
  </si>
  <si>
    <t>Book by Harald Baayen, tutorials by Matt Goldrick and by Florian Jaeger</t>
  </si>
  <si>
    <t xml:space="preserve">Including by-subject and by-item random slopes as well as intercepts. </t>
  </si>
  <si>
    <t>Mixed models are typically more conservative, but not always.</t>
  </si>
  <si>
    <t>Table. Easier to read.</t>
  </si>
  <si>
    <t>Yes.</t>
  </si>
  <si>
    <t xml:space="preserve">Yes. </t>
  </si>
  <si>
    <t>US</t>
  </si>
  <si>
    <t>Linguistics/Psycholinguistics</t>
  </si>
  <si>
    <t>7.5 years since after PhD</t>
  </si>
  <si>
    <t xml:space="preserve">Since standards have not yet been defined or agreed upon, it's difficult to know what are the best practices to follow. For example, should someone start from the smallest model and progressively add terms to the model or start from the largest model and take terms out one at a time? Should random effects indeed be maximal (intercept + slope) even when the random slopes don't improve the models, and even if the model fails to converge? In the analysis of visual-world eye-tracking data (or any data with time as continuous variable), there's also the question of whether time should be a variable in the model (the same question applies to growth curve analysis) or whether it should not be given the non-independence of observations. There are also questions about best reporting practices. If a particular term does not improve the model, it is often removed from the model even if this term is tied to a variable that was part of the experimental design to begin with. If terms tied to a variable that is part of the experimental design are going to be excluded from a model, as a reader I would want to see evidence that these terms did not improve the model (e.g., with pairwise comparisons of models in an appendix), or else I would want to variable to stay in the model (and not be significant). I don't think anyone publishes such comparisons in appendices (do they in supplementary materials?).  </t>
  </si>
  <si>
    <t xml:space="preserve">See above.
</t>
  </si>
  <si>
    <t>See above.</t>
  </si>
  <si>
    <t xml:space="preserve">I initially learned from a student who gave a workshop on this topic. Then I read about it online and in books such as Baayen (2008). I haven't taken courses on this, though I am sure it would not hurt. </t>
  </si>
  <si>
    <t xml:space="preserve">Similar to this example. </t>
  </si>
  <si>
    <t>Most of the time the results are very similar.</t>
  </si>
  <si>
    <t>I prefer reporting them in tables. In the past, an editor has asked me to report only the significant values in the text (df, t, p) and report the complete models in tables in supplementary materials. I did not like that and found the resulting changes not sufficiently informative for the reader, but editors try to keep the papers short, so I felt there was not much I could do.</t>
  </si>
  <si>
    <t xml:space="preserve">The code yes. I guess I've always be hesitant to make the data public, but if requested by someone I would share the data. </t>
  </si>
  <si>
    <t>The analysis code would be informative.</t>
  </si>
  <si>
    <t>Lack of consensus on best practices using and reporting them. There is still no real standard.</t>
  </si>
  <si>
    <t>I have a system of practices I stick to, but I know the field does not agree with all of them.</t>
  </si>
  <si>
    <t>Things are definitely getting better since the JML special issue and I think we're moving towards a standard (hopefully).</t>
  </si>
  <si>
    <t>R (lmer package)</t>
  </si>
  <si>
    <t>Pretty much self taught with a lot of googling. All the important JML papers like Jaeger, 2008; Baayen et al, 2008; Barr et al, 2013....</t>
  </si>
  <si>
    <t>RT ~ factor 1 + (1+factor1|subject) + (1|item)</t>
  </si>
  <si>
    <t>Main effects in text, full model in a table... plot but only if it adds to the research question and clarifies an important point.</t>
  </si>
  <si>
    <t>Sure, but only if I knew people would make use of it. It's a lot of work to share it in a way that others can make sense of. I wouldn't want to spend that much time/effort otherwise.</t>
  </si>
  <si>
    <t xml:space="preserve">Honestly, not really. I don't have the time and I trust authors to report their results honestly. </t>
  </si>
  <si>
    <t>small teaching college</t>
  </si>
  <si>
    <t>children's language development</t>
  </si>
  <si>
    <t>Training in the software necessary for using mixed models seems limited in my field. Conceptual understanding is also difficult -- I have run into problems explaining findings to colleagues.</t>
  </si>
  <si>
    <t>Difficulty with explaining the conceptual aspects to colleagues</t>
  </si>
  <si>
    <t>Graduate course in longitudinal data analysis, Singer &amp; Willett 2003(?), Baayen's book on R and linguistic data</t>
  </si>
  <si>
    <t>DV~time+ factor+(1| subjectID)</t>
  </si>
  <si>
    <t>I think a table is easiest to read efficiently.</t>
  </si>
  <si>
    <t>Maybe but it would be difficult to decide what to share -- I often end up with lots of extra stuff that wasn't useful cluttering up the code.</t>
  </si>
  <si>
    <t>Might be nice but realistically I'm not sure I would take the time to look through it.</t>
  </si>
  <si>
    <t>Psychology and gerontology</t>
  </si>
  <si>
    <t>Building appropriate models in statistical programs</t>
  </si>
  <si>
    <t>Ensuring interpretations of accurate and described in a clear way</t>
  </si>
  <si>
    <t>Not enough people are familiar with them and may not use them appropriately</t>
  </si>
  <si>
    <t>Graduate courses</t>
  </si>
  <si>
    <t>Similar to the example given</t>
  </si>
  <si>
    <t>The general findings are similar but sometimes there are some patterns that emerge more clearly in the mixed models</t>
  </si>
  <si>
    <t>Estimated in text and table</t>
  </si>
  <si>
    <t>I would be happy to share data if there is a reason. Code sharing is less of a problem and should be included in appendices.</t>
  </si>
  <si>
    <t>Definitely the code. Data is less of a concern. If I wanted to see data, I would just ask.</t>
  </si>
  <si>
    <t>canada</t>
  </si>
  <si>
    <t>psycholinguistics and sociophonetics</t>
  </si>
  <si>
    <t>learning how to implement them in R
learning all the ins and outs after having been such an expert at anova and regression the old knowledge isn't enough anymore.  Kind of happy I'm about to retire.</t>
  </si>
  <si>
    <t>general uncertainty about what I'm doing
having to rely for the first time in my life on consultants to help me get the job done and then wondering whether I really agreed with my own conclusions.  With other methods I've been using all my career I am very flexible and can easily identify interesting problems and complications, and correct them, but with MM I'm now rather stupid.</t>
  </si>
  <si>
    <t>Simply the fact that people are finding it so hard to make the transition.  In psycholinguistics we have always had a kind of mixed models approach, with F1, F2 and minF'.  But we don't know much about whether the newer approaches are actually better.</t>
  </si>
  <si>
    <t>going back about 10 years... horrible horrible courses given by idiots who know everything and can't do the obvious:  explain how it differs from what we already know. I took 3 courses with some colleagues and we all learned approximately nothing of any use.</t>
  </si>
  <si>
    <t xml:space="preserve">No typical model and I have had help with it so I can't answer the question, although the above is transparent.  </t>
  </si>
  <si>
    <t>Not worthy of an answer because I had no way to be sure if the MM was better or worse -- just different looking.  Re the above Q about variance/covariance structure: I didn't want to answer because I don't know but you forced me to answer so I said no.</t>
  </si>
  <si>
    <t>No fuken idea.</t>
  </si>
  <si>
    <t>No because it's not mine; I get help.</t>
  </si>
  <si>
    <t>psychology</t>
  </si>
  <si>
    <t>20 years</t>
  </si>
  <si>
    <t>The continually changing methods.</t>
  </si>
  <si>
    <t xml:space="preserve">The method of calculating models changes frequently, and each change produces slightly different effects in my data. This makes me worry about the reliability of what I (and everyone else) reports.  </t>
  </si>
  <si>
    <t xml:space="preserve">See above. </t>
  </si>
  <si>
    <t>Informal training from colleagues</t>
  </si>
  <si>
    <t>Sorry - dont have that info here - would have to check</t>
  </si>
  <si>
    <t>I would be reluctant to publish if the mixed model showed very different results to traditional measures</t>
  </si>
  <si>
    <t>I dont mind</t>
  </si>
  <si>
    <t>Yes because data should be open -its silly for everyone to be wasting time creating code that has already been done or collecting data that is already out there</t>
  </si>
  <si>
    <t>No but there should be a link in the paper to a website where data can be accessed</t>
  </si>
  <si>
    <t>Belgium</t>
  </si>
  <si>
    <t>Cognitive psychology</t>
  </si>
  <si>
    <t xml:space="preserve">Understanding the mathematical modeling </t>
  </si>
  <si>
    <t>No full understanding of the different parameters</t>
  </si>
  <si>
    <t>websites, books</t>
  </si>
  <si>
    <t>RT ~ factor1 * factor2 + (1|subjectID) + (1|itemID)</t>
  </si>
  <si>
    <t>In that case, only mixed model analyses were appropriated (not possible to conduct F1 and F2 analyses on the set of data)</t>
  </si>
  <si>
    <t>text or table</t>
  </si>
  <si>
    <t>i'm not familiar with mixed models</t>
  </si>
  <si>
    <t>don't know</t>
  </si>
  <si>
    <t>Yes. Research is done on public money and should have the aim to help society. Therefore one should share analyses and data. Of course, you can do this after publication.</t>
  </si>
  <si>
    <t>Doesn't have to be in published reports. Can be in a database accessed via the publisher or institute.</t>
  </si>
  <si>
    <t>netherlands</t>
  </si>
  <si>
    <t>over 25 years</t>
  </si>
  <si>
    <t>the correct model</t>
  </si>
  <si>
    <t>what is the best model; have I met all assumptions; did I built in the contrasts correctly</t>
  </si>
  <si>
    <t>reviewers are not yet familiar with it</t>
  </si>
  <si>
    <t>R and SPSS</t>
  </si>
  <si>
    <t>BIMM and a workshop at at a CUNY conference</t>
  </si>
  <si>
    <t>I followed Baayen different analyses with different fomulas</t>
  </si>
  <si>
    <t>depends</t>
  </si>
  <si>
    <t>make them avaialable but not per se in the paper; articles are not courses</t>
  </si>
  <si>
    <t>UAE</t>
  </si>
  <si>
    <t>Cognitive Neuroscience and Psycholinguistics</t>
  </si>
  <si>
    <t>13 years</t>
  </si>
  <si>
    <t>They are generally easy to use. The main challenge is that sometimes the model fails to converge.</t>
  </si>
  <si>
    <t>Since psychology is still dominated by an unhealthy obsession with p-values, it is sometimes difficult to deal with the fact that there are no real agreed upon standards on how to report these for some designs.</t>
  </si>
  <si>
    <t>I have great concerns about the use of mixed models in my field. Mixed-effects models (especially with fully crossed designs) are becoming a de facto standard that is increasingly pushed on researchers by reviewers that are enthusiastic supporters of these tools, often without any sort of thoughtful consideration, except some vague and unsupported proclamations that these models are somehow "better" than other analytical tools that are used in the field.
However, while they are incredibly useful modeling tools and they are relatively easy to use, mixed-effects models are not that easy to understand, and often not easy to interpret. More importantly, it is often hard to diagnose or fix problems when they occur. So I feel that there are very obvious trade-offs when using these tools, and researchers should be the ones that make decisions about which trade-offs they are willing to incur. I find it incredibly problematic that more and more I see colleagues feeling like they have to use a tool that they don't really understand, are not entirely comfortable interpreting, more often than not for no obvious analytical gain, just because the field of language research once more became fascinated with a new tool. One needs to look no further than the whole "language-as-a-fixed-effect fallacy" (non-)issue and the whole MinF' literature that it engendered and how quickly it degenerated into absurdity to see how these "standards" that language researchers tend to impose on each other can cause more problems than they solve.</t>
  </si>
  <si>
    <t xml:space="preserve">Several papers by Harald Baayen, Florian Jaeger and other early proponents in the field.
Baayen (2008). Analyzing Linguistic Data.
</t>
  </si>
  <si>
    <t>DV ~ factors and interaction term if there is one * covariates if there are any important ones + (1|subjectID) + (1|itemID)</t>
  </si>
  <si>
    <t>I am not sure how to answer this question. Traditional ANOVA analysis and mixed-effects analysis give you different kinds of information. If the question is about the conclusions that I reach based on the statistical results, the results don't tend to vary all that much.
If the question is about the darned "p-values", then the results "sort of match", but sometimes they will fall on different ends of the 0.05 criterion. When that happens, it is my impression that it is more often the case that more traditional analysis would fall below and the mixed-effects results would fall above the criterion than the other way round.</t>
  </si>
  <si>
    <t>I tend to find tables and partial effects plots more easily digestible than a textual description alone.</t>
  </si>
  <si>
    <t>Yes, because I strongly support transparency and reproducibility in research.</t>
  </si>
  <si>
    <t>Yes, because transparency makes it much easier to understand the structure of the data, to plan replications, to have a better sense of how much (or little) massaging was necessary to get the published results, whether alternative analytical methods would lead to contradictory conclusions about the results, and many other reasons that are used to support data transparency and reproducibility efforts.</t>
  </si>
  <si>
    <t>Cognitive Hearing Research  &amp; Psycholinguistics</t>
  </si>
  <si>
    <t>It seems more explanations are necessary wrt analyses and distributions, as compared to, e.g., ANOVAs. Which, of course, would speak in favor of this style of reporting.</t>
  </si>
  <si>
    <t>It seems that Mixed Effects Models have been established as the new standard in Psycholinguistics. But this is not the case in other (highly regarded) work in the field of Neuropsychology. Why?
I am a little concerned about handling time series in mixed effects models.</t>
  </si>
  <si>
    <t>- Attending several classes focusing on MMs.
- Tutorial by Bodo Winter (http://www.bodowinter.com/tutorials.html)
- R.H. Baayen, 2008. Analyzing Linguistic Data. A Practical Introduction to Statistics using R. New York: Cambridge University Press</t>
  </si>
  <si>
    <t>RT ~ factor1 + factor2 ... + factorN + (1|subject) + (1|item)</t>
  </si>
  <si>
    <t>Mixed effects give a more accurate estimation of the result patterns; AN(C)OVA is bound to overestimate the effects</t>
  </si>
  <si>
    <t>in text or table</t>
  </si>
  <si>
    <t>In principle, yes.</t>
  </si>
  <si>
    <t>Only in cases I either do not trust the results or in cases I want to replicate the entire study</t>
  </si>
  <si>
    <t xml:space="preserve">Uncertainty about model fitting
Lack of agreement in the field about what should be reported
</t>
  </si>
  <si>
    <t>Model fitting</t>
  </si>
  <si>
    <t>Lack of agreement on good practice
Lack of understanding of model outputs
Inconsistent reporting</t>
  </si>
  <si>
    <t xml:space="preserve">Baayen 2008: Analyzing Linguistic Data
Discussions on R-Lang mailing list
</t>
  </si>
  <si>
    <t xml:space="preserve"> RT ~ factor1*factor2 (1+factor1*factor2|subjectID) + (1+factor1*factor2|itemID)</t>
  </si>
  <si>
    <t>?</t>
  </si>
  <si>
    <t>Text and table</t>
  </si>
  <si>
    <t>Yes
Good practice, other researchers can look at what you did and learn something, or point out errors</t>
  </si>
  <si>
    <t>Yes
Same reasons as above</t>
  </si>
  <si>
    <t>How to build up a model and how to write it up.</t>
  </si>
  <si>
    <t>There is no standard for reporting mixed models.</t>
  </si>
  <si>
    <t>You can't always tell if they have been build up correctly.</t>
  </si>
  <si>
    <t>Work from Harold Baayen, R-mailinglist, courses in the Netherlands (e.g. from Martijn Wieling; emlar)</t>
  </si>
  <si>
    <t xml:space="preserve">RT ~ factor1 + (1|subjectID) + (1|itemID)
</t>
  </si>
  <si>
    <t>.</t>
  </si>
  <si>
    <t>table.</t>
  </si>
  <si>
    <t xml:space="preserve">analysis code always, data depending on who is asking and why. I keep a transcript of all my decisions so, that will be insightful on its own. </t>
  </si>
  <si>
    <t>Yes. To learn more about how others build their models and the problems they encounter (and how to solve them).</t>
  </si>
  <si>
    <t>2 years</t>
  </si>
  <si>
    <t xml:space="preserve">The lack of standardized methods for the models. Everybody is doing it differently and no one is writing about the way they are doing it in the papers. The wheel is reinvented over and over. </t>
  </si>
  <si>
    <t>Even with the massive amount of time you spend on the models, you still can't be completely sure what you're doing is "right". I mean, I think it is, for sure. But the lack of standardized methods is a problem...</t>
  </si>
  <si>
    <t>You can't be sure that people know what they are doing. There are 1000 pitfalls on the way to a correct model, and no real ways of knowing if someone fell into one.</t>
  </si>
  <si>
    <t xml:space="preserve">Note that some of these were also used to learn more basic statistics in conjunction with mixed models. All of them were used at least in part for mixed models, too, however (which is why i'm writing them down).
Courses: Statistics 1, Statistics 2
Websites: Statistics hell, stackoverflow, www.inside-r.org, R documentation
Books: Discovering statistics using R, An R companion to applied regressions
</t>
  </si>
  <si>
    <t xml:space="preserve">Measure ~ factorX + (1 + factorX|subject) + (1 + factorX|item)
</t>
  </si>
  <si>
    <t>Mixed models seem to better account for the data.</t>
  </si>
  <si>
    <t>Model estimates in text. And maybe, if necessary, full tables in appendix.</t>
  </si>
  <si>
    <t>Sure. It would be scary, but that's a great way to improve - to let smarter and/or more experienced people look at your methods and learn from it.</t>
  </si>
  <si>
    <t xml:space="preserve">Yes. Again, looking at how smarter and/or more experienced people have done models, and learning from that. Again, a good way towards standardization of models and methods. </t>
  </si>
  <si>
    <t>Psycholinguistics, bilingualism, experimental psychology</t>
  </si>
  <si>
    <t>Understanding the results and why it is actually better than regular stats (ANOVAs, etc.) in terms of the maths.</t>
  </si>
  <si>
    <t>Within about 1-2 months.</t>
  </si>
  <si>
    <t>Most of my experiments are repeated-measures designs and I've heard that linear mixed effects modelling is better for that than the regular repeated-measures ANOVA. I've also been told that LME is the future of stats, so I'd like to be prepared :).</t>
  </si>
  <si>
    <t>Not experienced enough to answer this question.</t>
  </si>
  <si>
    <t>Yes. I think it's good practice. My data may help someone else someday.</t>
  </si>
  <si>
    <t>Yes. Their data might help me someday.</t>
  </si>
  <si>
    <t xml:space="preserve">You have to understand how they work. </t>
  </si>
  <si>
    <t>Not being able to publish.</t>
  </si>
  <si>
    <t>In-house statistician.</t>
  </si>
  <si>
    <t xml:space="preserve">The conclusions weren't different, but F- and p-valued were somehwhat different. </t>
  </si>
  <si>
    <t xml:space="preserve">Table, best oversight. </t>
  </si>
  <si>
    <t>Yes, because of transparency.</t>
  </si>
  <si>
    <t>too few education on how to use them in undergraduate studies, for many people ANOVAs are still state of the art</t>
  </si>
  <si>
    <t>insecurities in model selection process (backward or forward? maximal or minimal structure?), insecurities on how to report results (chi-squared or f values?), different opinions on that in the review process</t>
  </si>
  <si>
    <t>no "standards" on how to build, select and report models</t>
  </si>
  <si>
    <t>R with lme4 package</t>
  </si>
  <si>
    <t>courses in Master's programm at Humboldt University, workshops taught by PhD thesis advisor, online tutorials (http://www.bodowinter.com/tutorials.html), Book "Longitudinal Data Analysis for the Behavioral Sciences Using R" - Jeffrey D. Long, Paper "Twice random, once mixed: Applying mixed models to simultaneously analyze random effects of language and participants" - Dirk P. Janssen, Paper "Analyzing reaction times" - Harald Baayen</t>
  </si>
  <si>
    <t>RT~factor1*factor2+(1|subjectID)+(1|itemID),
sometimes more factors, sometimes squared or cubed terms included</t>
  </si>
  <si>
    <t>in a table, since this is both accurate and clear and it is waht I'm most used to seeing</t>
  </si>
  <si>
    <t>yes, because it allows other researchers to replicate studies which can only be good and lead to deeper insights</t>
  </si>
  <si>
    <t xml:space="preserve">yes, same reasons as above </t>
  </si>
  <si>
    <t>Japan</t>
  </si>
  <si>
    <t>Psycholinguistics and neurolingustics</t>
  </si>
  <si>
    <t>6 years (including the PhD)</t>
  </si>
  <si>
    <t>Studying how to model the data and deciding how to build the model</t>
  </si>
  <si>
    <t>Mixed models are not a fixed analysis as ANOVA is. When you do ANOVA, you just enter your predictor in the analysis; when you do mixed models you have to decide what you want to model. Therefore, in the latter case, the theoretical effort is much more higher</t>
  </si>
  <si>
    <t>I think most of us just apply mixed models as reviewers ask. However, very often reviewers ask for something they are not component to evaluate and sometimes we run models we do not perfectly understand</t>
  </si>
  <si>
    <t xml:space="preserve">Papers:
Baayen, R. H. (2008) Analyzing Linguistic Data. A Practical Introduction to Statistics Using R. Cambridge University Press.
Baayen, R.H., Davidson, D.J. and Bates, D.M. (2008) Mixed-effects modeling with crossed random effects for subjects and items. Journal of Memory and Language 59, 390-412
Jaeger, T. F. (2008). Categorical data analysis: Away from ANOVAs (transformation or not) and towards logit mixed models. Journal of memory and language, 59(4), 434-446.
Barr, D. J., Levy, R., Scheepers, C., &amp; Tily, H. J. (2013). Random effects structure for confirmatory hypothesis testing: Keep it maximal. Journal of memory and language, 68(3), 255-278.
A methodological school on mixed models
</t>
  </si>
  <si>
    <t>RT ~ factor1 + (1|subjectID) + (1|itemID)
accuracy ~ factor1 + (1|subjectID) + (1|itemID), family ='binomial'
RT ~ factor1 + (1+factor1|subjectID) + (1|itemID)
(if, e.g., the factor is within sj)</t>
  </si>
  <si>
    <t xml:space="preserve">The same pattern </t>
  </si>
  <si>
    <t>in a table, as you have all the details and at the same time is easier to read</t>
  </si>
  <si>
    <t>Yes, thy not?</t>
  </si>
  <si>
    <t>Not particularly interested in</t>
  </si>
  <si>
    <t>Know what they really mean</t>
  </si>
  <si>
    <t>I do not use mixed models because I have not yet taken the time to understand what they mean and above all how to run them</t>
  </si>
  <si>
    <t>My concern is that mixed models have become fashionable but I am not sure whether every body uses them correctly.</t>
  </si>
  <si>
    <t>this year or soon after</t>
  </si>
  <si>
    <t>I would like to use them to see effect that may not be observed with ANOVAs. I would use them mainly to analyse behavioural and eye-tracking data</t>
  </si>
  <si>
    <t>In tables, I find it clearer</t>
  </si>
  <si>
    <t>If I had any, yes</t>
  </si>
  <si>
    <t xml:space="preserve">That would be interesting, yes. Especially because it would help understand what has been analysed and how.  </t>
  </si>
  <si>
    <t>Neuroscience</t>
  </si>
  <si>
    <t>what are mixed models? would be handy to have a definition to start with...</t>
  </si>
  <si>
    <t>see above</t>
  </si>
  <si>
    <t>yes, always. no-brainer: tax-payer-funded scientist</t>
  </si>
  <si>
    <t>yes, see above</t>
  </si>
  <si>
    <t>Tilbburg University, the Netherlands</t>
  </si>
  <si>
    <t>Cognitive Science, Language and Communciation</t>
  </si>
  <si>
    <t>There's many researcher degrees of freedom in deciding on random slopes and intercepts for different factors. Also, there is no establish consensus with respect to effect size measures or (to a lesser extent) confidence intervals. In addition, model convergence (or better: non-convergence) is problematic at times. Finally, sophisticated as they may be, it remains a form of NHST, leading to all kinds or issues with power, p-hacking, data snooping etc.</t>
  </si>
  <si>
    <t xml:space="preserve">No concerns per se, although I do worry about the things mentioned above. </t>
  </si>
  <si>
    <t>R, SPSS, sometimes JASP</t>
  </si>
  <si>
    <t>Field (2014), Baayen (2008), that issue of JML dedicated to mixed models (2009), in particular Jaeger (2009). Barr (2013)</t>
  </si>
  <si>
    <t>There is no typical formula I employ</t>
  </si>
  <si>
    <t>This question is a bit unclear. If it means that I think MEM have an added value in my analysis, then the answer is yes. If the question is whether they change much in the outcome of my studies, then the answer is no. They *do* enable the analysis of more and more messy data (sometimes, they are a statistical solution to methodological sloppiness).</t>
  </si>
  <si>
    <t>text and table</t>
  </si>
  <si>
    <t xml:space="preserve">yes, science needs to be open for a variety of reasons. However, I do not feel my code is good enough to share per se. </t>
  </si>
  <si>
    <t>Yes, even blindly redoing an analysis provides a lot of insight in the study.</t>
  </si>
  <si>
    <t>Mixed models are so flexible that it can be difficult to establish what is the best suited model for a given analysis.</t>
  </si>
  <si>
    <t xml:space="preserve">Training as a PhD student. Jaeger's (2008) JML paper. </t>
  </si>
  <si>
    <t>Really depends on the research question. I often run mixed logit models, so a typical formula would be: 
model1 &lt;- glmer(DV ~ (IV1+IV2)^2 +(1|subjectID) + (1|itemID), family="binomial")</t>
  </si>
  <si>
    <t>Yes, because it seems silly if we need to keep reinventing the wheel. If somebody already has analysis code for an analysis I would like to do, then it would save me a lot of work if I could access the analysis code.</t>
  </si>
  <si>
    <t>to find the right structure of fixed and random effects that is still converging</t>
  </si>
  <si>
    <t>No concerns, I just do it</t>
  </si>
  <si>
    <t>courses (about 4-5 years), books, papers, personal communication with other users</t>
  </si>
  <si>
    <t>log(RT)~factor1*factor2+(factor1*factor2|subjectID)+(factor1*factor2|itemID)
--&gt; the full factorial model if it is converging</t>
  </si>
  <si>
    <t>R and SPSS differ when running ANOVAs because they treat missings differently. When excluding the missings, both methods give the same results</t>
  </si>
  <si>
    <t>tablet and plot
better overview than in text</t>
  </si>
  <si>
    <t xml:space="preserve">yes after the research is published in a paper, because I like to learn from code of others and would share as well </t>
  </si>
  <si>
    <t>yes, to learn from it</t>
  </si>
  <si>
    <t>Switzerland</t>
  </si>
  <si>
    <t>0.5 year</t>
  </si>
  <si>
    <t>challenging to understand, what I'm actually modelling</t>
  </si>
  <si>
    <t>being careful not to add too many effects</t>
  </si>
  <si>
    <t>not really</t>
  </si>
  <si>
    <t>as soon as I actually understand what I'm doing</t>
  </si>
  <si>
    <t>seems to often be more adequate for my kind of data</t>
  </si>
  <si>
    <t>Plot and text for explanation, sometimes difficulty to read the plots by themselves</t>
  </si>
  <si>
    <t>maybe only the code, to be reproducable</t>
  </si>
  <si>
    <t>to be able to do use this for comparable own analysis..</t>
  </si>
  <si>
    <t>- I've collaborated with people using mixed models and got the impression they were used only because the study had an unbalanced design but MM could handle such data anyway. Conventional stats showed a different pattern of results (or n.s. results).</t>
  </si>
  <si>
    <t>I might in the future</t>
  </si>
  <si>
    <t>For analysing longitudinal data</t>
  </si>
  <si>
    <t>A table (for clarity)</t>
  </si>
  <si>
    <t>Yes, this should be encouraged.</t>
  </si>
  <si>
    <t>Yes, for comparison with conventional stats etc.</t>
  </si>
  <si>
    <t>at this point non-convergence if more than 1 random slope; still no standardized use -- studies are hard to compare since everyone builds their own models and often does not describe in detail how factors were coded, etc.</t>
  </si>
  <si>
    <t>some people use mixed models without understanding what they are doing -&gt; leads to wrong interpretation</t>
  </si>
  <si>
    <t>group meetings, working through books and papers</t>
  </si>
  <si>
    <t>response ~ factor1*factor2 + (1+factor1*factor2|subject), data = data, family = binomial)</t>
  </si>
  <si>
    <t>differences can occur if effects are just above or below p=.05</t>
  </si>
  <si>
    <t xml:space="preserve">depends on the model, generally I like tables for stats plus a figure to see what is going on </t>
  </si>
  <si>
    <t>depends, generally yes</t>
  </si>
  <si>
    <t xml:space="preserve">at least as a reviewer to papers it would be handy to have access to the code unless authors start describing   their models in more detail
</t>
  </si>
  <si>
    <t xml:space="preserve">There are a number of decisions that must be made when doing mixed-effects modelling, e.g. reducing collinearity, inclusion/exclusion of factors in a model. Different researchers may do different things at these decision points, leading to different outcomes in models. There is not a "standard" way of doing things, which makes interpreting results difficult. </t>
  </si>
  <si>
    <t>In the language research I do, there are often many factors that could be included in a model, e.g. word length in letters, syllables, phonemes, frequency, concreteness, imgability, age of acquisition, etc. Many of these factors are known to influence processing speed. However, if these are all included in a model, you can end up with 6-way interactions that are impossible to interpret and have no theoretical underpinning. Thus, it is difficult to know how to apply a model (which factors should be included). If I include all of these factors, it will be difficult to explain my results, and in many cases my main manipulation may be hidden by the report of other factors and interactions. When reading other researcher's papers it is sometimes hard to know why they have explored and reported the set of factors they have chosen. There is likely a certain amount of picking and choosing among variables such that a model comes out that exemplifies the wanted finding.</t>
  </si>
  <si>
    <t>Mixed-effects modelling is prone to a "kitchen sink approach" - there are many factors that can be included. This may have its advantages, but it also leads to serious issues with interpreting data when so many factors are all included. Equally if some are excluded, this could influence the pattern of results that is reported. There is no "standard" stipulating what is acceptable and what is not.</t>
  </si>
  <si>
    <t xml:space="preserve">I have had no specific training. I simply have used the book Analyzing Linguistic Data: A Practical Introduction to Statistics using R by Harald Baayen </t>
  </si>
  <si>
    <t>I employ models with fixed and random effects. An example is like the following.
&gt; lexdec3.lmer0 = lmer(RT  Ìƒ 1+(1|Subject)+(0+Trial|Subject)+(1|Word), + data = lexdec3)</t>
  </si>
  <si>
    <t xml:space="preserve">Often I have to choose between an ANOVA or mixed-effects model. Mixed-effects models can sometimes reveal a significant result that isn't significant by F1 or F2. </t>
  </si>
  <si>
    <t xml:space="preserve">I find a table easiest to follow as all of the results are together. Plots are also good, but often many are required to show all of the effects, which would make a paper overly long. </t>
  </si>
  <si>
    <t xml:space="preserve">I would share code, but not data. I think it is is helpful to share code that is available. This will hopefully lead to a more open discussion of the choices we all make when doing this type of analyses. However, data comes from experiments that often take many months to prepare and conduct. Thus, I would not usually share data, as I would not want to be scooped. I would only share data once results had been published. </t>
  </si>
  <si>
    <t xml:space="preserve">I think this would be very helpful. And as indicated above, would lead to a more open discussion about the choices we all make when doing this type of analysis. </t>
  </si>
  <si>
    <t>Models with maximal random effect structure often fail to converge.  
It's difficult to use them outside factorial designs, or within experiments in which multiple (several) variables are jointly explored (e.g., megastudies)</t>
  </si>
  <si>
    <t>The need to transform reaction times (log or reciprocal transformation) to have normally distributed residuals alter the shape of the distribution, and I am not comfortable with that, as effects that are represented in the slower tail, may be obscured by the transformation.  Further, these transformations (especially the reciprocal) make coefficients hard to interpret.</t>
  </si>
  <si>
    <t>No, I do not have any concern.  The important thing would be to know what you are doing while using them, instead using them just to follow the trend and to increase the chance of getting published.</t>
  </si>
  <si>
    <t>R statistics</t>
  </si>
  <si>
    <t>I studied "Analyzing linguistic data, a practical introduction to statistics" by Baayen (2008).  I followed few courses held by statistician during my PhD (2010), and I often asked them about different issues in the following years</t>
  </si>
  <si>
    <t>RT ~ factor1 + (1+factor1|SubjectID) + (1|ItemID)</t>
  </si>
  <si>
    <t>I was inclined to trust mixed models over anova.  In a specific circumstance, in the ANOVAs I had results changing as a function of whether I was removing outliers or not.  A mixed model (with maximal random effect structure) on all the data, failed to show the effect, so I concluded the effect was not there.</t>
  </si>
  <si>
    <t xml:space="preserve">I prefer tables as they are usually very easy to grasp, yet fully specified. </t>
  </si>
  <si>
    <t>In principle, yes.  I think this can be very beneficial for me, as I will have corrections/suggestions/examples directly on my code, thus making the learning process easier.  Yet, I think that compiling a code in which each passage is described (e.g., with comments), in order to make it fully transparent can be very time-consuming.
My ideal scenario is (and would be) a face to face discussion, with the code displayed on the monitor in front of us.</t>
  </si>
  <si>
    <t>Again, yes, because this can be very instructive.  I also tried to do this a couple of time.  But these available codes were way beyond my comprehension, and so I gave up.</t>
  </si>
  <si>
    <t>11 years</t>
  </si>
  <si>
    <t>People not confirming to hypothesis testing procedures, poor experimental designs being used because people think LME can compensate for that, lack of model convergence for unknown reasons when using maximally random structures, interpretation and evaluation of model fits</t>
  </si>
  <si>
    <t>I often have complex models that won't converge and it is never clear why, so I end up using simpler models.</t>
  </si>
  <si>
    <t>Most people don't understand them and I even though I feel comfortable with them, I know there are many aspects of them, especially the fitting routine, that I don't understand and that makes me less comfortable than with ANOVA/regression.</t>
  </si>
  <si>
    <t>Collaborators</t>
  </si>
  <si>
    <t>rsp ~ factor1*rt + (1 + factor1|sbj) + (1|itm)
see Davidson &amp; Martin 2013</t>
  </si>
  <si>
    <t>Traditional is always clearer and helpful in understanding the LME model I am positing</t>
  </si>
  <si>
    <t>Table, easier to understand</t>
  </si>
  <si>
    <t>Sure, then it is more transparent</t>
  </si>
  <si>
    <t>Yes so I can see what others did if their description isn't clear enough</t>
  </si>
  <si>
    <t>51 years</t>
  </si>
  <si>
    <t>Oh dear. I didn't realise there were distinctive challenges. I use SPSS to do the analysis for me, and then use my knowledge of the psychology issues being addressed to help me interpret any interactions, just as I would for any other design.</t>
  </si>
  <si>
    <t>Winer, Howell, Field</t>
  </si>
  <si>
    <t>I don't think about it. I let SPSS do it for me.</t>
  </si>
  <si>
    <t>If it's simple, report in text; if it's complicated (many factors)report in a table.</t>
  </si>
  <si>
    <t>Of course</t>
  </si>
  <si>
    <t>In contentious cases it would be helpful</t>
  </si>
  <si>
    <t>model selection, getting behind the mechanisms of the algorithm</t>
  </si>
  <si>
    <t xml:space="preserve">wondering if the model is appropriate for specific distribution of data </t>
  </si>
  <si>
    <t>Can you always trust them?</t>
  </si>
  <si>
    <t>workshop; 
book of Snijders &amp; Bosker (2012);
papers of Baayen &amp; Milin (2011); Barr, Levy, Scheepers, &amp; Tily (2013) and other journal articles</t>
  </si>
  <si>
    <t>lmer(katVar ~ fac1 + fac2 + fac3*fac4 + (1 + fac1 + fac2|subject) + (1 + fac1 + fac2|subject))</t>
  </si>
  <si>
    <t>confusion</t>
  </si>
  <si>
    <t>text, table and plots</t>
  </si>
  <si>
    <t>of course - that is what scientists always should do</t>
  </si>
  <si>
    <t>yes, for reasons of comparability and evaluation</t>
  </si>
  <si>
    <t>linguistics - language acquisition</t>
  </si>
  <si>
    <t>Yes, essentially the same as above:
- making good use of random effects and random intercepts
- not over-fitting the data
- ascertaining the suitability of this method for a particular dataset</t>
  </si>
  <si>
    <t>R (run on Emacs, using ESS)</t>
  </si>
  <si>
    <t>Workshop with Harald Baayen, followed by self-tuition using his book and online help, and then collaborating with him.</t>
  </si>
  <si>
    <t>RT ~ (1|subjectID) + (1|itemID) + factor 1 * factor 2 + factor 3</t>
  </si>
  <si>
    <t>The problem is that models are calibrated for particular reference levels.  The picture can be quite different if the calibration changes.  I find plots and tables useful.</t>
  </si>
  <si>
    <t>Yes, once I have exploited the data as much as I wanted to.  I think sharing is important to enable discussion and foster best practice.</t>
  </si>
  <si>
    <t>Yes. To learn from them.</t>
  </si>
  <si>
    <t>how to decide which predictors to  include</t>
  </si>
  <si>
    <t>if the model gets better but the predictor itself is not significant, or if the predictor is significant but the estimate is not, I find that difficult situations</t>
  </si>
  <si>
    <t>spss and R</t>
  </si>
  <si>
    <t>introductory course at Utrecht Summer School: 
http://www.utrechtsummerschool.nl/courses/social-sciences/introduction-to-multilevel-analysis</t>
  </si>
  <si>
    <t xml:space="preserve"> RT ~ factor1 + (1|subjectID) + (1|itemID)</t>
  </si>
  <si>
    <t>Yes, I believe in transparancy</t>
  </si>
  <si>
    <t>yes. 
Again I believe in transparancy and it gives you the chance to exactly replicate and also to use others analyses as inspiration</t>
  </si>
  <si>
    <t>no recognised standard</t>
  </si>
  <si>
    <t>There is no recognised standard and researchers often have to become subservient to the whims of self-styled experts.</t>
  </si>
  <si>
    <t>self teaching</t>
  </si>
  <si>
    <t>Like your example, but I use mostly the logistic function</t>
  </si>
  <si>
    <t>Table.  Too much text otherwise.</t>
  </si>
  <si>
    <t xml:space="preserve">Researchers can lose sight of how much they don't yet understand about these techniques. </t>
  </si>
  <si>
    <t xml:space="preserve">Shifting conventions are a challenge, and I worry that the desire for standardized reporting can obscure more nuanced interpretations. </t>
  </si>
  <si>
    <t>I think the use of mixed models is very beneficial, but I want to see researchers taking modeling very seriously. I fear that they can be applied bluntly, in the same way that we as a field came to treat ANOVAs, which resulted in our losing sight of the complexities (and usefulness) of ANOVA.</t>
  </si>
  <si>
    <t>R-lme4</t>
  </si>
  <si>
    <t>Baayen's writings and workshops, Florian Jaeger's blog and workshops, Gelman &amp; Hill, Raudenbush.</t>
  </si>
  <si>
    <t>RT ~ factor1 * factor2 + (1+within-subjects predictors and interactions|Subject) + (1+within-items predictors and ixns|Item)</t>
  </si>
  <si>
    <t>plots - the visual provides much more information, as long as CIs are included</t>
  </si>
  <si>
    <t>yes - replicability and accountability</t>
  </si>
  <si>
    <t>yes - same reasons!</t>
  </si>
  <si>
    <t>Discourse processing</t>
  </si>
  <si>
    <t>- Deciding on the best model for the data: how many fixed factors is max? Random slopes as well as intercepts?
- Interpreting complex models with multiple factors
- Keeping up with updated R software, that causes different outcomes</t>
  </si>
  <si>
    <t>Do you show graphs of the estimates or of the real data- means (that is not so informative any longer)</t>
  </si>
  <si>
    <t>It is not that much wide spread, and editors might reject (not understand) mixed model analyses</t>
  </si>
  <si>
    <t>R lme4</t>
  </si>
  <si>
    <t>RT ~ factor1 * factor2* factor3 + (1|subjectID) + (1|itemID)</t>
  </si>
  <si>
    <t>mixed models seems less conservative that for example RM anova</t>
  </si>
  <si>
    <t>in a table, so all effects can be compared directly (within and between models).
But in the text is better when you complex models, beceause you can leave out irrelevant null-effects.</t>
  </si>
  <si>
    <t>yes, but I am not sure anyone is interested</t>
  </si>
  <si>
    <t>no, don't have enough skill and knowledge to do so.</t>
  </si>
  <si>
    <t>The lack of agreed conventions for analysis and reporting of results</t>
  </si>
  <si>
    <t>I have no yet built up strogn checking mechanisms to feel confident about the appropriateness of my models and interpretation of the output</t>
  </si>
  <si>
    <t>The lack of reporting conventions makes it difficult to know what has actually been done which makes reviewing tricky</t>
  </si>
  <si>
    <t>Work shop run by Lotte, articles and Andy Fields book</t>
  </si>
  <si>
    <t>It varies, usually 2x3 factors with subject and items and any approprate interaction in the random structure</t>
  </si>
  <si>
    <t>Mixed models are less stringent than F2s usually.</t>
  </si>
  <si>
    <t>in a table or plots depending on what's easiest to read but I always want to see the actual data pattern first</t>
  </si>
  <si>
    <t>Code yes - data once it's published. For openness and checks</t>
  </si>
  <si>
    <t>Yes for the same reasons as above</t>
  </si>
  <si>
    <t>Psychology/Neuroscience</t>
  </si>
  <si>
    <t>Not understanding the theory and assumptions behind them.</t>
  </si>
  <si>
    <t>Not really, I'm sure I could figure it out with the help of google and colleagues.</t>
  </si>
  <si>
    <t>No, it seems to be the way the field is moving, particularly in the behavioral sciences.</t>
  </si>
  <si>
    <t>in about a year or so, potentially for post-doc work.</t>
  </si>
  <si>
    <t>For complicated experimental designs in person perception in which perceivers would rate others on several dimensions and then complete traditional cognitive tasks.  We'd then want to determine the contribution of each dimension in cognitive performance for each social target.</t>
  </si>
  <si>
    <t>No preference.</t>
  </si>
  <si>
    <t>gladly</t>
  </si>
  <si>
    <t>absolutely</t>
  </si>
  <si>
    <t>Problems of convergence in using GLMMs.</t>
  </si>
  <si>
    <t>I would like to report R-sq ie proportion variance explained but there is no clear method to do so.</t>
  </si>
  <si>
    <t>There is a lot of diversity in practice, potentially allowing problems in comparing results, as well as researcher-degrees-of-freedom concerns.</t>
  </si>
  <si>
    <t>Reading Statistics course, Baayen et al JML article, Baayen 2008 book, stack overflow posts</t>
  </si>
  <si>
    <t>outcomes ~ predictors + (1 + covariates|subjects) + (1+covariates|items)</t>
  </si>
  <si>
    <t>The difference was due to over-optimistic estimation of standard errors by lm vs. lmer methods.</t>
  </si>
  <si>
    <t>Tables and plots: tables for coefficients numeric estimates; plots to show the pattern; text only to comment on effects features.</t>
  </si>
  <si>
    <t>I do.</t>
  </si>
  <si>
    <t>Yes -- to check procedures used by others as differences in decision making have differences on outcomes.</t>
  </si>
  <si>
    <t>Multimodal communication and psycholinguistics</t>
  </si>
  <si>
    <t>16 years</t>
  </si>
  <si>
    <t>Choosing the best (correct?) version.  Changes in R packages. Easy to interpret graphical representations (compared to ANOVA means, for example).  Controversy over p-values, Monte Carlo simulations, etc.  Choosing most meaningful contrasts.  Difficulty in post-hoc analyses.</t>
  </si>
  <si>
    <t>Identifying the best-fit / most appropriate model (which predictors, random effects (intercept and/or slopes) and interactions to include is not always obvious.  Can become overcomplicated.  Interpreting interactions can be complicated.</t>
  </si>
  <si>
    <t>Still controversial in practice.  Lots of statistical output tends to be presented with incomplete interpretation.  Not sure many people really understand what is going on.</t>
  </si>
  <si>
    <t>Mostly self-taught.</t>
  </si>
  <si>
    <t>RT ~ factor1*factor2 + (1|subjectID) + (1|itemID)</t>
  </si>
  <si>
    <t>Data compression and noise can make a difference!</t>
  </si>
  <si>
    <t>Summary in text, details in a table.  Neater this way.</t>
  </si>
  <si>
    <t>Yes - verification, transparency and consistency.</t>
  </si>
  <si>
    <t>Links to code and data is useful (this is becoming more common).</t>
  </si>
  <si>
    <t>neuropsychology and psychology of language</t>
  </si>
  <si>
    <t>Training students for understanding what these statistics exactly do and which questions they allow us to ask (and possibly answer)</t>
  </si>
  <si>
    <t>Yes, these models seem to require many more data points than classical models</t>
  </si>
  <si>
    <t xml:space="preserve">Yes, I do not always understand what the statistical results really mean </t>
  </si>
  <si>
    <t>spss</t>
  </si>
  <si>
    <t>none</t>
  </si>
  <si>
    <t>I do not remember
I've tried (with a PhD student) only once to use these models and it did not work... If I had knew such questions were asked here, I would have responded "no" when asked whether I already used these models. Thus, my answers to the following questions are non relevant.</t>
  </si>
  <si>
    <t>I cannot answer this question</t>
  </si>
  <si>
    <t>Clinical psychology</t>
  </si>
  <si>
    <t>Not taught in the curriculum.</t>
  </si>
  <si>
    <t>Yes, I do not know how to do it.</t>
  </si>
  <si>
    <t>Yes! Of course, to promote transparency</t>
  </si>
  <si>
    <t>Yes, so I know what they did and understand why they came to such conclusion</t>
  </si>
  <si>
    <t>Lack of standardised procedures and the huge effect updating software (eg lme4 in R) can have on results</t>
  </si>
  <si>
    <t>The analyss I use are often determined by the journal I'm aiming for: ANOVA for infancy, mixed models for adults.  This is inconsistent (although I always run both types of analyses on all data, to check the results are consistent)</t>
  </si>
  <si>
    <t xml:space="preserve">There is no consistency in the way mixed models are used or reported.  This must mean it's not possible for reviewers to tell whether the model design is justified.  </t>
  </si>
  <si>
    <t>Franklin Chang's R courses
mixed models listserv
Barr (2013) (the "Keep it Maximal" paper)</t>
  </si>
  <si>
    <t>DV ~ factor1 + (1 + factor1 | subjectID) + (1 + factor1|itemID)
...and then simplify random effects structure until convergence</t>
  </si>
  <si>
    <t>It's difficult.  Sometimes mixed models won't converge where (eg) a regression will, in which case I rely on the regression.  If both analyses "work" but give different results, I report the more conservative and add a footnote mentioning the other analysis.</t>
  </si>
  <si>
    <t>Text, with a description of what this means.  Thay way, people who don't use mixed effects models can still understand the results.</t>
  </si>
  <si>
    <t>Yes, with trepidation due to the aforementioned complete lack of agreement on what constitutes best practice.</t>
  </si>
  <si>
    <t>Yes; could be used as a worked example - it's always useful to see how other people do things.</t>
  </si>
  <si>
    <t>Mixed-effects modeling is not just a better analytical technique. Use of mixed-effects modeling requires a complete paradigm shift regarding how one conceptualize an experiment from the beginning.</t>
  </si>
  <si>
    <t>1. Because there are potentially many different answers (models), it is difficult to select one and report it.
2. It is difficult to make a paper concise if I want to describe all variables considered and report all random- and fixed-effects in detail.</t>
  </si>
  <si>
    <t>Sometimes, I see awfully wrong results, such as a fixed-effects ANOVA with F1 and F2 reported as a "mixed-effects model" and highly correlated variables analyzed together in the same model.</t>
  </si>
  <si>
    <t>Analyzing linguistic data (by Harald Baayen)</t>
  </si>
  <si>
    <t xml:space="preserve"> e.g. RT ~ factor1 + (1|subjectID) + (1|itemID)
However, there is no typical formula because all data are different.</t>
  </si>
  <si>
    <t>Because a mixed-effect analysis can consider task variables, a larger amount of experimental noise was removed.</t>
  </si>
  <si>
    <t>I would like models to be reported in a table and a plot. Reporting results in a plot is particularly important because it is easy to understand the actual magnitude of effects.</t>
  </si>
  <si>
    <t xml:space="preserve">I would like to, but I have not yet done so partially because a part of data (i.e., a certain variable) is copyrighted. </t>
  </si>
  <si>
    <t>I think that this is a good idea because sometimes refitting different models is enough to resolve different theoretical questions.</t>
  </si>
  <si>
    <t>experimental psychology, language production</t>
  </si>
  <si>
    <t>- model selection procedures
- best/most sensible composition of (crossed) random structures, especially in light of non-convergence problems
- drawing inference (e.g., df-approximations vs. bootstrapping vs. t&gt;2...)
- standards for reporting</t>
  </si>
  <si>
    <t>no general concerns, but still falling back on ANOVA if uncertain about my mixed-model analyses</t>
  </si>
  <si>
    <t>- less accesible to readers/reviewers without experience with MM than traditional analyses
- increased "researcher degrees of freedom"</t>
  </si>
  <si>
    <t>papers: Baayen et al (2008, JML), Barr et al. (2013, JML), Jaeger (2008, JML)
also participated in several workshops on linear modeling</t>
  </si>
  <si>
    <t>RT ~ factor1+(1+factor1|subjID) + (1+factor1|itemID)</t>
  </si>
  <si>
    <t xml:space="preserve">(don't really understand what is asked here) </t>
  </si>
  <si>
    <t>depends on complexity of model. more complex models --&gt; table, simple models --&gt; in text is fine</t>
  </si>
  <si>
    <t xml:space="preserve">Yes, of course. </t>
  </si>
  <si>
    <t>Yes. Allows for better evaluation of data/analyses. Also helps me (and has helped me already) to learn for my own analyses.</t>
  </si>
  <si>
    <t>- standards of "best practice" vary hugely; many area experts know that mixed models are "better" but are not sure why, leading to inconsistent requirements for publication.
- model selection procedures are often presented in insufficient detail; particul</t>
  </si>
  <si>
    <t>R, Splus, Matlab.  Experimented with MIXED in SPSS but ran in horror</t>
  </si>
  <si>
    <t xml:space="preserve">Baayen "Analyzing linguistic data"
Fox 2002 "Linear mixed models"
Jaeger's blog &amp; additional publications
JML special issue on mixed models 2008
Kruschke "Doing Bayesian data analysis"
Miliken + Johnson "Analysis of messy data"
+ many other sources, especially online posts/mailing list archives by Bates
</t>
  </si>
  <si>
    <t>RT ~ f1 * f2 * f3 + (f1 * f2 + 1 | subjectID) + (f2 * f3 +1 | itemID)</t>
  </si>
  <si>
    <t>in most cases the analyses produced comparable outcomes</t>
  </si>
  <si>
    <t>Table + partial effects plots especially if there is any complexity in the effects reported (interactions, nonlinear transformations etc).
Table: visually ordered, typically higher level of precision than a figure may offer
Figure: complex results are often inadequately described by model estimates: for example, interaction term especially when it is unclear how the predictors are coded.</t>
  </si>
  <si>
    <t>Yes, in the interest of openness.
It is also a condition of some funding (implied if not made explicit).</t>
  </si>
  <si>
    <t xml:space="preserve">Yes, allows self-correction or improvements;  also allows further investigation of results in other directions than the original authors may have planned.  </t>
  </si>
  <si>
    <t>Guest researcher</t>
  </si>
  <si>
    <t>NL</t>
  </si>
  <si>
    <t>for a non-statistician, hard to follow</t>
  </si>
  <si>
    <t>I want to understand the technique that leads to the results</t>
  </si>
  <si>
    <t>fine, if the people who use it, really understand it.</t>
  </si>
  <si>
    <t>I am interested, but not yet sure about whether or when to use them</t>
  </si>
  <si>
    <t>psycholinguistic research involving complex independent variables</t>
  </si>
  <si>
    <t>table, text and plots</t>
  </si>
  <si>
    <t>maybe</t>
  </si>
  <si>
    <t>1.5 years</t>
  </si>
  <si>
    <t>They are often not easy to interpret and that's what makes them also difficult to communicate to others (e.g. in papers or talks)</t>
  </si>
  <si>
    <t>No concerns, I use mixed models when possible.</t>
  </si>
  <si>
    <t>No concernc, in fact I think they should be used more often an prior to other modeling methods.</t>
  </si>
  <si>
    <t>within this year</t>
  </si>
  <si>
    <t>I want to use them to show different effects (e.g. frequency) in lexical decision tasks. By defining random effects, I can take individual differences into account.</t>
  </si>
  <si>
    <t>I would prefer a report in text because it makes explaining the different values within the text possible.</t>
  </si>
  <si>
    <t>Yes, I would. I think open data is important and by sharing analysis, mixed models would be understood and applicated more often, I hope.</t>
  </si>
  <si>
    <t>Yes, same reason as above.</t>
  </si>
  <si>
    <t>United States of America</t>
  </si>
  <si>
    <t>The main challenge is interpretation of the model.</t>
  </si>
  <si>
    <t>I'm sometimes unsure whether my interpretation of the results is correct. It's especially difficult to find marginal values for comparison (i.e., controlling other variables and focusing on just one regressor).</t>
  </si>
  <si>
    <t>I doubt most researchers publishing mixed models understand much about how they work or how to use them correctly.</t>
  </si>
  <si>
    <t>R package lmer</t>
  </si>
  <si>
    <t>I attended a tutorial lecture, obtained copies of the slides afterwards, and consulted with colleagues.</t>
  </si>
  <si>
    <t>RT ~ (1|subjectID) + factor1 * factor2</t>
  </si>
  <si>
    <t>Differences are minor - Usually a slight change in significance of some predictors.</t>
  </si>
  <si>
    <t>I would prefer a table and partial effects plot. The table is necessary for me to understand the model that was estimated, and the partial effects plot is the easiest way to see the outcome of the model's estimates.</t>
  </si>
  <si>
    <t>Yes, I would share analysis code and published data. Sharing data (at the appropriate stage of the project) is a basic tenant of good science and peer review. Sharing code helps the field to improve, which I believe benefits us all, and makes it easier for others to reproduce or elaborate upon my work, which is beneficial to me.</t>
  </si>
  <si>
    <t>Yes. I would like to be able to apply reported analyses to new data sets, and I would occasionally like to explore data from published reports to see how my own analyses might be applied.</t>
  </si>
  <si>
    <t>language acquisition, bilingualism</t>
  </si>
  <si>
    <t>cumbersome R packages and formulas, difficult to understand, not taught in standard statistics courses, not enough people who know it</t>
  </si>
  <si>
    <t xml:space="preserve">Yes. Some packages for R do not work. Have to learn to do multinomial regressions now, learned about two different packages, don't know which one to use. </t>
  </si>
  <si>
    <t>People don't use them enough. Reporting should be accessible to both people who use them and those who don't</t>
  </si>
  <si>
    <t>There was a course on mixed models at York University in 2009 or so; a course on R at University of Toronto; I use Harald Baayen's book "Analyzing Linguistic Data", R mailing list, and ask colleagues who are more experienced in their use</t>
  </si>
  <si>
    <t>response~fluency*condition+(1|subject)+(1|item), where "fluency" is "bilingual" or "monolingual", and "conditions" are different linguistic structures</t>
  </si>
  <si>
    <t>results of anova and mixed models were slightly different, significance was different in some places</t>
  </si>
  <si>
    <t>text or table. Plots - only if easy to read</t>
  </si>
  <si>
    <t xml:space="preserve">yes, to help other people figure out what they need for their analysis; </t>
  </si>
  <si>
    <t>yes, to learn how I can do a similar analysis</t>
  </si>
  <si>
    <t>Model explanation</t>
  </si>
  <si>
    <t>Data distribution might not confirm to the assumption of the model. Reporting mixed models is different from the conventional statistics method, leading to confusion. How to report model in a understandable way, and what to report should be taken into consideration.</t>
  </si>
  <si>
    <t>Are mixed models really necessary when you just want to test the effect of specific factors? What is the point of being that elaborate?</t>
  </si>
  <si>
    <t>Workshop on R; R online help.</t>
  </si>
  <si>
    <t>RT~factor1*factor2+(1+factors1|SubjectID)+(1+itemID)</t>
  </si>
  <si>
    <t>Confused</t>
  </si>
  <si>
    <t>Yes. If not reporting the estimates, what is the point of constructing model?</t>
  </si>
  <si>
    <t>If needed, yes.</t>
  </si>
  <si>
    <t>Yes. To actually  get to know what others are doing and how they are doing their work.</t>
  </si>
  <si>
    <t>MRC Programme Leader</t>
  </si>
  <si>
    <t>Cognitive Science/Neuroscience of Language</t>
  </si>
  <si>
    <t>21 years (since starting my PhD)</t>
  </si>
  <si>
    <t xml:space="preserve">I'm basically ignorant of how to implement many of the analyses that I would like to use. I stumble along and hope not to give bad advice to my colleagues and students. Wherever possible, I use counterbalanced designs that avoid the necessity of using mixed effects models.  </t>
  </si>
  <si>
    <t>Distinctions between exploratory and confirmatory analyses are not always clear. Some authors seem to think that all analysis is exploratory even for well controlled, well designed experimental studies that set out to set specific a-priori hypotheses.</t>
  </si>
  <si>
    <t>R + LMER</t>
  </si>
  <si>
    <t>Marc Brysbaert's step by step instructions</t>
  </si>
  <si>
    <t>Most effects are confirmed both ways, but minor changes in outcomes are also apparent</t>
  </si>
  <si>
    <t xml:space="preserve">I'm not sure... I'm more used to reading this information in text than in tables, and have often found that model plots generated in R are very unclear (e.g. insufficiently labelled lines). It seems to me that people doing mixed effects modelling are not always  interested or able to communicate their results clearly which is a problem. </t>
  </si>
  <si>
    <t>Yes - I'm a keen supporter of open-data initiatives wherever practical</t>
  </si>
  <si>
    <t xml:space="preserve">I am sometimes frustrated to read papers that do not include full reporting of relevant results, or that have omitted interesting statistical analyses. This would remedy that problem. </t>
  </si>
  <si>
    <t>20 years, including grad school</t>
  </si>
  <si>
    <t>To be honest, lack of a single source that authoritatively provides guidance for how things should and shouldn't be done. This information is available, but it's scattered across many articles, websites, textbooks, etc.</t>
  </si>
  <si>
    <t>Lack of confidence that I've done modeling correctly.</t>
  </si>
  <si>
    <t>I participated in a workshop at APS in 2013. I also read much of Gelman's regression book as well as all of Luke's little green book on the topic. I use too wide a variety of websites for assistance, although StackExchange stands out as a good resource.</t>
  </si>
  <si>
    <t>At the risk of feeling like I'm cheating, it's either
RT ~ factor + (1|subj) + (1|item)
RT ~ factor + (1 + factor|subj) + (1 + factor|item)
or the same using logRT as the outcome.</t>
  </si>
  <si>
    <t>Mixed models wind up providing more or less the same statistical support for findings as traditional analyses.</t>
  </si>
  <si>
    <t>Table. I want to see exact estimates and SEs.
I'm not familiar with partial effects plots.</t>
  </si>
  <si>
    <t>Yes. So others can see what I've done and correct me and/or learn from me.</t>
  </si>
  <si>
    <t>Yes. So I can learn!</t>
  </si>
  <si>
    <t>the lack of agreement concerning estimation of degrees of freedom and how many crossed factors to include in models.</t>
  </si>
  <si>
    <t>how many crossed (fixed x random) factors to include in models.</t>
  </si>
  <si>
    <t>people do not report all the details of the model.</t>
  </si>
  <si>
    <t>SAS</t>
  </si>
  <si>
    <t>SAS system for mixed models, SAS linear models
SAS mixed models second edition, empirical articles similar to my research question which use mixed models</t>
  </si>
  <si>
    <t>model rt = factor + continuous factor
random = fixed factor * random factor</t>
  </si>
  <si>
    <t>whether the same factors were significant or not.</t>
  </si>
  <si>
    <t>no.</t>
  </si>
  <si>
    <t>yes, to make it completely transparent how the models were designed.</t>
  </si>
  <si>
    <t>Deciding on the best random-effects structure
Calculating p-values
Working out significant interactions</t>
  </si>
  <si>
    <t>Using mixed models with limited sample sizes and items, when models with maximal random effects structure typically do not converge.</t>
  </si>
  <si>
    <t>The variety of approaches people take for deciding on model structure and for establishing significance</t>
  </si>
  <si>
    <t>R, lme4 package</t>
  </si>
  <si>
    <t>Support and advice from colleagues, Andy Field's book on statistics using R, and R web forums.</t>
  </si>
  <si>
    <t>RT ~ factor1 + (1+factor1|subjectID) + (1+factor1|itemID)</t>
  </si>
  <si>
    <t>Results from both types of analyses mostly overlapped, although less reliable effects did not always reach significance in both types of analyses</t>
  </si>
  <si>
    <t>Text and/or table.</t>
  </si>
  <si>
    <t>Yes, to allow replication of the fitting process.</t>
  </si>
  <si>
    <t>Not necessarily because the code is dependent on the package/program used. For me, this is associated with data sharing practices more generally and not specifically mixed models.</t>
  </si>
  <si>
    <t>(psycho/neuro)linguistics</t>
  </si>
  <si>
    <t>Understanding what the model outcomes mean, and interpreting them with respect to the research hypotheses.</t>
  </si>
  <si>
    <t>I am very confident about reporting *whether* a variable is a significant predictor, either as a main effect, or in interaction with another variable, but I am much less confident about understanding and reporting the nature of the effect, especially for planned comparisons between levels of a factor.</t>
  </si>
  <si>
    <t>I think we're in a period of flux in which people are having to actually THINK about the statistical tools they use, and justify their choices, and that's not a bad thing after too many decades of F1 and F2.</t>
  </si>
  <si>
    <t>Denis Drieghe's Intensive Stats Class at Southampton, R in a Nutshell, Florian Jaeger's blog, plus lots of personal communication</t>
  </si>
  <si>
    <t>RT ~ factor1 * factor2 + (1|subjectID) + (1|itemID)
+ model comparison to investigate the contribution of factors and interaction terms</t>
  </si>
  <si>
    <t>Sometimes I've had effects that were not significant in the ANOVA be significant in the lme, which is expected (and sort of the point of mixed modeling), but I've also had one or two cases where an effect was significant in an ANOVA, and in the planned comparison t-tests, but was NOT significant in the lme. I'm afraid I don't remember anymore exactly what I did in that case.</t>
  </si>
  <si>
    <t>text + table: the prose summary is critical to understanding what the results are, adding the table ensures that the prose reporting is accurate (especially critical for reviewers to see the table for this reason).</t>
  </si>
  <si>
    <t>Yes, I do, of course. Because science! Strange question.</t>
  </si>
  <si>
    <t>Yes. It's so obviously best practice, and silly we haven't adopted it yet. A: you can check that the analyses and reporting make sense, and B: you can learn a lot from other people's code</t>
  </si>
  <si>
    <t>2.5 years</t>
  </si>
  <si>
    <t>Consistency of application, guidance on model construction and reporting of results, best practice for analyis and interpretation of data</t>
  </si>
  <si>
    <t xml:space="preserve">Yes: some lack of clarity on how to analyse certain types of data, e.g. three way interactions. Alsho how best to report results and what model outputs should be provided in any write-up. </t>
  </si>
  <si>
    <t xml:space="preserve">Lack of consistency in terms of when they are applied and what is reported in analysis. </t>
  </si>
  <si>
    <t>R (lme4, lmerTest)</t>
  </si>
  <si>
    <t>Books:
Analyzing Linguistic Data
A Practical Introduction to Statistics using R (Harald Baayen)
Discovering Statistics Using R (Andy Field)
Papers:
Random effects structure for confirmatory hypothesis testing:
Keep it maximal (JML, Barr et al)
Mixed-effects modeling with crossed random effects for subjects and items (JML, Baayen et al)
Also extensive searching on forums (e.g. stackexchange, R forums) and other websites for answers to specific question of syntax and procedure (e.g. how to analyse interactions, how to perform PCA)</t>
  </si>
  <si>
    <t xml:space="preserve">Many of my studies involve two groups (e.g. Native and non-native speakers), two types of stimulus (e.g. idioms and control phrases) and two item pools (e.g. English idioms and French idioms), hence a typical analysis would be:
DV ~ Group*Type*Pool + X (e.g. word length, phrase length, frequency, etc.) + (1+Type+Pool|Subject) + (1|Item) </t>
  </si>
  <si>
    <t xml:space="preserve">Either in the text or in a table is fine for me. If there are lots of measures (e.g. in an eye-tracking study) then a table summarising all of these is helpful. For a single measure like RT then just reporting signficnat values in the text is fine, but an appendix containing model outputs is also useful. </t>
  </si>
  <si>
    <t xml:space="preserve">Yes - it allows me to be more succinct in the text but also provide a full and transparent account of my analysis in an appendix. </t>
  </si>
  <si>
    <t xml:space="preserve">Potentially. I am unlikley to go and rerun the models unless the results seem to not make sense, which seems unlikely if it has gone through peer review. </t>
  </si>
  <si>
    <t>Czech Republic</t>
  </si>
  <si>
    <t>psycholinguistics, language acquisition</t>
  </si>
  <si>
    <t>ca. 15 years</t>
  </si>
  <si>
    <t>complexity of models; lack of generally accepted measures of effect size; the role of random effect estimates (are maximal models necessary?)</t>
  </si>
  <si>
    <t>lack of standards for reporting the results of mixed models; lack of generrally accepted measures of marginal effect size</t>
  </si>
  <si>
    <t>discussions about the correct degrees of freedom for statistical tests</t>
  </si>
  <si>
    <t>R - lme4</t>
  </si>
  <si>
    <t>singer willet applied longitudinal data analysis, pinheiro bates mied models in s-plus</t>
  </si>
  <si>
    <t xml:space="preserve">dependent variable ~ factor1*factor@+ covariate1+covariate2 + (1|subjectID) + (1|itemID)
</t>
  </si>
  <si>
    <t>table, plot</t>
  </si>
  <si>
    <t>applied linguistics</t>
  </si>
  <si>
    <t>to get started
SPSS doesn't support it, so I would need to switch to another programme (R) and it is difficult to find the time to get myself into a new programme</t>
  </si>
  <si>
    <t>yes- I wouldn't know how to do so. Would need to google and consult published research/journal guidelines on how to do this.</t>
  </si>
  <si>
    <t>There are only a few who have started doing this now, so not sure, it is done as it should be.</t>
  </si>
  <si>
    <t>within the next year or two</t>
  </si>
  <si>
    <t>I think it is needed for the bigger studies I am performing now - more variables being interlinked.</t>
  </si>
  <si>
    <t>can't judge. But I generally like tables.</t>
  </si>
  <si>
    <t>code yes - data no
--&gt; should be helpful to others but I'm not sure we are allowed to share the data (ethics.)</t>
  </si>
  <si>
    <t>analysis code: yes. seems to be very helpful</t>
  </si>
  <si>
    <t>since 2006</t>
  </si>
  <si>
    <t>building models
random slopes
REMFL function
lmer or lmer
packages</t>
  </si>
  <si>
    <t>what do you do with 3 or more levels of a factor?</t>
  </si>
  <si>
    <t>is everybody doing the same thing consistently?</t>
  </si>
  <si>
    <t>Harald Baayen - Handbook about R
Dale Barr - website
Random websites</t>
  </si>
  <si>
    <t>Same findings</t>
  </si>
  <si>
    <t>Linguistics - phonetics and sociolinguistics</t>
  </si>
  <si>
    <t>How to build models
How to compare subsequent models
How to avoid correlating different variables
Interpreting random slopes</t>
  </si>
  <si>
    <t>I use mixed models all the time and have had no problems publishing my research (statistically speaking anyway!), so I think what I am doing must be considered acceptable, but I'm not sure if it's statistically correct.</t>
  </si>
  <si>
    <t>I think everyone has jumped on this mixed effects bandwagon without properly understanding what they're doing (myself included).</t>
  </si>
  <si>
    <t>Baayen 2008</t>
  </si>
  <si>
    <t>Table as then you can pick and choose which bits of information you want to read.</t>
  </si>
  <si>
    <t>I wouldn't mind, but I would be a little scared someone would tell me I'd done it wrong!</t>
  </si>
  <si>
    <t>It would be good to see how others have tackled certain kinds of data. I think it would improve the standard in the field.</t>
  </si>
  <si>
    <t>University of Toronto</t>
  </si>
  <si>
    <t>1. differing (and evolving) opinions on best practices
2. presenting the results in a way that is clear to those who are not statistically-inclined</t>
  </si>
  <si>
    <t>I'm afraid of being asked questions at conferences or by reviewers about why I chose one method over another.  I also never know how much to report about the process of choosing the random effects structure.</t>
  </si>
  <si>
    <t>Many subfields in linguistics don't use statistics.  As such, the requisite knowledge is not always required in graduate programs, which leads to researchers who know how to plug the numbers into a program and identify the asterisks, but don't really understand what it means.</t>
  </si>
  <si>
    <t>Data Analysis Using Regression and Multilevel/Hierarchical Models by Gelman &amp; Hill
stackexchange</t>
  </si>
  <si>
    <t>response ~ factor1*factor2 + (1|participant) + (1|item)</t>
  </si>
  <si>
    <t>I prefer a table for myself because it's clearest to me.</t>
  </si>
  <si>
    <t>Yes, because all data should be free</t>
  </si>
  <si>
    <t>Definitely! Especially when I'm comparing my results against someone who used ANOVAs, I'd like to be able to run mixed effects models on their data.</t>
  </si>
  <si>
    <t>learning how to set them up and how to interpret them.</t>
  </si>
  <si>
    <t>just whether i am reporting them right. I also have not been able to set them up myself in SPSS so needed to reply on someone else, which worries me as it removes a bit of my control.</t>
  </si>
  <si>
    <t>whether people know what they are doing. most psycholinguistics from linguistics departments don't actually have a background at all in statistics.</t>
  </si>
  <si>
    <t>SASS</t>
  </si>
  <si>
    <t>some workshops, but no longer sure of what.</t>
  </si>
  <si>
    <t>i would have to ask the person who did it could not find anything like this on the handout.</t>
  </si>
  <si>
    <t>i think by using mixed models our results were clearer and actually allowed us to support out hypotheses in a much stronger way.</t>
  </si>
  <si>
    <t>no preference yet!</t>
  </si>
  <si>
    <t>not applicable at this point, but i wouldn't be against sharing this information.</t>
  </si>
  <si>
    <t>professor emerita</t>
  </si>
  <si>
    <t>45 years</t>
  </si>
  <si>
    <t>data sparsity</t>
  </si>
  <si>
    <t>numerous articles and books, such
as those by Baayen, Gelman and Hill, etc</t>
  </si>
  <si>
    <t>Response ~ factors + (1+random slopes|subjectID) + (1+random slopes|itemID)</t>
  </si>
  <si>
    <t>same parameter estimates for fixed effects, but wider confidence intervals</t>
  </si>
  <si>
    <t>Prefer table and plots.  Plots give
quicker picture of findings, tables are
highly useful for critically assessing details.</t>
  </si>
  <si>
    <t>Yes, I have, frequently, to help others.</t>
  </si>
  <si>
    <t>Sure -- this would allow for replication
and hands-on learning for self and students.</t>
  </si>
  <si>
    <t>cognitive science</t>
  </si>
  <si>
    <t>keeping it maximal! And understanding how/whether we can take out a 2-way interaction while leaving in a 3-way (for example)</t>
  </si>
  <si>
    <t>I have struggled with making maximal models for random effects, knowing how to reduce them when they don't converge, and comparing models that include 3 fully crossed fixed effects</t>
  </si>
  <si>
    <t>Why are they privileged over simpler methods?</t>
  </si>
  <si>
    <t>Bodo Winter; Barr et al. (Keep it maximal)</t>
  </si>
  <si>
    <t>RT~ factor1*factor2*factor3+factor4+(1|subjectID) + (1|itemID)</t>
  </si>
  <si>
    <t>same</t>
  </si>
  <si>
    <t>text</t>
  </si>
  <si>
    <t>sure!</t>
  </si>
  <si>
    <t>sure - I would likely not use it, though</t>
  </si>
  <si>
    <t>1. defining the correct random structure
2. estimating of effect sizes (and consequently understanding the analysis power)</t>
  </si>
  <si>
    <t>no concerns</t>
  </si>
  <si>
    <t>I feel that most often the application of these analyses is not well-thought through, or not enough detailed in published manuscript</t>
  </si>
  <si>
    <t>R (package lme4 for LMM, package mgcv for GAMMs)</t>
  </si>
  <si>
    <t>Pinheiro, J. C., &amp; Bates, D. M. (2000). "Mixed-effects models in S and S-PLUS" Springer Science &amp; Business Media.
Baayen (2008) "Analyzing linguistic data: A practical introduction to statistics using R",Cambridge University Press
Baayen, Davidson, Bates (2008) "Mixed-effects modeling with crossed random effects for subjects and items", Journal of memory and language, 59, 390-412
Jaeger, T. F. (2008). "Categorical data analysis: Away from ANOVAs (transformation or not) and towards logit mixed models". Journal of memory and language, 59(4), 434-446.
I referred to the books/papers above for my basic training. I learnt more advanced techniques by working with experts in the field</t>
  </si>
  <si>
    <t>log(RT)~predictor1*predictor2+(1|participant)+(1|item)+(0+predictor1+predictor2|participant)
NOTE: predictors may be either continuous or discrete (most often the former). Model is usually refined for both fixed and random effects to find its better-fitting form</t>
  </si>
  <si>
    <t>na</t>
  </si>
  <si>
    <t>Table and plot. Tables are needed to have all the data available (crucial for future metanalysis or quantitative review), partial effects plots permit an easy and intuitive understanding of the effects (especially when dealing with interactions)</t>
  </si>
  <si>
    <t>Yes. They may be helpful for future metanalyses, as well as the testing of computational models</t>
  </si>
  <si>
    <t>Yes, same reasons reported above</t>
  </si>
  <si>
    <t>knowing your statistics</t>
  </si>
  <si>
    <t>not as far as I understand them</t>
  </si>
  <si>
    <t>workshop, classes at university, help of colleagues, read Baayen</t>
  </si>
  <si>
    <t>DV = dependend variable
DV~conditions*+(1+conditions|subject)+ (1|Item)</t>
  </si>
  <si>
    <t xml:space="preserve">in my opinion, mixed effects models provide more reliable results, specially on RTs. </t>
  </si>
  <si>
    <t>table and effects plot</t>
  </si>
  <si>
    <t>No.
Why should I share my data?</t>
  </si>
  <si>
    <t>No.
I wouldn't do it, why should anybody else?</t>
  </si>
  <si>
    <t>I don't understand the mathematics behind mixed models, which makes it hard to interpret the results</t>
  </si>
  <si>
    <t>Yes, I don't know enough about the meaning of the correlations, and the comparison of different models; so I'm sure whether I'm using the right model on my data.</t>
  </si>
  <si>
    <t>A wide variation of mixed models are reported in articles, which creates the impression that nobody is really sure about what they are doing with these models.</t>
  </si>
  <si>
    <t xml:space="preserve">R.H. Baayen,, D.J. Davidson, D.M. Bates (2008). Mixed-effects modeling with crossed random effects for subjects and items. Journal of Memory and Language 59, p 390â€“412
http://glmm.wikidot.com/
</t>
  </si>
  <si>
    <t>in a table.
This provides the most clear overview (in my opinion).</t>
  </si>
  <si>
    <t>I would, when asked.
In this way, my analyses / results could be checked.</t>
  </si>
  <si>
    <t>Yes, to dubbelcheck the results</t>
  </si>
  <si>
    <t>Portugal</t>
  </si>
  <si>
    <t>gain knowledge of programmes and functions needed to use the models, e.g., R and lmer</t>
  </si>
  <si>
    <t>Postgraduate course Multivariate Statistics Using R (University of Edinburgh); Barr, D. J., Levy, R., Scheepers, C. &amp; Tily, H. J. (2013). Random effects structure for confirmatory hypothesis testing: Keep it maximal. Journal of Memory and Language, 68, 255-278.Baayen, R. H., Davidson, D. J., &amp; Bates, D. M. (2008). Mixedeffects
modeling with crossed random effects for subjects and
items. Journal of Memory and Language, 59(4), 390-412.Baayen, R. H. (2008). Analyzing linguistic data: A practical
introduction to statistics using R. Cambridge: University Press.</t>
  </si>
  <si>
    <t>depM ~ 1 + factor1 +  factor2 +
+ factor1:factor2 +
+ (1 | subj) + (1 | item) +
+ (0 + factor2 | subj) + (0 + factor2 | item)+ (0 + factor1 | item) 
+ (0 + factor1 | subj)</t>
  </si>
  <si>
    <t>in a table; this way we visualize all the model estimates and have a better idea of the model that was run.</t>
  </si>
  <si>
    <t xml:space="preserve">yes, if it was found to be useful to gain better knowledge of these models by the users </t>
  </si>
  <si>
    <t>In cases where the whole process of analysis is not completely explicit.</t>
  </si>
  <si>
    <t>Psychology and Psycholinguistics</t>
  </si>
  <si>
    <t>- use of centering and contrasts
- maximal vs simple models and selecting the most suitable one
- I don't have anyone who can look over what I've done and tell me if there's any blatant error
- how much detail to report and how to do so without compromisi</t>
  </si>
  <si>
    <t>I think their use is much more heterogeneous than for more established analyses: some users are experts, in which case it's hard as a less expert user to verify whether what they did makes sense and what their results mean, others are novices who are told they should use mixed models but do so without sufficient understanding. The middle ground of confident routine users without any particular stakes seems to be largely missing. Ultimately, this means that it's often hard to judge the quality and generalisability of findings reported using mixed models</t>
  </si>
  <si>
    <t>peer learning groups
the Baayen book
JML special issue articles
BiMM workshop
pre-conference workshops by Shravan Vasisth and Reinhold Kliegl
Barr et al. paper
language R mailing list 
online posts and blogs</t>
  </si>
  <si>
    <t>RT ~ factor1 + (1+ factor1|subjectID) + (1+ factor1|itemID)</t>
  </si>
  <si>
    <t>If an effect is big, it doesn't really matter what you do to it. If it's a small effect, how you proceed can make a big difference.</t>
  </si>
  <si>
    <t>It depends a bit on how many results/models are reported and in what kind of paper (in fact, this is similar to Anovas or other forms of analyses). For key experimental factors I'd like the info in the text, with additional details in tables, so you can decide whether you want to look at all the background data, but would be able to replicate if necessary.</t>
  </si>
  <si>
    <t xml:space="preserve">Yes. It's an important way for both myself and the field to learn to use new techniques. </t>
  </si>
  <si>
    <t>I would like to be able to, though I probably wouldn't routinely do it. But as a reviewer or someone for whom these results play a large role I might.</t>
  </si>
  <si>
    <t>non-standardizes procedure</t>
  </si>
  <si>
    <t>that people use it too little</t>
  </si>
  <si>
    <t>Baayen et al
R forums</t>
  </si>
  <si>
    <t>RT ~ factor1 * factor2 + (1|subject)</t>
  </si>
  <si>
    <t xml:space="preserve">Mixed models strike me as sometimes jumping to different results given seemingly only minor changes </t>
  </si>
  <si>
    <t xml:space="preserve">Sure, why not? </t>
  </si>
  <si>
    <t>I wouldn't do it, but it would be good practice to report them</t>
  </si>
  <si>
    <t xml:space="preserve">Understanding interactions and the random effect structure.
</t>
  </si>
  <si>
    <t>It is not entirely clear to me how I indentify the best model. So I'm not too confident in reporting my results.</t>
  </si>
  <si>
    <t>Many people do no too little about the models.</t>
  </si>
  <si>
    <t xml:space="preserve">Courses, Workshops, Books (Baayen 2008, Analyzing linguistic data; Fields, Miles &amp; Fields 2012, Discovering Statistics using R), Papers (Baayen &amp; Milin 2012, Analyzing Reaction times; Baayen, Davidson &amp; Bates 2008, Mixed-effects modeling with crossed random effects for subjects and items; Barr et. al. 2013, Random Effects Structure for Confirmatory Hypothesis Testing: Keep it Maximal)  </t>
  </si>
  <si>
    <t>RT~ factor1*factor2+Trial+Word.length+(1+Trial+Word.length+factor1*factor2|subjectID)+(1+factor1*factor2|itemID)</t>
  </si>
  <si>
    <t>Mixed models are more sensitive. If the traditional analyses (ANOVA) showed an effect, it was the same as in the lme-analysis. But not all effects detected with the lme analysis are detectable with the ANOVA.</t>
  </si>
  <si>
    <t>table and plot.</t>
  </si>
  <si>
    <t>Definitely. 
First, to allow peers to compare results of similar data/experiemnt.
Second, to allow for metaanalyses.
Third, if I might have made a mistake, other researcher can correct me.</t>
  </si>
  <si>
    <t>Yes, for the same reasons as I stated above:
First, to allow peers to compare results of similar data/experiemnt.
Second, to allow for metaanalyses.
Third, if someone might have made a mistake, other researcher can correct them. This way people will not cite incorrect result for decades until someone replicates the experiment.</t>
  </si>
  <si>
    <t>Denmark</t>
  </si>
  <si>
    <t>Approx. 10 years</t>
  </si>
  <si>
    <t>They are still new in some corners of the field and in some related disciplines that I work in. There is more to explain than with more traditional and simpler methods</t>
  </si>
  <si>
    <t>Sometimes they are (too) poorly understood. That is also the case with other statistical methods, but perhaps worse for mixed methods.</t>
  </si>
  <si>
    <t>lme4 and lmerTest in R</t>
  </si>
  <si>
    <t>Training with Harald Baayen, through a course and supervision. 
Baayen's 2008 book on R.
Collaborating with a statistician on teaching statistics for researchers and students in the humanities.</t>
  </si>
  <si>
    <t>Similar to the above, sometimes with random slopes/levels, sometimes with interactions and non-linear effect. More often covariates than factors.
RT ~ covariate1 + covariate2 + (1|Participant) + (1|Item)</t>
  </si>
  <si>
    <t>In table, it gives a much better overview.</t>
  </si>
  <si>
    <t>Yes. I believe that that is the best way to further research.</t>
  </si>
  <si>
    <t xml:space="preserve">1.Demonstrating that they are good at taking into consideration the role/weight of intervening  variables
2. being clearer on how to achieve this goal </t>
  </si>
  <si>
    <t>I do not run the analyses, but my collaborators do
Specific training onsite</t>
  </si>
  <si>
    <t>it depends on the study</t>
  </si>
  <si>
    <t>In some cases results were clearer, in other cases they remained as they were with traditional ANOVAs</t>
  </si>
  <si>
    <t>in the text</t>
  </si>
  <si>
    <t xml:space="preserve">certainly yes, for transparency reasons </t>
  </si>
  <si>
    <t>Developmental Psycholinguistics</t>
  </si>
  <si>
    <t>Understanding how to use them, interpret them, present them.
Using R</t>
  </si>
  <si>
    <t>Yes - I don't feel I fully understand them or what they show, I can't 'see' the results as well, I'm not confident that I could see a mistake I've made.</t>
  </si>
  <si>
    <t>Yes - that the field is still setting standards for what is an appropriate way to apply and report mixed models, that people like myself are using them inappropriately, that people like myself are reviewing work using them.</t>
  </si>
  <si>
    <t>I mostly get support from a colleague who has good expertise in statistics but is learning about mixed models herself; 
I've been on one course run by Franklin Chang - this helped somewhat and gave me some examples to refer to.
I found Bodo Winter's online LME tutorial pdfs helpful for understanding some concepts. Similarly Barr et al's Keeping it maximal paper and a presentation by Christoph Scheepers on the same stuff that a colleague shared.</t>
  </si>
  <si>
    <t>Priming = glmer(SentenceType ~ Part*ConditionCode + (1+Part*ConditionCode|SubjectNo) + (1|TargetNo), data, family = binomial)</t>
  </si>
  <si>
    <t>It depends on the experiment - comparing ANOVAs and mixed-effects, the main effects are typically the same, there may be differences in whether  an effect of, e.g. age or vocabulary scores is important or not.</t>
  </si>
  <si>
    <t>In a table tends to mean people include lots of numbers without making it clear what is relevant but just in a text maybe leaves out some details so I'm happy to see both. I haven't seen a partial effects plot so can't comment on that.</t>
  </si>
  <si>
    <t xml:space="preserve">Yes I'd share code - I think it's helpful to share what you are doing to get feedback and improve consistency across the field.
</t>
  </si>
  <si>
    <t>I could see that it would be helpful to include code in an appendix, I'm not sure about data.</t>
  </si>
  <si>
    <t>Position</t>
  </si>
  <si>
    <t>Institution</t>
  </si>
  <si>
    <t>Lecturer/Assistant Professor</t>
  </si>
  <si>
    <t>University UK</t>
  </si>
  <si>
    <t>Postdoctoral researcher</t>
  </si>
  <si>
    <t>Professor</t>
  </si>
  <si>
    <t>Postgraduate PhD</t>
  </si>
  <si>
    <t>University Other</t>
  </si>
  <si>
    <t>Research Institute Other</t>
  </si>
  <si>
    <t>Reader/Senior Lecturer/Associate Professor</t>
  </si>
  <si>
    <t>Postgraduate MSc</t>
  </si>
  <si>
    <t>Research Institute UK</t>
  </si>
  <si>
    <t>Mean</t>
  </si>
  <si>
    <t>SD</t>
  </si>
  <si>
    <t>Undergraduate</t>
  </si>
  <si>
    <t>Other</t>
  </si>
  <si>
    <t>responses</t>
  </si>
  <si>
    <t>Institution Other</t>
  </si>
  <si>
    <t>%</t>
  </si>
  <si>
    <t>The tendency to only focus on fixed effects in reporting the data; I believe we can learn a lot from exploring random effects more elaborately instead of simply keeping the random effect structure maximum and focus exclusively on the fixed effects.</t>
  </si>
  <si>
    <t xml:space="preserve">Do you report  </t>
  </si>
  <si>
    <t>p-values</t>
  </si>
  <si>
    <t>CI</t>
  </si>
  <si>
    <t>likelihood ratio tests</t>
  </si>
  <si>
    <t>F-tests</t>
  </si>
  <si>
    <t>description of model fitting process</t>
  </si>
  <si>
    <t>results of iterated models / model testing</t>
  </si>
  <si>
    <t>likelihood</t>
  </si>
  <si>
    <t>model fitting</t>
  </si>
  <si>
    <t>iterated models</t>
  </si>
  <si>
    <t>Yes %</t>
  </si>
  <si>
    <t>No %</t>
  </si>
  <si>
    <t>Researcher</t>
  </si>
  <si>
    <t>Leiden University</t>
  </si>
  <si>
    <t>University Germany</t>
  </si>
  <si>
    <t>germany</t>
  </si>
  <si>
    <t>Orthographic word recognition</t>
  </si>
  <si>
    <t>Developmental Psychology</t>
  </si>
  <si>
    <t>Psycholinguistics/Cognitive Psychology</t>
  </si>
  <si>
    <t>anthropology</t>
  </si>
  <si>
    <t>15 yrs</t>
  </si>
  <si>
    <t xml:space="preserve">- forward vs. backward fitting (what's better? Everybody has another opinion)
- Interpretation of significant random slopes/intercepts  (how much does that really reveal about e.g. individual differences)
- reporting the model fitting procedures (how to? </t>
  </si>
  <si>
    <t>We need standards.</t>
  </si>
  <si>
    <t>Finding reliable and well explained sources of information on the details of the analysis, i.e., what it is preforming what/how the calculations are preformed, different output and their meaning and in relation to that best way to report results. for example, I know many other PhD student who don't know what to do with covarying variables and/or how to deal with this.</t>
  </si>
  <si>
    <t>Handling random effects coming from participants and items at the same time</t>
  </si>
  <si>
    <t>Understanding them</t>
  </si>
  <si>
    <t>Understanding the different parameters, understanding the settings and using them appropriately</t>
  </si>
  <si>
    <t xml:space="preserve">changing models and programming in R;
no clear work-abouts; fishing for effects 
</t>
  </si>
  <si>
    <t>Lack of consensus how the analysis should look like and lack of software which allows for easy computation and produces comprehensible error messages.</t>
  </si>
  <si>
    <t>finding the appropriate random structure
that will let the model converge across model comparisons
calculating interactions with more than two factors
finding consensus about whether to use forward- or backward selection in model building</t>
  </si>
  <si>
    <t>The versatility.</t>
  </si>
  <si>
    <t>convincing others that they are useful and reliable</t>
  </si>
  <si>
    <t>see 'main challenges'</t>
  </si>
  <si>
    <t xml:space="preserve">Not now but I have managed to meet/communicate with other academics within psychology and statistic who have been experts with mixed modelling. who ever this was time consuming to say the lest. When first using these techniques I found it difficult to understand the method/maths making it difficult to make informed decision on the bast application and/or which and how many variables to use.     </t>
  </si>
  <si>
    <t>being unsure about whether I have specified the correct random effects</t>
  </si>
  <si>
    <t>I keep having trouble with non-converging models for certain designs (beyond 2x2); although I follow the advice given in Barr et al., 2013 (Appendix), about removing random intercepts etc., some models still don't converge. For these designs, I have to recur to ANOVA (minF').</t>
  </si>
  <si>
    <t>Interpreting them wrong, explaining them wrong, not understanding the results properly</t>
  </si>
  <si>
    <t xml:space="preserve">How to report results of sub-analyseses in cases of non-converging models.
Reporting all necessary information to replicate the models. </t>
  </si>
  <si>
    <t xml:space="preserve">changing models and programming in R;
no clear work-abouts; sometimes necessary to conduct ANOVAs to understand the data with mixed models </t>
  </si>
  <si>
    <t>- whether or not to include random slopes
- the number of factors in an interaction (does it make sense to include 4-way interactions? I don't think so)</t>
  </si>
  <si>
    <t>Yes. What model should I calculate, maximal or not, what to do if one of my conditions has no variance.</t>
  </si>
  <si>
    <t>I have the feeling there is no publicly accepted way to report the methods yet, i.e., what steps did one take in the analyses, which transformations were done etc. Therefore, I myself am not entirely sure in which detail these aspects should be described. However, I have no concerns regarding its general use.</t>
  </si>
  <si>
    <t>People do not understand the assumptions, methods and/or maths underlying mixed models. It is relatively easy to make adhoc decisions as to the best method to use, the variables to include exclude. also as stated above understand covariants etc. And there does not seem to be a standardised way to report the results.</t>
  </si>
  <si>
    <t>Different approaches to LMMs (e.g. include random intercepts/slopes or not) create researcher degrees of freedom (s. Simmons et al., 2011) that are detrimental to our confidence in each other's results</t>
  </si>
  <si>
    <t xml:space="preserve">Few papers use them. </t>
  </si>
  <si>
    <t xml:space="preserve">no clear work-abouts; fishing for effects </t>
  </si>
  <si>
    <t>Yes.
- people do what others have done without fully understanding what they are doing and why (e.g. addition of random slopes or adding additional factors).</t>
  </si>
  <si>
    <t>Lack of knowledge about statistics, computing multiple models (because they don't converge) and cherry picking the results that appeal to one most.</t>
  </si>
  <si>
    <t>yes (neglection of random intercepts and random slopes; neglection of assumptons; poor documentation; model selection)</t>
  </si>
  <si>
    <t>R (lmer, mcgv)</t>
  </si>
  <si>
    <t>R + lme4</t>
  </si>
  <si>
    <t>R/lme4</t>
  </si>
  <si>
    <t xml:space="preserve">- Baayen (2008) Analyzing linguistic data using R
- Workshop on mixed models by Martijn Wieling (Groningen University)
- Workshop on GAMMs by Jacolien van Rij (University of Tuebingen)
</t>
  </si>
  <si>
    <t>Baayen (2008)
Jaeger (2008)
various web pages</t>
  </si>
  <si>
    <t>Main supervisor (Walter van Heuven), 
Fitting Mixed effects Models in R
(Sarkar, 2008), Baayen, R. H., Davidson, D. J., &amp; Bates, D. (2008). Mixed-e
effects modeling with crossed
random e
effects for subjects and items. Journal of Memory and Language, 390-412.
Correspondence with Professor Baayen.
Bates (2005)
lme4: Mixed-effects modeling
with R. (http://lme4.r-forge.r-project.org/lMMwR/lrgprt.pdf)
Fox (2002) Linear Mixed Models. (http://cran.r-project.org/doc/contrib/Fox-Companion/appendix-mixed-models.pdf)
Correspondence with Professor John Fox</t>
  </si>
  <si>
    <t>Internet research
a workshop by Ben Cowan</t>
  </si>
  <si>
    <t xml:space="preserve">1. Pinheiro&amp;Bates, Mixed Models in S and SPlus
2. Field, Discovering Statistics Using R
3. Barr, JML 2008
4. Barr et al., JML, 2013
</t>
  </si>
  <si>
    <t xml:space="preserve">MSc lectures </t>
  </si>
  <si>
    <t>Self-taught with departmental support, a brief training course (1h) using different software (SPSS), later a one week bootcamp course.</t>
  </si>
  <si>
    <t>personal instructions</t>
  </si>
  <si>
    <t>Baayen's book; Barr et al. JML, 2013; Cunnings SLR, 2012; Baayen et al. JML, 2008.</t>
  </si>
  <si>
    <t>Coursera lecture, "Discovering Statistics Using R", various online webpages.</t>
  </si>
  <si>
    <t>I took part in the mixed models workshop at Bielefeld University and another workshop at the Max Planck Institute for evolutionary anthrophology in Leipzig. Also, I have worked with Baayen's text book and papers as well as the blog of Dale Barr. If I come across a problem, I usually google it and find many answers on stackoverflow.com.</t>
  </si>
  <si>
    <t>Analyses of Eye Movements with Linear Mixed Models using R (Prof. Reinhold Kliegl, ECEM 2013); Discovering Statistics Using R (Field, Mils and Field, 2012); Analyzing Linguistic Data: A Practical Introduction to Statistics using R (Bayeen, 2008)</t>
  </si>
  <si>
    <t>self-training
Baayen RH. 2008. Analyzing Linguistic Data. Cambridge University Press. Cambridge.
Barr DJ, Levy R, Scheepers C &amp; Tily HJ. 2013. Random effects structure for confirmatory hypothesis testing: Keep it maximal. J Memory Lang, 68, 255â€“278.
Schielzeth H &amp; Forstmeier W. 2009. Conclusions beyond support: overconfident estimates in mixed models. Behav Ecol, 20, 416-420.</t>
  </si>
  <si>
    <t>depends which model is best using model comparison/model criticism</t>
  </si>
  <si>
    <t xml:space="preserve">Normally I run; 
lm(factor3 ~ factor1 + ....  data=freq) 
to check for covariance (I always use the log of RT, frequency type data). 
then most common;
log.RT ~ factor1  + (1|sjn) + (1|itemnr)
</t>
  </si>
  <si>
    <t>RT ~ factor1 * factor2 + (factor1|subjectID)
(Or something like this. I don't have my R files on this computer.)</t>
  </si>
  <si>
    <t>DV ~ factor1*factor2 
+ (1+(factor1*factor2)|subjectID)
+ (1+(factor1*factor2)|itemID)</t>
  </si>
  <si>
    <t>I don't remember</t>
  </si>
  <si>
    <t>DV ~ Factor1 * Factor2 + Covariate1 + Covariate2 (Factor 1 + Factor2 | SubjectID) + (Factor 1 + Factor2 | ItemID)</t>
  </si>
  <si>
    <t>RT ~ factor1*factor2*factor3 + (1+factor1|Subject) + (1+factor2|item)</t>
  </si>
  <si>
    <t>RT ~ factor1 * factor2 * factor3 + (1+factor1*factor2*factor3|subject) + 1+factor1*factor2*factor3|item)</t>
  </si>
  <si>
    <t>RT ~ factor1 + factor2 + factor1:factor2 + (1|subjectID) + (1|itemID)</t>
  </si>
  <si>
    <t xml:space="preserve"> RT ~ factor1 + (1+factor1|subjectID) + (1|itemID) (assuming that factor1 is varying within subjectID but not within itemID and also not a quantity not a quality; in the latter case I'd still include random slopes, but it would look a little different)</t>
  </si>
  <si>
    <t>When anovas did not yield significant effects, mixed models did.
But this might have been a matter of missing values.</t>
  </si>
  <si>
    <t xml:space="preserve">The main results have been the same however, it has allowed me to test/check the effects of variables that are not normally controlled for or assumed to be to small to bias results (happen these are the ones I'm interested in!).  </t>
  </si>
  <si>
    <t>One of the factors did or didn't show a significant effect in one of the analyses. I guessed they weren't really comparable and went with reporting the mixed effects model.</t>
  </si>
  <si>
    <t>Sometimes the p-value given by minF' is more conservative than the one produced by the likelihood-chi-square model comparison recommended by Barr et al.; I'm not sure what to make of this.</t>
  </si>
  <si>
    <t>much easier and less time consuming to use F1 and F2 ANOVAs</t>
  </si>
  <si>
    <t>OK</t>
  </si>
  <si>
    <t>I compared my results with those of standard ANOVA analyses which I calculated for both participants and items (F1 and F2 statistics). I found that compared to sometimes divergent F1 and F2 statistics (e.g., one of them being highly significant and the other only marginally), this divergence is better accounted for by mixed models in that they incorporate both participants and items in one model. That is, the overall results were the same in both types of analyses, but mixed models allow for a better control of both participant and item variability.</t>
  </si>
  <si>
    <t>I reported mixed models results.</t>
  </si>
  <si>
    <t>comparing P-values</t>
  </si>
  <si>
    <t>Table and/or plot
combination of those two best, to see and understand what's going on. In text might be too chaotic.</t>
  </si>
  <si>
    <t>For one model, I prefer estimates in the text.
For many models, I prefer estimates in a table.</t>
  </si>
  <si>
    <t xml:space="preserve">Tables as quicker to check then embedded in text but more detailed than plots. </t>
  </si>
  <si>
    <t>Only if they "make sense" to report (i.e., if they are readily interpretable).</t>
  </si>
  <si>
    <t>Model estimates in table would be an improvement, because some people only report t-values or even only p-values. Also, reporting the model equation should be obligatory.</t>
  </si>
  <si>
    <t>I don't know</t>
  </si>
  <si>
    <t>I prefer tables, main results discussed in text. Plots where appropriate (very context specific)</t>
  </si>
  <si>
    <t>table; everything is nicely put together, helps interpretation.</t>
  </si>
  <si>
    <t>It depends on the amount of factors in the model. With up to two factors, I think it is sufficient in text; analyses with more than two factors can go in a table. Personally, I have trouble interpreting plots, especially when the data have been transformed prior to the analyses.</t>
  </si>
  <si>
    <t xml:space="preserve">In text and in tables because it is clearer. </t>
  </si>
  <si>
    <t>table when the model is complex; otherwise text and figure (with prediction CIs)</t>
  </si>
  <si>
    <t>Yes, to learn and improve.
Also, as there are many ways to do it, to be 100% clear about how I got my results</t>
  </si>
  <si>
    <t>Yes- (1) with reviewers, (2) when results are published.
No- when results are not yet published.</t>
  </si>
  <si>
    <t>I will always normally share data from published work on request, never been asked for code but would if asked. I always prefer the system of asking as I'm interested in what and/why they request it - I think it is good for networking/discovering new people working on similar areas projects, creating a community.</t>
  </si>
  <si>
    <t>Yes, to get feedback from the research community.</t>
  </si>
  <si>
    <t>Yes. To learn.</t>
  </si>
  <si>
    <t>Yes, it's much easier to show what you have done and replicate the results.</t>
  </si>
  <si>
    <t>yes. By sharing and helping others we learn more.</t>
  </si>
  <si>
    <t>No, because my university has a huge form you have to fill out before you can submit your data and I'm too lazy.</t>
  </si>
  <si>
    <t>Yes, because it allows transparency of the analyses.</t>
  </si>
  <si>
    <t>Yes, because that way anyone can verify the results and the validy of the analysis.</t>
  </si>
  <si>
    <t>I do all the time to help improving the quality of analyses</t>
  </si>
  <si>
    <t>Yes, for same reasons as outlined above.</t>
  </si>
  <si>
    <t>Yes.
One might develop a standard from published reports and refer to the publications.</t>
  </si>
  <si>
    <t xml:space="preserve">Quite often I'm looking for other factors that may account for the remaining variance in results. Also the code is useful to get a full idea of excellently what factors were included in the original models and whether they were significant at any stage - also if not originally a computer scientist it is nice to see other peoples coding to find new more efficient ways of programming     </t>
  </si>
  <si>
    <t>Yes, to see whether they choose other approaches.</t>
  </si>
  <si>
    <t>Yes. S. above.</t>
  </si>
  <si>
    <t>Yes, it would be really good to look at how they did their analysis, practice with their data and then apply similar types of analysis and code to my own data</t>
  </si>
  <si>
    <t>sometimes, to learn from others how they did their analyses.</t>
  </si>
  <si>
    <t>Yes, because it allows transparency and might be helpful for my own future analyses. That is, authors might have used code that I can implement for my data as well.</t>
  </si>
  <si>
    <t>Yes, to see how researcher of the area are using the models and how they do their analysis.</t>
  </si>
  <si>
    <t>yes because it would allow to better judge what the authors did (frequently the description of methods is very poor)</t>
  </si>
  <si>
    <t>grasping when to use fixed and random slopes and intercepts
- why models might not converge</t>
  </si>
  <si>
    <t>Post-doctoral researcher</t>
  </si>
  <si>
    <t>Postgraduate (PhD)</t>
  </si>
  <si>
    <t>Postgraduate (MSc)</t>
  </si>
  <si>
    <t>Learning from colleagues
- A course on advanced data analysis at Radboud University Nijmegen
- The book by Harald Baayen: Analyzing Linguistic data: A Practical Introduction to Statistics using R.</t>
  </si>
  <si>
    <t>Yes I'd share code - I think it's helpful to share what you are doing to get feedback and improve consistency across the field.</t>
  </si>
  <si>
    <t>spain</t>
  </si>
  <si>
    <t>reading</t>
  </si>
  <si>
    <t xml:space="preserve">Psychology </t>
  </si>
  <si>
    <t xml:space="preserve"> A</t>
  </si>
  <si>
    <t>-Steep learning curve at first (both with the actual statistical concepts, and with using R)
-Disagreements even within the field about best practices (e.g., including maximal random effects structure, etc.)- can create conflicts during review process, ev</t>
  </si>
  <si>
    <t>knowing exaclty which model helps you to do what, and being able to convince reviewers that you made the right choice. Usually running different models and arguing well why results differ/do not differ helps.</t>
  </si>
  <si>
    <t>they are still not as well understood as "traditional" methods. So, this means that it can sometimes be hard to find the correct way to handle "odd" situations and can also mean that some reviewers make non-sensical suggestions for changes</t>
  </si>
  <si>
    <t>Yes- as stated above, I feel that there is not one clear-cut standard of the best way to do MLM; however, many people have very strong feelings about the issue. This can create conflict during the review process.
- Uncertainty about how to compute things like power</t>
  </si>
  <si>
    <t xml:space="preserve">Sometimes i get the advice to use anovas straight away to avoid discussions with reviewers. I disagree and tend to run an anova and a mixed model and try to argue which is better and why. </t>
  </si>
  <si>
    <t>LME4 with the stats package R is become more and more common for "hard core" reading researchers, and this is where I would normally use mixed models, so I am happy to use it. However, when I have research in other areas is when reviewer problems tend to arise</t>
  </si>
  <si>
    <t>Not sure how to choose the random effects structure. there is no research that looks into the *theoretical* questions, i.e. the nature of the DVs.</t>
  </si>
  <si>
    <t>- Again, no field standard can lead to confusion/conflicts
- Not really suitable for doing fine-grained time binning of data in eye tracking research (also a problem with ANOVA- would be nice to find methods that allow more detailed characterization of fi</t>
  </si>
  <si>
    <t>No concerns, would welcome more of them.</t>
  </si>
  <si>
    <t>People don't understand the theoretical issues around random effects; mistakenly think it's a mathematical problem only.</t>
  </si>
  <si>
    <t>My graduate institute had a reading group that met weekly where we discussed mixed models, practiced doing analyses, read relevant papers, etc. (The 2008 special edition of JML was heavily used.) Most of my experience comes from learning from other people in my department through these types of informal settings (e.g., working on data analysis w/ my graduate advisor). I have also used the Baayen and Crawley books.</t>
  </si>
  <si>
    <t>Baayen, 2008
Course by Marco Baroni: http://clic.cimec.unitn.it/methods/R/index.html
Course by Luigi Lombardi on advanced statistics
Course by Massimiliano Pastore and Gianmarco AltoÃ¨ on bootstrapping and monte carlo</t>
  </si>
  <si>
    <t xml:space="preserve">Have notdone any specific courses. Has mostly been self taught, in particular:
Barr, D. J. (2013). Random effects structure for testing interactions in linear mixed-effects models. Frontiers in Psychology, 4. doi: 10.3389/fpsyg.2013.00328
Barr, D. J., Levy, R., Scheepers, C., &amp; Tily, H. J. (2013). Random effects structure for confirmatory hypothesis testing: Keep it maximal. Journal of Memory and Language, 68(3), 255-278. doi: 10.1016/j.jml.2012.11.001
</t>
  </si>
  <si>
    <t>A</t>
  </si>
  <si>
    <t>help from colleagues.
Barr et al. 2013 in JML.</t>
  </si>
  <si>
    <t>DV~factor1 * factor2 + (1 + factor1*factor2|subjectID) + (1+ factor1*factor2|itemID)</t>
  </si>
  <si>
    <t>.. acc~group*task*domain+(1|subject)+(1|material),family=binomial ..</t>
  </si>
  <si>
    <t>the example given would be the minimum. Depends if there are interactions, etc.</t>
  </si>
  <si>
    <t>Largely similar, although the MLM results seemed a bit more conservative (some things that were significant w/ ANOVA were no longer significant w/MLM)</t>
  </si>
  <si>
    <t>mostly they did not differ. Once though I had a problem with covariance in a mixed model that did not appear in an anova.</t>
  </si>
  <si>
    <t xml:space="preserve">In my view, mixed effects modelling allows for better treatment of errors which can overcome problems inherent in traditional models. Nevertheless, these theoretical problems are usually not problems in practice - that is, unless results are borderline, the traditional and mixed model results almost always agree in the general findings, with only the strength if the effects varying slightly. Having said this, Mixed effects is the more correct method, so I am happy to use it </t>
  </si>
  <si>
    <t>It is always nice when the full output of a model is reported in an appendix or supplemental section so that the results can be fully evaluated.</t>
  </si>
  <si>
    <t>Model estimates and confidence intervals: IÂ´d prefer them in a table because IÂ´m used to read them in that format. Effect plotting functions of R are very good too.</t>
  </si>
  <si>
    <t xml:space="preserve">The lack of "standards" or "guidelines" is a slight problem at the moment. In part it depends on how much nested model testing there is. Also depends on the type of data - for example, binary outcome data with several predictors requires the equivalent of logistic regression. It is a challenge to report this clearly, and is problematic if reviewers are unfamiliar with these techniques.
In general I opt to include as much as I can, but this can eats into word limits. </t>
  </si>
  <si>
    <t>text, because it reminds me of the ANOVA reports.</t>
  </si>
  <si>
    <t xml:space="preserve">Yes- I think it is important for members of the community to work together to ensure that we are all well-versed in current statistical methods. </t>
  </si>
  <si>
    <t>I would share analysis and data once itÂ´s published to discuss details and participante in an open access expert community.</t>
  </si>
  <si>
    <t>That seems to be the way psychology is headed, so I am prepared for that</t>
  </si>
  <si>
    <t>I am not sure how often I would take advantage of such a thing; however, it is always nice to have those things available if there are questions about the analysis technique. Sometimes not enough description is included in the text to fully understand what the authors did.</t>
  </si>
  <si>
    <t xml:space="preserve">yes, IÂ´d like to access them to compare with my own analyses and to add examples for teaching classes. </t>
  </si>
  <si>
    <t>I think publishing code would greatly speed up the acceptance of these techniques.
I don't see the access to data and code being a mixed effects specific issue. This is for any paper, regardless of the statistical technique used.</t>
  </si>
  <si>
    <t>S</t>
  </si>
  <si>
    <t xml:space="preserve">Sometimes. To figure out what was actually done - not everything is reported. </t>
  </si>
  <si>
    <t>Deciding on random effects structure.
- contrast coding IVs with more than two levels</t>
  </si>
  <si>
    <t>Country</t>
  </si>
  <si>
    <t>Lack of consensus how The analysis should look like and Lack of software which allows for easy computation and produces comprehensible error messages.</t>
  </si>
  <si>
    <t>Lack of consensus/ clear guidelines on what type of anaylsis to use when and how to conduct and report it
- scarcity of role models and experts to ask
- Lack of software expertise
- hard to communicate to researchers from neighbouring fields in interdisciplinary contexts</t>
  </si>
  <si>
    <t>The main software is difficult to use
- tests of statistical significance are not always available
- outcomes of analyses can depend on choices made in non-obvious ways</t>
  </si>
  <si>
    <t>modelling predictors appropriately (e.g. contrast vs treatment coding etc)
- model selection procedures
- appropriate use of random effects
- unclear and inconsistent practices across different journals/editors</t>
  </si>
  <si>
    <t>making good use of random effects and random intercepts
- not over-fitting The data
- ascertaining The suitability of this method for A particular dataset</t>
  </si>
  <si>
    <t>Harder to run with SPSS
- Harder to publish</t>
  </si>
  <si>
    <t>to understand The influence on future study designs
- understanding The need to control residuals
- interpretation of complex interactions</t>
  </si>
  <si>
    <t>failure to converge for relatively uncomplicated designs
- understanding The consequences of imbalance
- understanding assumptions about The variance-covariance structure</t>
  </si>
  <si>
    <t>checking model assumptions
- choosing appropriate covariance structure
- coding of categorical predictors</t>
  </si>
  <si>
    <t>contrast coding (i.e., which contrast coding should be used)
- number of potential factors that can be added / subtracted from A model
- three-way interactions are difficult to interpret
- too many people still believe that we are fishing for p-values if we do not use classical anovas</t>
  </si>
  <si>
    <t>Keeping up with code updates for core packages and wide suite of additional functions
- visualisation is challenging
- different editors/referees have vastly varying standards which may or may not correspond to The developing best practices in The field</t>
  </si>
  <si>
    <t>Lack of agreement on The variables The model should include when dealing with experimental data: should all The predictor variables be retained, or only those that proved significant?
- Lack of agreement on how to report The results.</t>
  </si>
  <si>
    <t>No proper justification for their use
- No comparison to conventional stats such as t-test or anova.</t>
  </si>
  <si>
    <t>for some years, while The new methods was being explored, several papers have been published (including by myself) that did not use maximal random structure</t>
  </si>
  <si>
    <t>Range</t>
  </si>
  <si>
    <t>(1) Have you compared your results following a more traditional analysis and a mixed-effects analysis?</t>
  </si>
  <si>
    <t>(2) Have the results been different?</t>
  </si>
  <si>
    <t>(3) What was your evaluation of the results?</t>
  </si>
  <si>
    <t>(1) Would you share analysis code and data? 
	Why?</t>
  </si>
  <si>
    <t>(2) Would you like to access analysis code and data in published reports?
	Why?</t>
  </si>
  <si>
    <t>(1) and (2) number who say yes and no</t>
  </si>
  <si>
    <t>Thematic analysis for (1) and (2) for WHY</t>
  </si>
  <si>
    <t xml:space="preserve"> </t>
  </si>
  <si>
    <t xml:space="preserve"> recoded</t>
  </si>
  <si>
    <t xml:space="preserve">about 4 </t>
  </si>
  <si>
    <t xml:space="preserve">Three </t>
  </si>
  <si>
    <t xml:space="preserve">30+ </t>
  </si>
  <si>
    <t xml:space="preserve">eight </t>
  </si>
  <si>
    <t xml:space="preserve">four </t>
  </si>
  <si>
    <t>7.5  since after PhD</t>
  </si>
  <si>
    <t xml:space="preserve">over 25 </t>
  </si>
  <si>
    <t>6  (including the PhD)</t>
  </si>
  <si>
    <t>21  (since starting my PhD)</t>
  </si>
  <si>
    <t>20 , including grad school</t>
  </si>
  <si>
    <t xml:space="preserve">ca. 15 </t>
  </si>
  <si>
    <t xml:space="preserve">Approx. 10 </t>
  </si>
  <si>
    <t>more than one</t>
  </si>
  <si>
    <t xml:space="preserve">(second) language acquisition </t>
  </si>
  <si>
    <t>language comprehension</t>
  </si>
  <si>
    <t>discourse processing</t>
  </si>
  <si>
    <t>clinical psychology</t>
  </si>
  <si>
    <t>orthographic word recognition</t>
  </si>
  <si>
    <t>developmental psychology</t>
  </si>
  <si>
    <t>research discipline</t>
  </si>
  <si>
    <t>mean</t>
  </si>
  <si>
    <t>range</t>
  </si>
  <si>
    <t>0.5 - 30</t>
  </si>
  <si>
    <t>how long in years</t>
  </si>
  <si>
    <t>selecting/specifying model</t>
  </si>
  <si>
    <t>knowing when appropriate</t>
  </si>
  <si>
    <t>lack of awareness</t>
  </si>
  <si>
    <t>types of coding</t>
  </si>
  <si>
    <t>multi-level factors</t>
  </si>
  <si>
    <t>p-value hacking</t>
  </si>
  <si>
    <t>code unreliable</t>
  </si>
  <si>
    <t>interpreting output</t>
  </si>
  <si>
    <t>complexity</t>
  </si>
  <si>
    <t>overly flexible</t>
  </si>
  <si>
    <t>calculating effect size</t>
  </si>
  <si>
    <t>only planar interactions are modeled</t>
  </si>
  <si>
    <t>including random variance of items and subjects in one analysis</t>
  </si>
  <si>
    <t>understanding mathematical aspects</t>
  </si>
  <si>
    <t>insufficient higher-level units in experiments</t>
  </si>
  <si>
    <t>coding of categorical predictors</t>
  </si>
  <si>
    <t>time-consuming</t>
  </si>
  <si>
    <t>high level of expertise required</t>
  </si>
  <si>
    <t>models used despite violation of assumptions</t>
  </si>
  <si>
    <t>using without knowing what you're actually doing</t>
  </si>
  <si>
    <t>learning new analysis technique</t>
  </si>
  <si>
    <t>applying them to ERP/Eeg data</t>
  </si>
  <si>
    <t>reporting/presenting data</t>
  </si>
  <si>
    <t>conceptual understanding</t>
  </si>
  <si>
    <t>harder to run with SPSS</t>
  </si>
  <si>
    <t>difficult to use outside factorial designs or within experiments where multiple variables are jointly explored</t>
  </si>
  <si>
    <t>post-hoc analysis</t>
  </si>
  <si>
    <t>training students for understanding what MM do</t>
  </si>
  <si>
    <t>calculating p-value</t>
  </si>
  <si>
    <t>small sample size</t>
  </si>
  <si>
    <t xml:space="preserve">hard to communicate </t>
  </si>
  <si>
    <t>understanding, interpretation and modelling of random effect structures</t>
  </si>
  <si>
    <t>forward vs backward fitting</t>
  </si>
  <si>
    <t>visualising multidimensional effects</t>
  </si>
  <si>
    <t>In your opinion  what are the main challenges to using mixed models?</t>
  </si>
  <si>
    <t>People used to using ANOVA/t-tests etc. in a 'standard' way may find the different options/ways in which an analysis can be done with mixed models a challenging (e.g. how to decide what random effects to include  how to code variables and how this alters the interpretation of the results etc). But the problem here really is that people assume statistics (like ANOVA) can be done in one simple 'right' way  when this isn't really the case.</t>
  </si>
  <si>
    <t>I don't understand them  and as a lecturer the training often isn't available</t>
  </si>
  <si>
    <t>Standardization  instruction without introductory text books  the rapidly changing standards  review process - some reviewers request these models but researchers are not all skilled in these techniques</t>
  </si>
  <si>
    <t>1. The criteria for the random effect structure. Always keep it maximum (Barr et al  JML) or a more data oriented approach?
2. begin with the most simple model (and  then add variables) or begin with the most complete model (and then exclude variables to reach optimal model fit)?
3. the interpretation of random effects
4. the difference in viewpoints among researchers concerning what are valid/acceptable/standard procedures (this relates to point 1).</t>
  </si>
  <si>
    <t>Lack of awareness  competing implementations and standards</t>
  </si>
  <si>
    <t>Lack of understanding of how to model random effects  how to deal with lack of convergence  types of coding  reporting/finding significance levels  dealing with multi-level factors</t>
  </si>
  <si>
    <t>Running them is easy  diagnostics are often not used by researchers. Much freedom in specifying models allows for p value hacking</t>
  </si>
  <si>
    <t>There are no clear standards for certain things (e.g.  how to deal with non-convergence).
Some of the code might also not be reliable. For example  people reported differences when running the same analysis in different versions of the same software.</t>
  </si>
  <si>
    <t>mainly data sets which are too small  especially when studying special populations such as adults with language deficits and children (both typically developing and with language disorders).</t>
  </si>
  <si>
    <t>1. Lack of standardized application
2. Overly flexible
3. Misapplication
4. Failure of models to converge and unclarity in what to do in those situations; this usually means that one of a very small set of people are consulted about how to fix the situation  rather than having a large set of distributed experts</t>
  </si>
  <si>
    <t>Lack of standards for coding  model comparison  random effects  etc.</t>
  </si>
  <si>
    <t>With a number of potential different ways to approach mixed models  it is important to use the most appropriate method for your data - small changes to models can potentially make big changes to data in terms of effect sizes etc.</t>
  </si>
  <si>
    <t>Finding documentation  learning R  and the fact that it is relatively new so recommended practices are in development and not always fully agreed upon (this seems to be changing now)</t>
  </si>
  <si>
    <t>contrast coding (i.e.  which contrast coding should be used)
- number of potential factors that can be added / subtracted from A model
- three-way interactions are difficult to interpret
- too many people still believe that we are fishing for p-values if we do not use classical anovas</t>
  </si>
  <si>
    <t xml:space="preserve">1. Taking into account random variance of items and subjects in one analysis.
2  More straightfowrad implementation of continuous predictors (i.e. compared to repeated measures anova's </t>
  </si>
  <si>
    <t>More of a learning curve than fixed-effects models  in terms of both the statistical theory and the software that can accommodate them.</t>
  </si>
  <si>
    <t>Squaring the debates/advice in the literature  e.g. including random slopes.</t>
  </si>
  <si>
    <t>not everyone understands how to interpret them  what random effects structure to use  how to code their fixed effects</t>
  </si>
  <si>
    <t>Being able to apply a maximal random effects structure and getting the model to converge  and how to understand the robustness or "value" of a finding where it was not possible to specify a maximal random effects structure.</t>
  </si>
  <si>
    <t>1) Model fitting procedures:
-Knowing how to treat and code data (e.g.  to centre  whether to transform  if and how to use contrast coding etc)
-Following proper model fitting procedures
-Model comparisons
-Fitting random effects structures
2) Model evaluation
-Knowing how to test whether a model violates the assumptions of the specific model type being used
-Knowing how to deal with violation of assumptions when they arise
-Knowing how to evaluate a model's fit
-Knowing how to assess models for outliers and what to do about outliers when present</t>
  </si>
  <si>
    <t xml:space="preserve">The biggest challenge is finding the best model that fits my data. What is the best way to go about doing it? Where should I start? Do I start with the full model and do backward elimination? I'm told to look for the lowest AIC value but if the chi-square fitness test is not significant comparing two models  do I still go with the model with the lower AIC value? </t>
  </si>
  <si>
    <t>Fully learning a new analysis technique  identifying relevant assumptions/limitations for the data set</t>
  </si>
  <si>
    <t>Model misspecification (we cannot know the true model and covariance structure; see Barr et al.  2013). Estimation is also sometimes unstable.</t>
  </si>
  <si>
    <t>1. Learning how to use software (e.g. lme4  SPSS MIXED) to run the analyses.
2. Understanding the components of the models  e.g. random slopes  random intercepts  covariance structures for repeated measures and random effect.
3. Understanding how those components related to components of standard ANOVA models.
4. Understanding what choices  if any  the software makes available (e.g. for covariance structures in lme4).
5. Understanding how to interpret the models (e.g. effect of missing data on orthogonality of tests of fixed effects).</t>
  </si>
  <si>
    <t xml:space="preserve">Since standards have not yet been defined or agreed upon  it's difficult to know what are the best practices to follow. For example  should someone start from the smallest model and progressively add terms to the model or start from the largest model and take terms out one at a time? Should random effects indeed be maximal (intercept + slope) even when the random slopes don't improve the models  and even if the model fails to converge? In the analysis of visual-world eye-tracking data (or any data with time as continuous variable)  there's also the question of whether time should be a variable in the model (the same question applies to growth curve analysis) or whether it should not be given the non-independence of observations. There are also questions about best reporting practices. If a particular term does not improve the model  it is often removed from the model even if this term is tied to a variable that was part of the experimental design to begin with. If terms tied to a variable that is part of the experimental design are going to be excluded from a model  as a reader I would want to see evidence that these terms did not improve the model (e.g.  with pairwise comparisons of models in an appendix)  or else I would want to variable to stay in the model (and not be significant). I don't think anyone publishes such comparisons in appendices (do they in supplementary materials?).  </t>
  </si>
  <si>
    <t>Understanding the results and why it is actually better than regular stats (ANOVAs  etc.) in terms of the maths.</t>
  </si>
  <si>
    <t>too few education on how to use them in undergraduate studies  for many people ANOVAs are still state of the art</t>
  </si>
  <si>
    <t>There's many researcher degrees of freedom in deciding on random slopes and intercepts for different factors. Also  there is no establish consensus with respect to effect size measures or (to a lesser extent) confidence intervals. In addition  model convergence (or better: non-convergence) is problematic at times. Finally  sophisticated as they may be  it remains a form of NHST  leading to all kinds or issues with power  p-hacking  data snooping etc.</t>
  </si>
  <si>
    <t>challenging to understand  what I'm actually modelling</t>
  </si>
  <si>
    <t>at this point non-convergence if more than 1 random slope; still no standardized use -- studies are hard to compare since everyone builds their own models and often does not describe in detail how factors were coded  etc.</t>
  </si>
  <si>
    <t xml:space="preserve">There are a number of decisions that must be made when doing mixed-effects modelling  e.g. reducing collinearity  inclusion/exclusion of factors in a model. Different researchers may do different things at these decision points  leading to different outcomes in models. There is not a "standard" way of doing things  which makes interpreting results difficult. </t>
  </si>
  <si>
    <t>Models with maximal random effect structure often fail to converge.  
It's difficult to use them outside factorial designs  or within experiments in which multiple (several) variables are jointly explored (e.g.  megastudies)</t>
  </si>
  <si>
    <t>People not confirming to hypothesis testing procedures  poor experimental designs being used because people think LME can compensate for that  lack of model convergence for unknown reasons when using maximally random structures  interpretation and evaluation of model fits</t>
  </si>
  <si>
    <t>Oh dear. I didn't realise there were distinctive challenges. I use SPSS to do the analysis for me  and then use my knowledge of the psychology issues being addressed to help me interpret any interactions  just as I would for any other design.</t>
  </si>
  <si>
    <t>model selection  getting behind the mechanisms of the algorithm</t>
  </si>
  <si>
    <t>- Deciding on the best model for the data: how many fixed factors is max? Random slopes as well as intercepts?
- Interpreting complex models with multiple factors
- Keeping up with updated R software  that causes different outcomes</t>
  </si>
  <si>
    <t>Choosing the best (correct?) version.  Changes in R packages. Easy to interpret graphical representations (compared to ANOVA means  for example).  Controversy over p-values  Monte Carlo simulations  etc.  Choosing most meaningful contrasts.  Difficulty in post-hoc analyses.</t>
  </si>
  <si>
    <t>- model selection procedures
- best/most sensible composition of (crossed) random structures  especially in light of non-convergence problems
- drawing inference (e.g.  df-approximations vs. bootstrapping vs. t&gt;2...)
- standards for reporting</t>
  </si>
  <si>
    <t>for a non-statistician  hard to follow</t>
  </si>
  <si>
    <t>cumbersome R packages and formulas  difficult to understand  not taught in standard statistics courses  not enough people who know it</t>
  </si>
  <si>
    <t>To be honest  lack of a single source that authoritatively provides guidance for how things should and shouldn't be done. This information is available  but it's scattered across many articles  websites  textbooks  etc.</t>
  </si>
  <si>
    <t>Understanding what the model outcomes mean  and interpreting them with respect to the research hypotheses.</t>
  </si>
  <si>
    <t>Consistency of application  guidance on model construction and reporting of results  best practice for analyis and interpretation of data</t>
  </si>
  <si>
    <t>to get started
SPSS doesn't support it  so I would need to switch to another programme (R) and it is difficult to find the time to get myself into a new programme</t>
  </si>
  <si>
    <t>I don't understand the mathematics behind mixed models  which makes it hard to interpret the results</t>
  </si>
  <si>
    <t>gain knowledge of programmes and functions needed to use the models  e.g.  R and lmer</t>
  </si>
  <si>
    <t>Understanding how to use them  interpret them  present them.
Using R</t>
  </si>
  <si>
    <t>Finding reliable and well explained sources of information on the details of the analysis  i.e.  what it is preforming what/how the calculations are preformed  different output and their meaning and in relation to that best way to report results. for example  I know many other PhD student who don't know what to do with covarying variables and/or how to deal with this.</t>
  </si>
  <si>
    <t>Understanding the different parameters  understanding the settings and using them appropriately</t>
  </si>
  <si>
    <t>which interactions to include/exclude  and The number of factors in each interaction
- whether or not to include random slopes
- interpretation of higher-order interactions
- lots of factors can be included  but not all of them make sense to include. Where to draw The line?</t>
  </si>
  <si>
    <t>-Steep learning curve at first (both with the actual statistical concepts  and with using R)
-Disagreements even within the field about best practices (e.g.  including maximal random effects structure  etc.)- can create conflicts during review process  ev</t>
  </si>
  <si>
    <t>knowing exaclty which model helps you to do what  and being able to convince reviewers that you made the right choice. Usually running different models and arguing well why results differ/do not differ helps.</t>
  </si>
  <si>
    <t>they are still not as well understood as "traditional" methods. So  this means that it can sometimes be hard to find the correct way to handle "odd" situations and can also mean that some reviewers make non-sensical suggestions for changes</t>
  </si>
  <si>
    <t>8</t>
  </si>
  <si>
    <t>5</t>
  </si>
  <si>
    <t>3</t>
  </si>
  <si>
    <t>7</t>
  </si>
  <si>
    <t>11</t>
  </si>
  <si>
    <t>9</t>
  </si>
  <si>
    <t>13</t>
  </si>
  <si>
    <t>14</t>
  </si>
  <si>
    <t>15</t>
  </si>
  <si>
    <t>16</t>
  </si>
  <si>
    <t>77</t>
  </si>
  <si>
    <t>19</t>
  </si>
  <si>
    <t>20</t>
  </si>
  <si>
    <t>21</t>
  </si>
  <si>
    <t>22</t>
  </si>
  <si>
    <t>23</t>
  </si>
  <si>
    <t>24</t>
  </si>
  <si>
    <t>26</t>
  </si>
  <si>
    <t>27</t>
  </si>
  <si>
    <t>28</t>
  </si>
  <si>
    <t>30</t>
  </si>
  <si>
    <t>37</t>
  </si>
  <si>
    <t>39</t>
  </si>
  <si>
    <t>42</t>
  </si>
  <si>
    <t>43</t>
  </si>
  <si>
    <t>56</t>
  </si>
  <si>
    <t>45</t>
  </si>
  <si>
    <t>46</t>
  </si>
  <si>
    <t>48</t>
  </si>
  <si>
    <t>49</t>
  </si>
  <si>
    <t>50</t>
  </si>
  <si>
    <t>51</t>
  </si>
  <si>
    <t>53</t>
  </si>
  <si>
    <t>54</t>
  </si>
  <si>
    <t>55</t>
  </si>
  <si>
    <t>17</t>
  </si>
  <si>
    <t>57</t>
  </si>
  <si>
    <t>58</t>
  </si>
  <si>
    <t>60</t>
  </si>
  <si>
    <t>62</t>
  </si>
  <si>
    <t>4</t>
  </si>
  <si>
    <t>63</t>
  </si>
  <si>
    <t>64</t>
  </si>
  <si>
    <t>66</t>
  </si>
  <si>
    <t>68</t>
  </si>
  <si>
    <t>70</t>
  </si>
  <si>
    <t>74</t>
  </si>
  <si>
    <t>32</t>
  </si>
  <si>
    <t>76</t>
  </si>
  <si>
    <t>34</t>
  </si>
  <si>
    <t>78</t>
  </si>
  <si>
    <t>82</t>
  </si>
  <si>
    <t>how often</t>
  </si>
  <si>
    <t>what</t>
  </si>
  <si>
    <t>code</t>
  </si>
  <si>
    <t>example</t>
  </si>
  <si>
    <t>lack of knowledge</t>
  </si>
  <si>
    <t>convergence</t>
  </si>
  <si>
    <t>new, still in development, rapidly changing</t>
  </si>
  <si>
    <t>lack of training and well explained guidelines (for analysis, interpretation and reporting)</t>
  </si>
  <si>
    <t>misspecification of models</t>
  </si>
  <si>
    <t>consequences of imbalance</t>
  </si>
  <si>
    <t>influence on study designs</t>
  </si>
  <si>
    <t>controlling residuals</t>
  </si>
  <si>
    <t>convergence issues</t>
  </si>
  <si>
    <t>selecting right model</t>
  </si>
  <si>
    <t>lack of standards</t>
  </si>
  <si>
    <t>fully understanding, learning how to do it</t>
  </si>
  <si>
    <t>people who read papers don't understand analysis</t>
  </si>
  <si>
    <t>previous analysis now incorrect?</t>
  </si>
  <si>
    <t>use of logit mixed-error data</t>
  </si>
  <si>
    <t>execution time</t>
  </si>
  <si>
    <t>multiple comparisons</t>
  </si>
  <si>
    <t>interactions</t>
  </si>
  <si>
    <t>modelling random structure</t>
  </si>
  <si>
    <t>overfitting</t>
  </si>
  <si>
    <t>p-value computation</t>
  </si>
  <si>
    <t>interpretation in accordance with standard rules of statistical analyses</t>
  </si>
  <si>
    <t>report (what, how much detail)</t>
  </si>
  <si>
    <t>significant while ANOVA is not significant</t>
  </si>
  <si>
    <t>fast moving, reliability of effects</t>
  </si>
  <si>
    <t>learning to use it is time consuming</t>
  </si>
  <si>
    <t>sample size and random effects</t>
  </si>
  <si>
    <t>applying to electrophysiological data</t>
  </si>
  <si>
    <t>robustness to non-normality</t>
  </si>
  <si>
    <t>dependent on others to help</t>
  </si>
  <si>
    <t>interpretation of outcome</t>
  </si>
  <si>
    <t>assumptions</t>
  </si>
  <si>
    <t>contrasts</t>
  </si>
  <si>
    <t>transformation of data</t>
  </si>
  <si>
    <t>visualising output</t>
  </si>
  <si>
    <t>software</t>
  </si>
  <si>
    <t>understanding nature of effects</t>
  </si>
  <si>
    <t>computing power</t>
  </si>
  <si>
    <t>"How to deal with models that fail to converge."</t>
  </si>
  <si>
    <t>"Presentation of data for publication"</t>
  </si>
  <si>
    <t>"Model specification - knowing what to include and what not to include."</t>
  </si>
  <si>
    <t>"Knowing when it's appropriate to use them"</t>
  </si>
  <si>
    <t>"I do not know enough about them."</t>
  </si>
  <si>
    <t>"it's quite difficult (…) to understand what standard practice is.</t>
  </si>
  <si>
    <t>"minimal training/knowlegde available in my lab"</t>
  </si>
  <si>
    <t>" some reviewers request these models but researchers are not all skilled in these techniques"</t>
  </si>
  <si>
    <t>publishing</t>
  </si>
  <si>
    <t>"Determining what constitutes an appropriate slope term in the random effects structure."</t>
  </si>
  <si>
    <t>"Lack of awareness"</t>
  </si>
  <si>
    <t>"contrast coding (i.e.  which contrast coding should be used)"</t>
  </si>
  <si>
    <t>"tests of statistical significance are not always available"</t>
  </si>
  <si>
    <t>reporting/finding significance (levels)</t>
  </si>
  <si>
    <t>"dealing with multi-level factors"</t>
  </si>
  <si>
    <t>" too many people still believe that we are fishing for p-values if we do not use classical anovas"</t>
  </si>
  <si>
    <t>"Some of the code might also not be reliable. For example  people reported differences when running the same analysis in different versions of the same software."</t>
  </si>
  <si>
    <t>"estimating of effect sizes (and consequently understanding the analysis power)"</t>
  </si>
  <si>
    <t>" software package (R) I was unfamiliar with"</t>
  </si>
  <si>
    <t>"Working out significant interactions"</t>
  </si>
  <si>
    <t>"difficulty in interpreting the results"</t>
  </si>
  <si>
    <t>"Convincing evidence that mixed models provide information above and beyond F1 and F2 tests"</t>
  </si>
  <si>
    <t>really better than ANOVAs?</t>
  </si>
  <si>
    <t>"The potential complexity of the models that goes substantially beyond standard procedures."</t>
  </si>
  <si>
    <t>"structuring the data correctly"</t>
  </si>
  <si>
    <t>structuring data</t>
  </si>
  <si>
    <t>"data sparsity"</t>
  </si>
  <si>
    <t>"Mixed models are so flexible that it can be difficult to establish what is the best suited model for a given analysis."</t>
  </si>
  <si>
    <t>"not enough people who know it"</t>
  </si>
  <si>
    <t>only few experts</t>
  </si>
  <si>
    <t>"lack of generally accepted measures of effect size"</t>
  </si>
  <si>
    <t>lack of standardization/consensus/established methods</t>
  </si>
  <si>
    <t>"it is relatively new so recommended practices are in development and not always fully agreed upon"</t>
  </si>
  <si>
    <t>"Only planar interactions (rather than complex surfaces) are modeled."</t>
  </si>
  <si>
    <t>"Taking into account random variance of items and subjects in one analysis."</t>
  </si>
  <si>
    <t>"complex math behind it not easy to grasp"</t>
  </si>
  <si>
    <t>robustness</t>
  </si>
  <si>
    <t>"how to understand the robustness or "value" of a finding where it was not possible to specify a maximal random effects structure."</t>
  </si>
  <si>
    <t>"insufficient higher-level units in experiments"</t>
  </si>
  <si>
    <t>model evaluation/checking assumptions</t>
  </si>
  <si>
    <t>"Knowing how to test whether a model violates the assumptions of the specific model type being used"</t>
  </si>
  <si>
    <t>"choosing appropriate covariance structure"</t>
  </si>
  <si>
    <t>"coding of categorical predictors"</t>
  </si>
  <si>
    <t>"time-consuming"</t>
  </si>
  <si>
    <t>"A high level of expertise required"</t>
  </si>
  <si>
    <t>"visualize multidimensional effects"</t>
  </si>
  <si>
    <t>"Assumptions are not always met but models are still used "</t>
  </si>
  <si>
    <t>" "Too easy" to use in software like R without actually knowing what you're doing"</t>
  </si>
  <si>
    <t>"More of a learning curve than fixed-effects models  in terms of both the statistical theory and the software that can accommodate them"</t>
  </si>
  <si>
    <t>"Model misspecification (we cannot know the true model and covariance structure; see Barr et al.  2013)"</t>
  </si>
  <si>
    <t>"I also struggle to understand "contrasts" in a factorial design"</t>
  </si>
  <si>
    <t>"understanding The consequences of imbalance"</t>
  </si>
  <si>
    <t>variance-covariance structure</t>
  </si>
  <si>
    <t>"applying them to ERP/Eeg data"</t>
  </si>
  <si>
    <t>"Understanding the different parameters  understanding the settings and using them appropriately"</t>
  </si>
  <si>
    <t>"to understand The influence on future study designs"</t>
  </si>
  <si>
    <t>"Harder to run with SPSS"</t>
  </si>
  <si>
    <t>"understanding The need to control residuals"</t>
  </si>
  <si>
    <t>"difficult to use outside factorial designs or within experiments where multiple variables are jointly explored"</t>
  </si>
  <si>
    <t>" Difficulty in post-hoc analyses."</t>
  </si>
  <si>
    <t>"Training students for understanding what these statistics exactly do and which questions they allow us to ask (and possibly answer)"</t>
  </si>
  <si>
    <t xml:space="preserve">software </t>
  </si>
  <si>
    <t>"Calculating p-values"</t>
  </si>
  <si>
    <t>"hard to communicate to researchers from neighbouring fields in interdisciplinary contexts"</t>
  </si>
  <si>
    <t>"forward vs. backward fitting (what's better? Everybody has another opinion)"</t>
  </si>
  <si>
    <t>"convincing others that they are useful and reliable"</t>
  </si>
  <si>
    <t>NO</t>
  </si>
  <si>
    <t>see previous question</t>
  </si>
  <si>
    <t>"How to deal with convergence issues"</t>
  </si>
  <si>
    <t>"model selection"</t>
  </si>
  <si>
    <t>"I have no yet built up strogn checking mechanisms to feel confident about the appropriateness of my models and interpretation of the output"</t>
  </si>
  <si>
    <t>routine checks</t>
  </si>
  <si>
    <t>"But the lack of standardized methods is a problem…"</t>
  </si>
  <si>
    <t>" I don not have enough knowledge to correctly apply the technique"</t>
  </si>
  <si>
    <t>"Difficulty with explaining the conceptual aspects to colleagues"</t>
  </si>
  <si>
    <t>"Whether methods I've used in previous papers are now considered incorrect (e.g., residualization, random effect structures)"</t>
  </si>
  <si>
    <t>"The use of logit mixed-models for error data"</t>
  </si>
  <si>
    <t>"the theoretical effort is much more higher"</t>
  </si>
  <si>
    <t>"Dealing with multiple comparisons "</t>
  </si>
  <si>
    <t>"how to code and test interactions (e.g., crossed vs. nested; testing via model comparison vs. testing via looking at the interaction coefficient within one model)"</t>
  </si>
  <si>
    <t>"I'm not sure how the random structure should be modeled."</t>
  </si>
  <si>
    <t>"not over-fitting the data"</t>
  </si>
  <si>
    <t>"method of p-value computation"</t>
  </si>
  <si>
    <t>"exp psych reviewers are often suspicious of them"</t>
  </si>
  <si>
    <t>review process</t>
  </si>
  <si>
    <t>"interpretation in accordance with standard rules of statistical analyses"</t>
  </si>
  <si>
    <t>"Do you report your model selection criteria and if so, in what level of detail (i.e., perhaps several models fail to converge before you arrive at one that does)?"</t>
  </si>
  <si>
    <t>"It has happened that reviewers asked for ANOVA's after I first reported mixed-model analyses. The anova's did not result in the critical interaction of interest. "</t>
  </si>
  <si>
    <t>"How to compute effect sizes "</t>
  </si>
  <si>
    <t>"how to obtain 95% confidence intervals"</t>
  </si>
  <si>
    <t>confidence intervals</t>
  </si>
  <si>
    <t>effect sizes</t>
  </si>
  <si>
    <t>"The method of calculating models changes frequently, and each change produces slightly different effects in my data. This makes me worry about the reliability of what I (and everyone else) reports.  "</t>
  </si>
  <si>
    <t>"At the moment I just worry that I don't use them enough. I'm getting the hang of them, but it's taking time."</t>
  </si>
  <si>
    <t>"sometimes to few groups/cases to estimate random effects"</t>
  </si>
  <si>
    <t>"Concerns are related to applying mixed models to electrophysiological data "</t>
  </si>
  <si>
    <t>"How unbalanced can my experimental design be and still yield useful results?"</t>
  </si>
  <si>
    <t xml:space="preserve">experimental design </t>
  </si>
  <si>
    <t>"Robustness to non-normality"</t>
  </si>
  <si>
    <t>"having to rely for the first time in my life on consultants to help me get the job done and then wondering whether I really agreed with my own conclusions"</t>
  </si>
  <si>
    <t>Ensuring interpretations are accurate and described in a clear way</t>
  </si>
  <si>
    <t>"Ensuring interpretations are accurate and described in a clear way"</t>
  </si>
  <si>
    <t>"have I met all assumptions"</t>
  </si>
  <si>
    <t>"use of centering and contrasts"</t>
  </si>
  <si>
    <t>"being careful not to add too many effects"</t>
  </si>
  <si>
    <t>"The need to transform reaction times (log or reciprocal transformation) to have normally distributed residuals alter the shape of the distribution, and I am not comfortable with that, as effects that are represented in the slower tail, may be obscured by the transformation.  Further, these transformations (especially the reciprocal) make coefficients hard to interpret."</t>
  </si>
  <si>
    <t>"visualisation is challenging"</t>
  </si>
  <si>
    <t>"programming in R"</t>
  </si>
  <si>
    <t>"I am much less confident about understanding and reporting the nature of the effect, especially for planned comparisons between levels of a factor"</t>
  </si>
  <si>
    <t>"Uncertainty about how to compute things like power"</t>
  </si>
  <si>
    <t>YES, of which…</t>
  </si>
  <si>
    <t>"if the model gets better but the predictor itself is not significant, or if the predictor is significant but the estimate is not, I find that difficult situations"</t>
  </si>
  <si>
    <t>"The analyss I use are often determined by the journal I'm aiming for: ANOVA for infancy, mixed models for adults.  This is inconsistent (although I always run both types of analyses on all data, to check the results are consistent)"</t>
  </si>
  <si>
    <t>increasingly demanded</t>
  </si>
  <si>
    <t>inconsistent report of results</t>
  </si>
  <si>
    <t>report of model not detailed enough</t>
  </si>
  <si>
    <t>readers can't understand results</t>
  </si>
  <si>
    <t>lack of instructions/training</t>
  </si>
  <si>
    <t>too much focus on fixed effects</t>
  </si>
  <si>
    <t>need to keep up with new/best practices</t>
  </si>
  <si>
    <t>experimenter degrees of freedom</t>
  </si>
  <si>
    <t>not checking model assumptions</t>
  </si>
  <si>
    <t>use without fully understanding</t>
  </si>
  <si>
    <t>data sets not big enough</t>
  </si>
  <si>
    <t>misuse/misinterpretation</t>
  </si>
  <si>
    <t>lack of familiarity/understanding</t>
  </si>
  <si>
    <t>process of model fitting</t>
  </si>
  <si>
    <t>handling time series</t>
  </si>
  <si>
    <t>not being able to publish</t>
  </si>
  <si>
    <t>can you always trust them?</t>
  </si>
  <si>
    <t>understanding output</t>
  </si>
  <si>
    <t>are they always necessary?</t>
  </si>
  <si>
    <t>distinctions between exploratory and confirmatory analysis</t>
  </si>
  <si>
    <t>p-value hacking/ fishing for effects</t>
  </si>
  <si>
    <t>not suitable for eye-tracking research</t>
  </si>
  <si>
    <t>"Mixed-effects models (especially with fully crossed designs) are becoming a de facto standard that is increasingly pushed on researchers by reviewers that are enthusiastic supporters of these tools"</t>
  </si>
  <si>
    <t>"Inconsistent reporting"</t>
  </si>
  <si>
    <t>"not describing the analysis in enough detail"</t>
  </si>
  <si>
    <t>"lack of knowledge about their implementation"</t>
  </si>
  <si>
    <t>"Reviewers often can't evaluate the analyses"</t>
  </si>
  <si>
    <t>"less accesible to readers/reviewers without experience with MM than traditional analyses"</t>
  </si>
  <si>
    <t>"lack of established standards."</t>
  </si>
  <si>
    <t>"instruction without introductory text books"</t>
  </si>
  <si>
    <t>" tendency to only focus on fixed effects in reporting the data"</t>
  </si>
  <si>
    <t>"If one doesn't keep up with best practices, their use can be dangerous"</t>
  </si>
  <si>
    <t>"increased "researcher degrees of freedom""</t>
  </si>
  <si>
    <t>"People do not understand the assumptions"</t>
  </si>
  <si>
    <t>"Overzealous use of random effects without thinking about what they mean "</t>
  </si>
  <si>
    <t>"It's easier to p-hack than an ANOVA"</t>
  </si>
  <si>
    <t>"Mixed models (esp. logit models) work better over massive amounts of data, and cog sci/psych experiments generally don't have those massive amounts of data"</t>
  </si>
  <si>
    <t>"Misapplication of mixed models by those not at the forefront of this area."</t>
  </si>
  <si>
    <t>"The variety of approaches people take for deciding on model structure"</t>
  </si>
  <si>
    <t>"No comparison to conventional stats such as t-test or anova."</t>
  </si>
  <si>
    <t>transition from ANOVA to MM</t>
  </si>
  <si>
    <t>"I am a little concerned about handling time series in mixed effects models."</t>
  </si>
  <si>
    <t>"Not being able to publish."</t>
  </si>
  <si>
    <t>"can you always trust them?"</t>
  </si>
  <si>
    <t>"I do not always understand what the statistical results really mean"</t>
  </si>
  <si>
    <t>"Why are they privileged over simpler methods?"</t>
  </si>
  <si>
    <t>"Distinctions between exploratory and confirmatory analyses are not always clear"</t>
  </si>
  <si>
    <t>"not suitable for eye-tracking research"</t>
  </si>
  <si>
    <t>recoded</t>
  </si>
  <si>
    <t>first use</t>
  </si>
  <si>
    <t>1980 - 2014</t>
  </si>
  <si>
    <t>Matlab</t>
  </si>
  <si>
    <t>R - lme</t>
  </si>
  <si>
    <t>R - lmer</t>
  </si>
  <si>
    <t>R - gamm4</t>
  </si>
  <si>
    <t>Mlwin</t>
  </si>
  <si>
    <t>R - language</t>
  </si>
  <si>
    <t>nlme</t>
  </si>
  <si>
    <t>HLM</t>
  </si>
  <si>
    <t>Mplus</t>
  </si>
  <si>
    <t>Stan</t>
  </si>
  <si>
    <t>JASP</t>
  </si>
  <si>
    <t>Splus</t>
  </si>
  <si>
    <t>R - mgcv</t>
  </si>
  <si>
    <t>SPSS MIXED</t>
  </si>
  <si>
    <t>R - ESS</t>
  </si>
  <si>
    <t>R - lmerTest</t>
  </si>
  <si>
    <t>number</t>
  </si>
  <si>
    <t>Self-teaching</t>
  </si>
  <si>
    <t>a</t>
  </si>
  <si>
    <t>b</t>
  </si>
  <si>
    <t>c</t>
  </si>
  <si>
    <t>internet ressources</t>
  </si>
  <si>
    <t>d</t>
  </si>
  <si>
    <t>R-Lang mailing list</t>
  </si>
  <si>
    <t>e</t>
  </si>
  <si>
    <t>Bristol LEMMA course</t>
  </si>
  <si>
    <t>f</t>
  </si>
  <si>
    <t>g</t>
  </si>
  <si>
    <t>h</t>
  </si>
  <si>
    <t>i</t>
  </si>
  <si>
    <t>learning from colleagues</t>
  </si>
  <si>
    <t>j</t>
  </si>
  <si>
    <t>http://glmm.wikidot.com/faq</t>
  </si>
  <si>
    <t>k</t>
  </si>
  <si>
    <t>https://mailman.ucsd.edu/mailman/listinfo/ling-r-lang-l</t>
  </si>
  <si>
    <t>l</t>
  </si>
  <si>
    <t>Bates lme4 manual</t>
  </si>
  <si>
    <t>books/papers</t>
  </si>
  <si>
    <t>http://www.bodowinter.com/tutorials.html</t>
  </si>
  <si>
    <t>http://talklab.psy.gla.ac.uk/</t>
  </si>
  <si>
    <t>http://www.stat.columbia.edu/~gelman/arm/</t>
  </si>
  <si>
    <t>http://resmeth.wikidot.com/</t>
  </si>
  <si>
    <t>m</t>
  </si>
  <si>
    <t>n</t>
  </si>
  <si>
    <t>o</t>
  </si>
  <si>
    <t>p</t>
  </si>
  <si>
    <t>attending tutorial/workshop
- book
- talking to others who use mixed models
- online available lectures /videos
- websites</t>
  </si>
  <si>
    <t>stats advisor/mentor</t>
  </si>
  <si>
    <t>q</t>
  </si>
  <si>
    <t>Jared Linck's unpublished how-to manuscript</t>
  </si>
  <si>
    <t>workshop/course/training</t>
  </si>
  <si>
    <t>Agresti's "intro" book</t>
  </si>
  <si>
    <t>s</t>
  </si>
  <si>
    <t>t</t>
  </si>
  <si>
    <t>u</t>
  </si>
  <si>
    <t>v</t>
  </si>
  <si>
    <t>w</t>
  </si>
  <si>
    <t>x</t>
  </si>
  <si>
    <t>Winter, B. (2013). Linear models and linear mixed effects models in R with linguistic applications.</t>
  </si>
  <si>
    <t>y</t>
  </si>
  <si>
    <t>aa</t>
  </si>
  <si>
    <t>a1</t>
  </si>
  <si>
    <t>ab</t>
  </si>
  <si>
    <t>ac</t>
  </si>
  <si>
    <t>StackOverflow</t>
  </si>
  <si>
    <t>statmethods.net</t>
  </si>
  <si>
    <t>CRAN documentation</t>
  </si>
  <si>
    <t>ad</t>
  </si>
  <si>
    <t>ae</t>
  </si>
  <si>
    <t>af</t>
  </si>
  <si>
    <t>http://www.cookbook-r.com/</t>
  </si>
  <si>
    <t>ag</t>
  </si>
  <si>
    <t>ah</t>
  </si>
  <si>
    <t>ai</t>
  </si>
  <si>
    <t>aj</t>
  </si>
  <si>
    <t>ak</t>
  </si>
  <si>
    <t>al</t>
  </si>
  <si>
    <t>Hugo Quene</t>
  </si>
  <si>
    <t>am</t>
  </si>
  <si>
    <t>LEMMA (http://www.cmm.bris.ac.uk/lemma)</t>
  </si>
  <si>
    <t>an</t>
  </si>
  <si>
    <t>Roger Levy book draft (http://idiom.ucsd.edu/~rlevy/papers.html)</t>
  </si>
  <si>
    <t>ao</t>
  </si>
  <si>
    <t>ap</t>
  </si>
  <si>
    <t>Matt Goldrick tutorials</t>
  </si>
  <si>
    <t>aq</t>
  </si>
  <si>
    <t>BIMM</t>
  </si>
  <si>
    <t>www.inside-r.org</t>
  </si>
  <si>
    <t>ar</t>
  </si>
  <si>
    <t>as</t>
  </si>
  <si>
    <t>at</t>
  </si>
  <si>
    <t>statistics hell</t>
  </si>
  <si>
    <t>au</t>
  </si>
  <si>
    <t>av</t>
  </si>
  <si>
    <t>aw</t>
  </si>
  <si>
    <t>David Howell</t>
  </si>
  <si>
    <t>Raudenbush</t>
  </si>
  <si>
    <t>ax</t>
  </si>
  <si>
    <t>mixed models listserv</t>
  </si>
  <si>
    <t>ay</t>
  </si>
  <si>
    <t>az</t>
  </si>
  <si>
    <t>Franklin Chang's R courses</t>
  </si>
  <si>
    <t>ba</t>
  </si>
  <si>
    <t>Fox 2002 "Linear mixed models"</t>
  </si>
  <si>
    <t>bb</t>
  </si>
  <si>
    <t>bc</t>
  </si>
  <si>
    <t>stackexchange</t>
  </si>
  <si>
    <t>bd</t>
  </si>
  <si>
    <t>SAS Mixed Models</t>
  </si>
  <si>
    <t>be</t>
  </si>
  <si>
    <t>R in a Nutshell</t>
  </si>
  <si>
    <t>bf</t>
  </si>
  <si>
    <t>R-website/R-help/R-forums</t>
  </si>
  <si>
    <t>bg</t>
  </si>
  <si>
    <t>Cunnings SLR, 2012</t>
  </si>
  <si>
    <t>bh</t>
  </si>
  <si>
    <t>bi</t>
  </si>
  <si>
    <t>bj</t>
  </si>
  <si>
    <t>Harald Baayen (2008) Analyzing Linguistic Data</t>
  </si>
  <si>
    <t xml:space="preserve">c1 </t>
  </si>
  <si>
    <t>Barr et al (2013) Random effects structure for confirmatory hypothesis testing: Keep it maximal</t>
  </si>
  <si>
    <t>c1</t>
  </si>
  <si>
    <t>i1</t>
  </si>
  <si>
    <t>Gelman &amp; Hill (2006) Data Analysis Using Regression and Multilevel/Hierarchical Models</t>
  </si>
  <si>
    <t>Journal of Memory and Language (2008)</t>
  </si>
  <si>
    <t>a2</t>
  </si>
  <si>
    <t>Gries (2013) Statistics for Linguistics with R: A Practical Introduction</t>
  </si>
  <si>
    <t>Pinheiro &amp; Bates (2009) Mixed-Effects Models in S and S-PLUS</t>
  </si>
  <si>
    <t>bk</t>
  </si>
  <si>
    <t>bl</t>
  </si>
  <si>
    <t>Goldstein (2010) Multilevel Statistical Models</t>
  </si>
  <si>
    <t>JJ Hox (2010) Multilevel Analysis: Techniques and Applications</t>
  </si>
  <si>
    <t>c2</t>
  </si>
  <si>
    <t xml:space="preserve">Barr et al (2008) </t>
  </si>
  <si>
    <t>Raudenbush &amp; Bryk (2002) Hierarchical Linear Models</t>
  </si>
  <si>
    <t>h1</t>
  </si>
  <si>
    <t>a3</t>
  </si>
  <si>
    <t>Baayen (2010) Analyzing Reaction times</t>
  </si>
  <si>
    <t>a4</t>
  </si>
  <si>
    <t>Harald Baayen (as mentor or author in general)</t>
  </si>
  <si>
    <t>Baayen &amp; Milin (2011) An amorphous model for morphological processing…</t>
  </si>
  <si>
    <t>Baayen et al (2008) Mixed-effects modeling…</t>
  </si>
  <si>
    <t>Snijder and Bosker (2011) Multilevel Analysis: An Introduction…</t>
  </si>
  <si>
    <t>West, Welch, and Galecki (2006) Linear Mixed Models…</t>
  </si>
  <si>
    <t>Florian Jaeger (as mentor, author in general, online ressources)</t>
  </si>
  <si>
    <t>Barr (as author in general, online ressources)</t>
  </si>
  <si>
    <t>Jaeger (2008) Categorical Data Analysis: Away from ANOVAs…</t>
  </si>
  <si>
    <t>Locker, Hoffman &amp; Bovaird (2007) On the Use of Multilevel Modeling…</t>
  </si>
  <si>
    <t>Marc Brysbaert (as an author in general)</t>
  </si>
  <si>
    <t>S. Vasishth (as an author in general)</t>
  </si>
  <si>
    <t>K. Johnson (as an author in general)</t>
  </si>
  <si>
    <t>Mirman, D. (2014). Growth Curve Analysis and Visualization Using R</t>
  </si>
  <si>
    <t>Singer &amp; Willet (2003) Applied Longitudinal Data Analysis</t>
  </si>
  <si>
    <t>Field, Discovering Statistics Using R/SPSS</t>
  </si>
  <si>
    <t>Johnson (2008) Quantitative Methods in Linguistics</t>
  </si>
  <si>
    <t>Faraway (2006) Extending the Linear Model with R</t>
  </si>
  <si>
    <t>Fox, An R companion to applied regressions</t>
  </si>
  <si>
    <t>Jeffrey D. Long (2011) Longitudinal Data Analysis for the Behavioral Sciences Using R</t>
  </si>
  <si>
    <t>Kruschke (2010) Doing Bayesian data analysis</t>
  </si>
  <si>
    <t>Miliken &amp; Johnson (2009) Analysis of messy data</t>
  </si>
  <si>
    <t>Sarkar (2008) Fitting Mixed effects Models in R</t>
  </si>
  <si>
    <t>Kliegl (ECEM 2013) Analyses of Eye Movements with Linear Mixed Models using R</t>
  </si>
  <si>
    <t>Schielzeth &amp; Forstmeier (2009) Conclusions beyond support…</t>
  </si>
  <si>
    <t>Janssen (2012) Twice random, once mixed: Applying mixed models to simultaneously analyze random effects…</t>
  </si>
  <si>
    <t>specific authors/papers/books/websites/…</t>
  </si>
  <si>
    <t>YES</t>
  </si>
  <si>
    <t>Question (1)</t>
  </si>
  <si>
    <t>Question (2)</t>
  </si>
  <si>
    <t>MM preferred</t>
  </si>
  <si>
    <t>MM more flexible, better fit for data</t>
  </si>
  <si>
    <t>checking whether F1/F2 tests confirm effetcs</t>
  </si>
  <si>
    <t>mostly results are comparable</t>
  </si>
  <si>
    <t>evaluation of differences is hard</t>
  </si>
  <si>
    <t>reluctant to publish when results are very different</t>
  </si>
  <si>
    <t>depends on experiment/data/model used</t>
  </si>
  <si>
    <t>MM more powerful and easier to interpret</t>
  </si>
  <si>
    <t>MM results more detailed/accurate</t>
  </si>
  <si>
    <t>difference was due to over-optimistic estimation of standard errors</t>
  </si>
  <si>
    <t>difference due to data compression, noise</t>
  </si>
  <si>
    <t>if different, report of more conservative one</t>
  </si>
  <si>
    <t xml:space="preserve">MM: results more reliable </t>
  </si>
  <si>
    <t>wider confidence intervals</t>
  </si>
  <si>
    <t>difference due to missing values</t>
  </si>
  <si>
    <t>ANOVAs easier and less time consuming</t>
  </si>
  <si>
    <t>difference in significance (esp. for small effects)</t>
  </si>
  <si>
    <t>MM more conservative</t>
  </si>
  <si>
    <t>MM less conservative/more sensitive</t>
  </si>
  <si>
    <t>differences due to how random effects are specified</t>
  </si>
  <si>
    <t>Difference due to covariate slopes per subject</t>
  </si>
  <si>
    <t>traditional analysis clearer, heps understand MM</t>
  </si>
  <si>
    <t>"Largely methods correspond to each other."</t>
  </si>
  <si>
    <t>"I think we got a better fit for our data using LMEs instead of the traditional ANOVAs/Regression models. "</t>
  </si>
  <si>
    <t>"I prefer the procedure of building a mixed effects model in R to running ANOVA in SPSS"</t>
  </si>
  <si>
    <t>"Mixed effects give a more accurate estimation of the result patterns"</t>
  </si>
  <si>
    <t>"differences can occur if effects are just above or below p=.05"</t>
  </si>
  <si>
    <t>"varies depending on the experiment"</t>
  </si>
  <si>
    <t>"I wasn't sure how to evaluate the difference"</t>
  </si>
  <si>
    <t>"mixed models seems less conservative that for example RM anova"</t>
  </si>
  <si>
    <t>"I look if both analyses point to the same effects of the experimental manipulations."</t>
  </si>
  <si>
    <t>"Mixed models are typically more conservative, but not always."</t>
  </si>
  <si>
    <t>"Difference covariate slopes per subject, which leads to different overall fixed effect covariate slope"</t>
  </si>
  <si>
    <t>"The difference always lies with how the random effects are specified."</t>
  </si>
  <si>
    <t>"Models without varying slops less conservative, with varying slops more conservative"</t>
  </si>
  <si>
    <t>"Mixed models are generally more powerful and easier to interpret "</t>
  </si>
  <si>
    <t>"I would be reluctant to publish if the mixed model showed very different results to traditional measures"</t>
  </si>
  <si>
    <t>"Traditional is always clearer and helpful in understanding the LME model I am positing"</t>
  </si>
  <si>
    <t>"The difference was due to over-optimistic estimation of standard errors by lm vs. lmer methods."</t>
  </si>
  <si>
    <t>"Data compression and noise can make a difference!"</t>
  </si>
  <si>
    <t>"If both analyses "work" but give different results, I report the more conservative and add a footnote mentioning the other analysis."</t>
  </si>
  <si>
    <t>"in my opinion, mixed effects models provide more reliable results, specially on RTs. "</t>
  </si>
  <si>
    <t>"same parameter estimates for fixed effects, but wider confidence intervals"</t>
  </si>
  <si>
    <t>"When anovas did not yield significant effects, mixed models did.
But this might have been a matter of missing values."</t>
  </si>
  <si>
    <t>"much easier and less time consuming to use F1 and F2 ANOVAs"</t>
  </si>
  <si>
    <t>answers in total</t>
  </si>
  <si>
    <t>concrete answers:</t>
  </si>
  <si>
    <t>plots</t>
  </si>
  <si>
    <t>depends on data and model complexity</t>
  </si>
  <si>
    <t>no preference</t>
  </si>
  <si>
    <t>why</t>
  </si>
  <si>
    <t>plot</t>
  </si>
  <si>
    <t>1a</t>
  </si>
  <si>
    <t>1b</t>
  </si>
  <si>
    <t>easier to read/clarity</t>
  </si>
  <si>
    <t>for complex models</t>
  </si>
  <si>
    <t>2a</t>
  </si>
  <si>
    <t>3a</t>
  </si>
  <si>
    <t>visualisation and comparison</t>
  </si>
  <si>
    <t>4a</t>
  </si>
  <si>
    <t>gives structures information</t>
  </si>
  <si>
    <t>2b</t>
  </si>
  <si>
    <t>5a</t>
  </si>
  <si>
    <t>explains everything</t>
  </si>
  <si>
    <t>1c</t>
  </si>
  <si>
    <t>for simple models</t>
  </si>
  <si>
    <t>2c</t>
  </si>
  <si>
    <t>facilitate interpretation</t>
  </si>
  <si>
    <t>3b</t>
  </si>
  <si>
    <t>provide details</t>
  </si>
  <si>
    <t>More than one</t>
  </si>
  <si>
    <t>added from other similar cells</t>
  </si>
  <si>
    <t>Cummulative</t>
  </si>
  <si>
    <t>added data from line 14</t>
  </si>
  <si>
    <t>subject intercept random effect</t>
  </si>
  <si>
    <t>item (or trial) intercept random effect</t>
  </si>
  <si>
    <t>random slopes for either subjects/items</t>
  </si>
  <si>
    <t>Sharing</t>
  </si>
  <si>
    <t>Code</t>
  </si>
  <si>
    <t>Data</t>
  </si>
  <si>
    <t>Access</t>
  </si>
  <si>
    <t>Both</t>
  </si>
  <si>
    <t>Data after publication</t>
  </si>
  <si>
    <t>(no = inexperienced)</t>
  </si>
  <si>
    <t>Maybe</t>
  </si>
  <si>
    <t>Data on request/with caution</t>
  </si>
  <si>
    <t>Notes</t>
  </si>
  <si>
    <t>to be open, open science, public funding of science,</t>
  </si>
  <si>
    <t>metanalysis</t>
  </si>
  <si>
    <t>check mistakes, check model fitting, confirm analysis</t>
  </si>
  <si>
    <t>more experienced people check analysi</t>
  </si>
  <si>
    <t>correct errors</t>
  </si>
  <si>
    <t>1 person -errors may get propagated</t>
  </si>
  <si>
    <t>why should I?</t>
  </si>
  <si>
    <t>Too lazy/time consuming to prepare scripts</t>
  </si>
  <si>
    <t>get scooped</t>
  </si>
  <si>
    <t>cut throat world of publishing'</t>
  </si>
  <si>
    <t>Data takes ages to collect / after done what need to do</t>
  </si>
  <si>
    <t>Yes but unlikely to use</t>
  </si>
  <si>
    <t>Access: two people said "I wouldn't"</t>
  </si>
  <si>
    <t>Not necessarily: current data sharing system works well, is an issue beyond mixed-models</t>
  </si>
  <si>
    <t>Yes: increase transparency, check models and analysis</t>
  </si>
  <si>
    <t>To learn. To be able to run similar models. For metanalysis</t>
  </si>
  <si>
    <t>Not necessarily in paper: supplementary materials/link OK</t>
  </si>
  <si>
    <t>Total</t>
  </si>
  <si>
    <t>Number</t>
  </si>
  <si>
    <t>Year</t>
  </si>
  <si>
    <t>http://dan.corlan.net/cgi-bin/medline-trend?Q=%22mixed+models%22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</si>
</sst>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2"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b/>
      <sz val="12"/>
      <color theme="1"/>
      <name val="Calibri"/>
      <family val="2"/>
      <scheme val="minor"/>
    </font>
    <font>
      <u/>
      <sz val="11"/>
      <color theme="10"/>
      <name val="Calibri"/>
      <family val="2"/>
      <scheme val="minor"/>
    </font>
    <font>
      <u/>
      <sz val="11"/>
      <color theme="1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6337778862885"/>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rgb="FFE8E98D"/>
        <bgColor indexed="64"/>
      </patternFill>
    </fill>
    <fill>
      <patternFill patternType="solid">
        <fgColor theme="9" tint="-0.249977111117893"/>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style="thin">
        <color auto="1"/>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s>
  <cellStyleXfs count="149">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162">
    <xf numFmtId="0" fontId="0" fillId="0" borderId="0" xfId="0"/>
    <xf numFmtId="0" fontId="0" fillId="0" borderId="0" xfId="0" applyAlignment="1">
      <alignment horizontal="center" wrapText="1"/>
    </xf>
    <xf numFmtId="0" fontId="0" fillId="0" borderId="0" xfId="0" applyAlignment="1">
      <alignment horizontal="left" wrapText="1"/>
    </xf>
    <xf numFmtId="0" fontId="0" fillId="0" borderId="0" xfId="0" applyAlignment="1">
      <alignment horizontal="left"/>
    </xf>
    <xf numFmtId="0" fontId="0" fillId="0" borderId="0" xfId="0" applyAlignment="1">
      <alignment horizontal="right"/>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right" vertical="center"/>
    </xf>
    <xf numFmtId="0" fontId="0" fillId="0" borderId="0" xfId="0" applyAlignment="1">
      <alignment horizontal="center"/>
    </xf>
    <xf numFmtId="0" fontId="0" fillId="0" borderId="0" xfId="0" applyAlignment="1"/>
    <xf numFmtId="0" fontId="0" fillId="0" borderId="12" xfId="0" applyBorder="1" applyAlignment="1">
      <alignment horizontal="right"/>
    </xf>
    <xf numFmtId="0" fontId="0" fillId="0" borderId="10" xfId="0" applyBorder="1" applyAlignment="1">
      <alignment horizontal="right"/>
    </xf>
    <xf numFmtId="0" fontId="0" fillId="0" borderId="10" xfId="0" applyBorder="1" applyAlignment="1">
      <alignment horizontal="right" wrapText="1"/>
    </xf>
    <xf numFmtId="0" fontId="0" fillId="0" borderId="12" xfId="0" applyBorder="1" applyAlignment="1">
      <alignment horizontal="right" wrapText="1"/>
    </xf>
    <xf numFmtId="0" fontId="0" fillId="0" borderId="11" xfId="0" applyBorder="1" applyAlignment="1">
      <alignment horizontal="center"/>
    </xf>
    <xf numFmtId="0" fontId="0" fillId="0" borderId="13" xfId="0" applyBorder="1" applyAlignment="1">
      <alignment horizontal="center"/>
    </xf>
    <xf numFmtId="0" fontId="0" fillId="0" borderId="0" xfId="0" applyBorder="1" applyAlignment="1">
      <alignment horizontal="center"/>
    </xf>
    <xf numFmtId="0" fontId="0" fillId="0" borderId="12" xfId="0" applyFill="1" applyBorder="1" applyAlignment="1">
      <alignment horizontal="right"/>
    </xf>
    <xf numFmtId="2" fontId="0" fillId="0" borderId="0" xfId="0" applyNumberFormat="1" applyBorder="1" applyAlignment="1">
      <alignment horizontal="center"/>
    </xf>
    <xf numFmtId="2" fontId="0" fillId="0" borderId="11" xfId="0" applyNumberFormat="1" applyBorder="1" applyAlignment="1">
      <alignment horizontal="center"/>
    </xf>
    <xf numFmtId="0" fontId="0" fillId="0" borderId="14" xfId="0" applyFill="1" applyBorder="1" applyAlignment="1">
      <alignment horizontal="center"/>
    </xf>
    <xf numFmtId="2" fontId="0" fillId="0" borderId="13" xfId="0" applyNumberFormat="1" applyBorder="1" applyAlignment="1">
      <alignment horizontal="center"/>
    </xf>
    <xf numFmtId="0" fontId="0" fillId="0" borderId="15" xfId="0" applyBorder="1" applyAlignment="1">
      <alignment horizontal="right"/>
    </xf>
    <xf numFmtId="0" fontId="0" fillId="0" borderId="16" xfId="0" applyBorder="1" applyAlignment="1">
      <alignment horizontal="center"/>
    </xf>
    <xf numFmtId="0" fontId="0" fillId="0" borderId="17" xfId="0" applyBorder="1" applyAlignment="1">
      <alignment horizontal="center"/>
    </xf>
    <xf numFmtId="0" fontId="0" fillId="0" borderId="14" xfId="0" applyBorder="1" applyAlignment="1">
      <alignment horizontal="center"/>
    </xf>
    <xf numFmtId="2" fontId="0" fillId="0" borderId="11" xfId="0" applyNumberFormat="1" applyBorder="1"/>
    <xf numFmtId="0" fontId="0" fillId="0" borderId="15" xfId="0" applyBorder="1"/>
    <xf numFmtId="0" fontId="0" fillId="0" borderId="17" xfId="0" applyNumberFormat="1" applyBorder="1"/>
    <xf numFmtId="2" fontId="0" fillId="0" borderId="11" xfId="0" applyNumberFormat="1" applyBorder="1" applyAlignment="1"/>
    <xf numFmtId="2" fontId="0" fillId="0" borderId="13" xfId="0" applyNumberFormat="1" applyBorder="1" applyAlignment="1"/>
    <xf numFmtId="0" fontId="0" fillId="0" borderId="17" xfId="0" applyBorder="1" applyAlignment="1"/>
    <xf numFmtId="0" fontId="0" fillId="0" borderId="0" xfId="0" applyAlignment="1">
      <alignment horizontal="center" vertical="center" wrapText="1"/>
    </xf>
    <xf numFmtId="0" fontId="0" fillId="0" borderId="10" xfId="0" applyBorder="1" applyAlignment="1">
      <alignment horizontal="right" vertical="center" wrapText="1"/>
    </xf>
    <xf numFmtId="0" fontId="0" fillId="0" borderId="12" xfId="0" applyBorder="1" applyAlignment="1">
      <alignment horizontal="right" vertical="center" wrapText="1"/>
    </xf>
    <xf numFmtId="2" fontId="0" fillId="0" borderId="14" xfId="0" applyNumberFormat="1" applyBorder="1" applyAlignment="1">
      <alignment horizontal="center"/>
    </xf>
    <xf numFmtId="0" fontId="0" fillId="0" borderId="16" xfId="0" applyBorder="1" applyAlignment="1">
      <alignment horizontal="center" vertical="center" wrapText="1"/>
    </xf>
    <xf numFmtId="0" fontId="0" fillId="0" borderId="17" xfId="0" applyBorder="1" applyAlignment="1">
      <alignment horizontal="center" vertical="center" wrapText="1"/>
    </xf>
    <xf numFmtId="0" fontId="0" fillId="0" borderId="0" xfId="0" applyAlignment="1">
      <alignment horizontal="center" vertical="center" wrapText="1"/>
    </xf>
    <xf numFmtId="0" fontId="0" fillId="0" borderId="13" xfId="0" applyBorder="1"/>
    <xf numFmtId="0" fontId="0" fillId="0" borderId="0" xfId="0" applyAlignment="1">
      <alignment horizontal="center" vertical="center" wrapText="1"/>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0" fillId="33" borderId="0" xfId="0" applyFill="1"/>
    <xf numFmtId="0" fontId="0" fillId="0" borderId="0" xfId="0" applyAlignment="1">
      <alignment horizontal="center" vertical="center" wrapText="1"/>
    </xf>
    <xf numFmtId="0" fontId="0" fillId="0" borderId="0" xfId="0" applyFill="1" applyAlignment="1">
      <alignment horizontal="center"/>
    </xf>
    <xf numFmtId="0" fontId="0" fillId="0" borderId="0" xfId="0" applyFill="1" applyAlignment="1">
      <alignment horizontal="center" wrapText="1"/>
    </xf>
    <xf numFmtId="0" fontId="0" fillId="0" borderId="0" xfId="0" applyFill="1" applyAlignment="1">
      <alignment horizontal="center" vertical="center" wrapText="1"/>
    </xf>
    <xf numFmtId="0" fontId="0" fillId="0" borderId="0" xfId="0" applyFill="1" applyAlignment="1"/>
    <xf numFmtId="0" fontId="0" fillId="0" borderId="10" xfId="0" applyBorder="1" applyAlignment="1"/>
    <xf numFmtId="0" fontId="0" fillId="0" borderId="12" xfId="0" applyBorder="1" applyAlignment="1"/>
    <xf numFmtId="0" fontId="0" fillId="0" borderId="19" xfId="0" applyBorder="1" applyAlignment="1"/>
    <xf numFmtId="0" fontId="0" fillId="0" borderId="20" xfId="0" applyBorder="1" applyAlignment="1"/>
    <xf numFmtId="0" fontId="0" fillId="0" borderId="21" xfId="0" applyBorder="1" applyAlignment="1"/>
    <xf numFmtId="0" fontId="0" fillId="0" borderId="18" xfId="0" applyBorder="1" applyAlignment="1">
      <alignment horizontal="left" wrapText="1"/>
    </xf>
    <xf numFmtId="0" fontId="0" fillId="0" borderId="10" xfId="0" applyBorder="1" applyAlignment="1">
      <alignment horizontal="left" wrapText="1"/>
    </xf>
    <xf numFmtId="0" fontId="0" fillId="0" borderId="10" xfId="0" applyBorder="1" applyAlignment="1">
      <alignment horizontal="left"/>
    </xf>
    <xf numFmtId="0" fontId="0" fillId="0" borderId="12" xfId="0" applyBorder="1" applyAlignment="1">
      <alignment horizontal="left" wrapText="1"/>
    </xf>
    <xf numFmtId="2" fontId="0" fillId="0" borderId="19" xfId="0" applyNumberFormat="1" applyBorder="1" applyAlignment="1">
      <alignment horizontal="right"/>
    </xf>
    <xf numFmtId="2" fontId="0" fillId="0" borderId="20" xfId="0" applyNumberFormat="1" applyBorder="1" applyAlignment="1">
      <alignment horizontal="right"/>
    </xf>
    <xf numFmtId="0" fontId="0" fillId="0" borderId="21" xfId="0" applyBorder="1" applyAlignment="1">
      <alignment horizontal="right"/>
    </xf>
    <xf numFmtId="0" fontId="16" fillId="0" borderId="0" xfId="0" applyFont="1" applyFill="1" applyAlignment="1"/>
    <xf numFmtId="49" fontId="0" fillId="0" borderId="0" xfId="0" applyNumberFormat="1" applyAlignment="1">
      <alignment wrapText="1"/>
    </xf>
    <xf numFmtId="49" fontId="0" fillId="0" borderId="0" xfId="0" applyNumberFormat="1" applyFill="1" applyAlignment="1">
      <alignment wrapText="1"/>
    </xf>
    <xf numFmtId="0" fontId="0" fillId="0" borderId="0" xfId="0" applyAlignment="1">
      <alignment horizontal="right" wrapText="1"/>
    </xf>
    <xf numFmtId="0" fontId="0" fillId="0" borderId="0" xfId="0" applyNumberFormat="1" applyAlignment="1">
      <alignment wrapText="1"/>
    </xf>
    <xf numFmtId="0" fontId="0" fillId="0" borderId="0" xfId="0" applyAlignment="1">
      <alignment horizontal="center" vertical="center" wrapText="1"/>
    </xf>
    <xf numFmtId="0" fontId="0" fillId="0" borderId="18" xfId="0" applyBorder="1" applyAlignment="1">
      <alignment horizontal="center" wrapText="1"/>
    </xf>
    <xf numFmtId="2" fontId="0" fillId="0" borderId="22" xfId="42" applyNumberFormat="1" applyFont="1" applyBorder="1" applyAlignment="1">
      <alignment horizontal="center" wrapText="1"/>
    </xf>
    <xf numFmtId="0" fontId="0" fillId="0" borderId="10" xfId="0" applyBorder="1" applyAlignment="1">
      <alignment horizontal="center" wrapText="1"/>
    </xf>
    <xf numFmtId="2" fontId="0" fillId="0" borderId="11" xfId="42" applyNumberFormat="1" applyFont="1" applyBorder="1" applyAlignment="1">
      <alignment horizontal="center" wrapText="1"/>
    </xf>
    <xf numFmtId="0" fontId="0" fillId="0" borderId="12" xfId="0" applyBorder="1" applyAlignment="1">
      <alignment horizontal="center" wrapText="1"/>
    </xf>
    <xf numFmtId="2" fontId="0" fillId="0" borderId="13" xfId="0" applyNumberFormat="1" applyBorder="1" applyAlignment="1">
      <alignment horizontal="center" wrapText="1"/>
    </xf>
    <xf numFmtId="0" fontId="0" fillId="0" borderId="18" xfId="0" applyBorder="1"/>
    <xf numFmtId="0" fontId="0" fillId="0" borderId="23" xfId="0" applyBorder="1"/>
    <xf numFmtId="0" fontId="0" fillId="0" borderId="22" xfId="0"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4" xfId="0" applyBorder="1"/>
    <xf numFmtId="0" fontId="0" fillId="0" borderId="16" xfId="0" applyBorder="1"/>
    <xf numFmtId="0" fontId="0" fillId="0" borderId="17" xfId="0" applyBorder="1"/>
    <xf numFmtId="0" fontId="18" fillId="0" borderId="0" xfId="0" applyFont="1" applyAlignment="1">
      <alignment horizontal="right"/>
    </xf>
    <xf numFmtId="0" fontId="0" fillId="0" borderId="0" xfId="0" applyFill="1" applyAlignment="1">
      <alignment horizontal="right"/>
    </xf>
    <xf numFmtId="0" fontId="0" fillId="0" borderId="15" xfId="0" applyFill="1" applyBorder="1" applyAlignment="1">
      <alignment horizontal="center" vertical="center" wrapText="1"/>
    </xf>
    <xf numFmtId="0" fontId="0" fillId="0" borderId="16" xfId="0" applyFill="1" applyBorder="1" applyAlignment="1">
      <alignment horizontal="center" vertical="center" wrapText="1"/>
    </xf>
    <xf numFmtId="0" fontId="0" fillId="0" borderId="15" xfId="0" applyFill="1" applyBorder="1" applyAlignment="1">
      <alignment horizontal="center" vertical="center"/>
    </xf>
    <xf numFmtId="0" fontId="0" fillId="0" borderId="17" xfId="0" applyFill="1" applyBorder="1" applyAlignment="1">
      <alignment horizontal="center" vertical="center"/>
    </xf>
    <xf numFmtId="0" fontId="0" fillId="0" borderId="0" xfId="0" applyFill="1"/>
    <xf numFmtId="0" fontId="0" fillId="0" borderId="17" xfId="0" applyFill="1" applyBorder="1" applyAlignment="1">
      <alignment horizontal="center" vertical="center" wrapText="1"/>
    </xf>
    <xf numFmtId="0" fontId="0" fillId="0" borderId="0" xfId="0" applyFill="1" applyAlignment="1">
      <alignment vertical="center" wrapText="1"/>
    </xf>
    <xf numFmtId="0" fontId="0" fillId="0" borderId="10" xfId="0" applyFill="1" applyBorder="1" applyAlignment="1">
      <alignment horizontal="center" vertical="center" wrapText="1"/>
    </xf>
    <xf numFmtId="43" fontId="0" fillId="0" borderId="16" xfId="42" applyFont="1" applyFill="1" applyBorder="1" applyAlignment="1">
      <alignment horizontal="center" vertical="center" wrapText="1"/>
    </xf>
    <xf numFmtId="43" fontId="0" fillId="0" borderId="17" xfId="42" applyFont="1" applyFill="1" applyBorder="1" applyAlignment="1">
      <alignment horizontal="center" vertical="center" wrapText="1"/>
    </xf>
    <xf numFmtId="0" fontId="0" fillId="0" borderId="12" xfId="0" applyFill="1" applyBorder="1" applyAlignment="1">
      <alignment horizontal="center" vertical="center" wrapText="1"/>
    </xf>
    <xf numFmtId="0" fontId="0" fillId="0" borderId="14" xfId="0" applyFill="1" applyBorder="1" applyAlignment="1">
      <alignment horizontal="center" vertical="center" wrapText="1"/>
    </xf>
    <xf numFmtId="0" fontId="0" fillId="0" borderId="13" xfId="0" applyFill="1" applyBorder="1" applyAlignment="1">
      <alignment horizontal="center" vertical="center"/>
    </xf>
    <xf numFmtId="0" fontId="0" fillId="0" borderId="13" xfId="0" applyFill="1" applyBorder="1" applyAlignment="1">
      <alignment horizontal="center" vertical="center" wrapText="1"/>
    </xf>
    <xf numFmtId="0" fontId="0" fillId="0" borderId="0" xfId="0" applyFill="1" applyAlignment="1">
      <alignment horizontal="center" vertical="center"/>
    </xf>
    <xf numFmtId="0" fontId="0" fillId="0" borderId="17" xfId="0" applyBorder="1" applyAlignment="1">
      <alignment horizontal="center"/>
    </xf>
    <xf numFmtId="0" fontId="0" fillId="0" borderId="19" xfId="0" applyBorder="1" applyAlignment="1">
      <alignment horizontal="center" wrapText="1"/>
    </xf>
    <xf numFmtId="0" fontId="0" fillId="0" borderId="0" xfId="0" applyAlignment="1">
      <alignment horizontal="center" vertical="center" wrapText="1"/>
    </xf>
    <xf numFmtId="0" fontId="0" fillId="0" borderId="0" xfId="0" applyFill="1" applyAlignment="1">
      <alignment horizontal="left" vertical="center"/>
    </xf>
    <xf numFmtId="0" fontId="0" fillId="0" borderId="0" xfId="0" applyFill="1" applyAlignment="1">
      <alignment wrapText="1"/>
    </xf>
    <xf numFmtId="0" fontId="0" fillId="0" borderId="11" xfId="0" applyFill="1" applyBorder="1" applyAlignment="1">
      <alignment horizontal="left" vertical="center"/>
    </xf>
    <xf numFmtId="0" fontId="0" fillId="0" borderId="13" xfId="0" applyFill="1" applyBorder="1" applyAlignment="1">
      <alignment horizontal="left" vertical="center"/>
    </xf>
    <xf numFmtId="0" fontId="0" fillId="0" borderId="17" xfId="0" applyFill="1" applyBorder="1" applyAlignment="1">
      <alignment horizontal="left" vertical="center"/>
    </xf>
    <xf numFmtId="0" fontId="0" fillId="0" borderId="24" xfId="0" applyFill="1" applyBorder="1" applyAlignment="1">
      <alignment horizontal="center" vertical="center"/>
    </xf>
    <xf numFmtId="0" fontId="0" fillId="0" borderId="20" xfId="0" applyFill="1" applyBorder="1" applyAlignment="1">
      <alignment horizontal="center" vertical="center" wrapText="1"/>
    </xf>
    <xf numFmtId="0" fontId="0" fillId="0" borderId="21" xfId="0" applyFill="1" applyBorder="1" applyAlignment="1">
      <alignment horizontal="center" vertical="center" wrapText="1"/>
    </xf>
    <xf numFmtId="0" fontId="0" fillId="0" borderId="20" xfId="0" applyFill="1" applyBorder="1" applyAlignment="1">
      <alignment horizontal="center" vertical="center"/>
    </xf>
    <xf numFmtId="0" fontId="0" fillId="0" borderId="21" xfId="0" applyFill="1" applyBorder="1" applyAlignment="1">
      <alignment horizontal="center" vertical="center"/>
    </xf>
    <xf numFmtId="0" fontId="0" fillId="0" borderId="15" xfId="0" applyFill="1" applyBorder="1" applyAlignment="1">
      <alignment horizontal="right" vertical="center"/>
    </xf>
    <xf numFmtId="0" fontId="0" fillId="0" borderId="10" xfId="0" applyFill="1" applyBorder="1" applyAlignment="1">
      <alignment horizontal="right" vertical="center"/>
    </xf>
    <xf numFmtId="0" fontId="0" fillId="0" borderId="12" xfId="0" applyFill="1" applyBorder="1" applyAlignment="1">
      <alignment horizontal="right" vertical="center"/>
    </xf>
    <xf numFmtId="0" fontId="0" fillId="0" borderId="0" xfId="0" applyAlignment="1">
      <alignment vertical="center" wrapText="1"/>
    </xf>
    <xf numFmtId="0" fontId="0" fillId="0" borderId="20" xfId="0" applyBorder="1" applyAlignment="1">
      <alignment horizontal="center" wrapText="1"/>
    </xf>
    <xf numFmtId="0" fontId="0" fillId="0" borderId="21" xfId="0" applyBorder="1" applyAlignment="1">
      <alignment horizontal="center" wrapText="1"/>
    </xf>
    <xf numFmtId="0" fontId="0" fillId="0" borderId="24" xfId="0" applyBorder="1" applyAlignment="1">
      <alignment horizontal="center" wrapText="1"/>
    </xf>
    <xf numFmtId="0" fontId="0" fillId="0" borderId="24" xfId="0" applyBorder="1" applyAlignment="1">
      <alignment wrapText="1"/>
    </xf>
    <xf numFmtId="0" fontId="0" fillId="0" borderId="24"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10" xfId="0" applyFill="1" applyBorder="1" applyAlignment="1">
      <alignment horizontal="left" wrapText="1"/>
    </xf>
    <xf numFmtId="0" fontId="0" fillId="0" borderId="20" xfId="0" applyFill="1" applyBorder="1" applyAlignment="1"/>
    <xf numFmtId="0" fontId="0" fillId="0" borderId="0" xfId="0" applyFill="1" applyBorder="1" applyAlignment="1">
      <alignment horizontal="left" wrapText="1"/>
    </xf>
    <xf numFmtId="0" fontId="0" fillId="34" borderId="0" xfId="0" applyFill="1" applyAlignment="1">
      <alignment wrapText="1"/>
    </xf>
    <xf numFmtId="0" fontId="0" fillId="34" borderId="0" xfId="0" applyFill="1" applyAlignment="1">
      <alignment horizontal="center" wrapText="1"/>
    </xf>
    <xf numFmtId="0" fontId="0" fillId="35" borderId="0" xfId="0" applyFill="1" applyAlignment="1">
      <alignment horizontal="center" wrapText="1"/>
    </xf>
    <xf numFmtId="0" fontId="0" fillId="36" borderId="0" xfId="0" applyFill="1" applyAlignment="1">
      <alignment horizontal="center" wrapText="1"/>
    </xf>
    <xf numFmtId="0" fontId="0" fillId="37" borderId="0" xfId="0" applyFill="1" applyAlignment="1">
      <alignment horizontal="center" wrapText="1"/>
    </xf>
    <xf numFmtId="0" fontId="0" fillId="38" borderId="0" xfId="0" applyFill="1" applyAlignment="1">
      <alignment horizontal="center" wrapText="1"/>
    </xf>
    <xf numFmtId="0" fontId="0" fillId="39" borderId="0" xfId="0" applyFill="1" applyAlignment="1">
      <alignment horizontal="center" wrapText="1"/>
    </xf>
    <xf numFmtId="0" fontId="0" fillId="40" borderId="0" xfId="0" applyFill="1" applyAlignment="1">
      <alignment horizontal="center" wrapText="1"/>
    </xf>
    <xf numFmtId="0" fontId="0" fillId="38" borderId="0" xfId="0" applyFill="1" applyAlignment="1">
      <alignment wrapText="1"/>
    </xf>
    <xf numFmtId="0" fontId="0" fillId="37" borderId="0" xfId="0" applyFill="1" applyAlignment="1">
      <alignment wrapText="1"/>
    </xf>
    <xf numFmtId="0" fontId="0" fillId="35" borderId="0" xfId="0" applyFill="1" applyAlignment="1">
      <alignment wrapText="1"/>
    </xf>
    <xf numFmtId="0" fontId="0" fillId="36" borderId="0" xfId="0" applyFill="1" applyAlignment="1">
      <alignment wrapText="1"/>
    </xf>
    <xf numFmtId="0" fontId="0" fillId="39" borderId="0" xfId="0" applyFill="1" applyAlignment="1">
      <alignment wrapText="1"/>
    </xf>
    <xf numFmtId="0" fontId="16" fillId="0" borderId="0" xfId="0" applyFont="1" applyAlignment="1">
      <alignment horizontal="right" wrapText="1"/>
    </xf>
    <xf numFmtId="0" fontId="16" fillId="0" borderId="0" xfId="0" applyFont="1" applyAlignment="1">
      <alignment horizontal="center" wrapText="1"/>
    </xf>
    <xf numFmtId="0" fontId="16" fillId="0" borderId="0" xfId="0" applyFont="1" applyAlignment="1"/>
    <xf numFmtId="0" fontId="16" fillId="0" borderId="0" xfId="0" applyFont="1" applyAlignment="1">
      <alignment wrapText="1"/>
    </xf>
    <xf numFmtId="0" fontId="16" fillId="0" borderId="0" xfId="0" applyFont="1" applyAlignment="1">
      <alignment horizontal="center"/>
    </xf>
    <xf numFmtId="0" fontId="0" fillId="41" borderId="0" xfId="0" applyFill="1" applyAlignment="1">
      <alignment horizontal="center" wrapText="1"/>
    </xf>
    <xf numFmtId="0" fontId="0" fillId="41" borderId="0" xfId="0" applyFill="1" applyAlignment="1">
      <alignment wrapText="1"/>
    </xf>
    <xf numFmtId="0" fontId="0" fillId="0" borderId="0" xfId="0" applyBorder="1" applyAlignment="1">
      <alignment horizontal="right"/>
    </xf>
    <xf numFmtId="0" fontId="16" fillId="0" borderId="0" xfId="0" applyFont="1"/>
    <xf numFmtId="0" fontId="16" fillId="0" borderId="0" xfId="0" applyFont="1" applyAlignment="1">
      <alignment horizontal="center" vertical="center" wrapText="1"/>
    </xf>
    <xf numFmtId="0" fontId="0" fillId="0" borderId="0" xfId="0" quotePrefix="1"/>
    <xf numFmtId="0" fontId="18" fillId="0" borderId="0" xfId="0" applyFont="1"/>
    <xf numFmtId="9" fontId="0" fillId="0" borderId="0" xfId="0" applyNumberFormat="1"/>
    <xf numFmtId="0" fontId="0" fillId="0" borderId="15" xfId="0" applyBorder="1" applyAlignment="1">
      <alignment horizontal="center" wrapText="1"/>
    </xf>
    <xf numFmtId="0" fontId="0" fillId="0" borderId="17" xfId="0" applyBorder="1" applyAlignment="1">
      <alignment horizontal="center" wrapText="1"/>
    </xf>
    <xf numFmtId="0" fontId="0" fillId="0" borderId="15" xfId="0" applyBorder="1" applyAlignment="1">
      <alignment horizontal="center"/>
    </xf>
    <xf numFmtId="0" fontId="0" fillId="0" borderId="17" xfId="0" applyBorder="1" applyAlignment="1">
      <alignment horizontal="center"/>
    </xf>
    <xf numFmtId="0" fontId="0" fillId="0" borderId="19" xfId="0" applyBorder="1" applyAlignment="1">
      <alignment horizontal="center" wrapText="1"/>
    </xf>
    <xf numFmtId="0" fontId="19" fillId="0" borderId="0" xfId="0" applyFont="1" applyAlignment="1">
      <alignment horizontal="right"/>
    </xf>
    <xf numFmtId="0" fontId="0" fillId="0" borderId="0" xfId="0" applyAlignment="1">
      <alignment horizontal="center" vertical="center" wrapText="1"/>
    </xf>
    <xf numFmtId="0" fontId="0" fillId="0" borderId="0" xfId="0" applyAlignment="1">
      <alignment horizontal="center" vertical="center"/>
    </xf>
  </cellXfs>
  <cellStyles count="149">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Number of Pubmed Citations for "mixed models"</a:t>
            </a:r>
          </a:p>
        </c:rich>
      </c:tx>
      <c:overlay val="0"/>
    </c:title>
    <c:autoTitleDeleted val="0"/>
    <c:plotArea>
      <c:layout/>
      <c:barChart>
        <c:barDir val="col"/>
        <c:grouping val="clustered"/>
        <c:varyColors val="0"/>
        <c:ser>
          <c:idx val="0"/>
          <c:order val="0"/>
          <c:tx>
            <c:strRef>
              <c:f>'Mixed model pubmed citations'!$A$1</c:f>
              <c:strCache>
                <c:ptCount val="1"/>
                <c:pt idx="0">
                  <c:v>Number</c:v>
                </c:pt>
              </c:strCache>
            </c:strRef>
          </c:tx>
          <c:invertIfNegative val="0"/>
          <c:cat>
            <c:numRef>
              <c:f>'Mixed model pubmed citations'!$B$2:$B$35</c:f>
              <c:numCache>
                <c:formatCode>General</c:formatCode>
                <c:ptCount val="34"/>
                <c:pt idx="0">
                  <c:v>1980</c:v>
                </c:pt>
                <c:pt idx="1">
                  <c:v>1981</c:v>
                </c:pt>
                <c:pt idx="2">
                  <c:v>1982</c:v>
                </c:pt>
                <c:pt idx="3">
                  <c:v>1983</c:v>
                </c:pt>
                <c:pt idx="4">
                  <c:v>1984</c:v>
                </c:pt>
                <c:pt idx="5">
                  <c:v>1985</c:v>
                </c:pt>
                <c:pt idx="6">
                  <c:v>1986</c:v>
                </c:pt>
                <c:pt idx="7">
                  <c:v>1987</c:v>
                </c:pt>
                <c:pt idx="8">
                  <c:v>1988</c:v>
                </c:pt>
                <c:pt idx="9">
                  <c:v>1989</c:v>
                </c:pt>
                <c:pt idx="10">
                  <c:v>1990</c:v>
                </c:pt>
                <c:pt idx="11">
                  <c:v>1991</c:v>
                </c:pt>
                <c:pt idx="12">
                  <c:v>1992</c:v>
                </c:pt>
                <c:pt idx="13">
                  <c:v>1993</c:v>
                </c:pt>
                <c:pt idx="14">
                  <c:v>1994</c:v>
                </c:pt>
                <c:pt idx="15">
                  <c:v>1995</c:v>
                </c:pt>
                <c:pt idx="16">
                  <c:v>1996</c:v>
                </c:pt>
                <c:pt idx="17">
                  <c:v>1997</c:v>
                </c:pt>
                <c:pt idx="18">
                  <c:v>1998</c:v>
                </c:pt>
                <c:pt idx="19">
                  <c:v>1999</c:v>
                </c:pt>
                <c:pt idx="20">
                  <c:v>2000</c:v>
                </c:pt>
                <c:pt idx="21">
                  <c:v>2001</c:v>
                </c:pt>
                <c:pt idx="22">
                  <c:v>2002</c:v>
                </c:pt>
                <c:pt idx="23">
                  <c:v>2003</c:v>
                </c:pt>
                <c:pt idx="24">
                  <c:v>2004</c:v>
                </c:pt>
                <c:pt idx="25">
                  <c:v>2005</c:v>
                </c:pt>
                <c:pt idx="26">
                  <c:v>2006</c:v>
                </c:pt>
                <c:pt idx="27">
                  <c:v>2007</c:v>
                </c:pt>
                <c:pt idx="28">
                  <c:v>2008</c:v>
                </c:pt>
                <c:pt idx="29">
                  <c:v>2009</c:v>
                </c:pt>
                <c:pt idx="30">
                  <c:v>2010</c:v>
                </c:pt>
                <c:pt idx="31">
                  <c:v>2011</c:v>
                </c:pt>
                <c:pt idx="32">
                  <c:v>2012</c:v>
                </c:pt>
                <c:pt idx="33">
                  <c:v>2013</c:v>
                </c:pt>
              </c:numCache>
            </c:numRef>
          </c:cat>
          <c:val>
            <c:numRef>
              <c:f>'Mixed model pubmed citations'!$A$2:$A$35</c:f>
              <c:numCache>
                <c:formatCode>General</c:formatCode>
                <c:ptCount val="34"/>
                <c:pt idx="0">
                  <c:v>0</c:v>
                </c:pt>
                <c:pt idx="1">
                  <c:v>0</c:v>
                </c:pt>
                <c:pt idx="2">
                  <c:v>2</c:v>
                </c:pt>
                <c:pt idx="3">
                  <c:v>4</c:v>
                </c:pt>
                <c:pt idx="4">
                  <c:v>3</c:v>
                </c:pt>
                <c:pt idx="5">
                  <c:v>1</c:v>
                </c:pt>
                <c:pt idx="6">
                  <c:v>1</c:v>
                </c:pt>
                <c:pt idx="7">
                  <c:v>1</c:v>
                </c:pt>
                <c:pt idx="8">
                  <c:v>0</c:v>
                </c:pt>
                <c:pt idx="9">
                  <c:v>0</c:v>
                </c:pt>
                <c:pt idx="10">
                  <c:v>1</c:v>
                </c:pt>
                <c:pt idx="11">
                  <c:v>5</c:v>
                </c:pt>
                <c:pt idx="12">
                  <c:v>5</c:v>
                </c:pt>
                <c:pt idx="13">
                  <c:v>4</c:v>
                </c:pt>
                <c:pt idx="14">
                  <c:v>2</c:v>
                </c:pt>
                <c:pt idx="15">
                  <c:v>4</c:v>
                </c:pt>
                <c:pt idx="16">
                  <c:v>8</c:v>
                </c:pt>
                <c:pt idx="17">
                  <c:v>7</c:v>
                </c:pt>
                <c:pt idx="18">
                  <c:v>14</c:v>
                </c:pt>
                <c:pt idx="19">
                  <c:v>22</c:v>
                </c:pt>
                <c:pt idx="20">
                  <c:v>26</c:v>
                </c:pt>
                <c:pt idx="21">
                  <c:v>29</c:v>
                </c:pt>
                <c:pt idx="22">
                  <c:v>44</c:v>
                </c:pt>
                <c:pt idx="23">
                  <c:v>59</c:v>
                </c:pt>
                <c:pt idx="24">
                  <c:v>84</c:v>
                </c:pt>
                <c:pt idx="25">
                  <c:v>107</c:v>
                </c:pt>
                <c:pt idx="26">
                  <c:v>137</c:v>
                </c:pt>
                <c:pt idx="27">
                  <c:v>193</c:v>
                </c:pt>
                <c:pt idx="28">
                  <c:v>228</c:v>
                </c:pt>
                <c:pt idx="29">
                  <c:v>316</c:v>
                </c:pt>
                <c:pt idx="30">
                  <c:v>396</c:v>
                </c:pt>
                <c:pt idx="31">
                  <c:v>462</c:v>
                </c:pt>
                <c:pt idx="32">
                  <c:v>571</c:v>
                </c:pt>
                <c:pt idx="33">
                  <c:v>690</c:v>
                </c:pt>
              </c:numCache>
            </c:numRef>
          </c:val>
          <c:extLst>
            <c:ext xmlns:c16="http://schemas.microsoft.com/office/drawing/2014/chart" uri="{C3380CC4-5D6E-409C-BE32-E72D297353CC}">
              <c16:uniqueId val="{00000000-7A0D-E543-9E67-AA177590E0CE}"/>
            </c:ext>
          </c:extLst>
        </c:ser>
        <c:dLbls>
          <c:showLegendKey val="0"/>
          <c:showVal val="0"/>
          <c:showCatName val="0"/>
          <c:showSerName val="0"/>
          <c:showPercent val="0"/>
          <c:showBubbleSize val="0"/>
        </c:dLbls>
        <c:gapWidth val="150"/>
        <c:axId val="-2116406488"/>
        <c:axId val="-2114884920"/>
      </c:barChart>
      <c:catAx>
        <c:axId val="-2116406488"/>
        <c:scaling>
          <c:orientation val="minMax"/>
        </c:scaling>
        <c:delete val="0"/>
        <c:axPos val="b"/>
        <c:numFmt formatCode="General" sourceLinked="1"/>
        <c:majorTickMark val="out"/>
        <c:minorTickMark val="none"/>
        <c:tickLblPos val="nextTo"/>
        <c:crossAx val="-2114884920"/>
        <c:crosses val="autoZero"/>
        <c:auto val="1"/>
        <c:lblAlgn val="ctr"/>
        <c:lblOffset val="100"/>
        <c:noMultiLvlLbl val="0"/>
      </c:catAx>
      <c:valAx>
        <c:axId val="-2114884920"/>
        <c:scaling>
          <c:orientation val="minMax"/>
        </c:scaling>
        <c:delete val="0"/>
        <c:axPos val="l"/>
        <c:majorGridlines/>
        <c:numFmt formatCode="General" sourceLinked="1"/>
        <c:majorTickMark val="out"/>
        <c:minorTickMark val="none"/>
        <c:tickLblPos val="nextTo"/>
        <c:crossAx val="-2116406488"/>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254000</xdr:colOff>
      <xdr:row>3</xdr:row>
      <xdr:rowOff>31750</xdr:rowOff>
    </xdr:from>
    <xdr:to>
      <xdr:col>16</xdr:col>
      <xdr:colOff>50800</xdr:colOff>
      <xdr:row>28</xdr:row>
      <xdr:rowOff>165100</xdr:rowOff>
    </xdr:to>
    <xdr:graphicFrame macro="">
      <xdr:nvGraphicFramePr>
        <xdr:cNvPr id="4" name="Chart 3">
          <a:extLst>
            <a:ext uri="{FF2B5EF4-FFF2-40B4-BE49-F238E27FC236}">
              <a16:creationId xmlns:a16="http://schemas.microsoft.com/office/drawing/2014/main" id="{00000000-0008-0000-16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H47"/>
  <sheetViews>
    <sheetView tabSelected="1" zoomScale="70" zoomScaleNormal="70" zoomScalePageLayoutView="70" workbookViewId="0">
      <pane xSplit="1" ySplit="1" topLeftCell="B2" activePane="bottomRight" state="frozen"/>
      <selection pane="topRight" activeCell="B1" sqref="B1"/>
      <selection pane="bottomLeft" activeCell="A2" sqref="A2"/>
      <selection pane="bottomRight" activeCell="A25" sqref="A25"/>
    </sheetView>
  </sheetViews>
  <sheetFormatPr baseColWidth="10" defaultColWidth="40.6640625" defaultRowHeight="20" customHeight="1" x14ac:dyDescent="0.2"/>
  <cols>
    <col min="1" max="1" width="49.5" style="3" customWidth="1"/>
    <col min="2" max="2" width="45" style="4" customWidth="1"/>
    <col min="3" max="141" width="40.6640625" style="4"/>
    <col min="142" max="142" width="40.6640625" style="7"/>
    <col min="143" max="146" width="40.6640625" style="4"/>
    <col min="147" max="159" width="40.6640625" style="8"/>
    <col min="160" max="16384" width="40.6640625" style="4"/>
  </cols>
  <sheetData>
    <row r="1" spans="1:164" ht="20" customHeight="1" x14ac:dyDescent="0.2">
      <c r="A1" s="2" t="s">
        <v>0</v>
      </c>
      <c r="B1" s="1">
        <v>2</v>
      </c>
      <c r="C1" s="1">
        <v>5</v>
      </c>
      <c r="D1" s="1">
        <v>6</v>
      </c>
      <c r="E1" s="1">
        <v>11</v>
      </c>
      <c r="F1" s="1">
        <v>18</v>
      </c>
      <c r="G1" s="1">
        <v>21</v>
      </c>
      <c r="H1" s="1">
        <v>22</v>
      </c>
      <c r="I1" s="1">
        <v>26</v>
      </c>
      <c r="J1" s="1">
        <v>30</v>
      </c>
      <c r="K1" s="1">
        <v>31</v>
      </c>
      <c r="L1" s="1">
        <v>28</v>
      </c>
      <c r="M1" s="1">
        <v>32</v>
      </c>
      <c r="N1" s="1">
        <v>34</v>
      </c>
      <c r="O1" s="1">
        <v>35</v>
      </c>
      <c r="P1" s="1">
        <v>36</v>
      </c>
      <c r="Q1" s="1">
        <v>38</v>
      </c>
      <c r="R1" s="1">
        <v>40</v>
      </c>
      <c r="S1" s="1">
        <v>41</v>
      </c>
      <c r="T1" s="1">
        <v>42</v>
      </c>
      <c r="U1" s="1">
        <v>44</v>
      </c>
      <c r="V1" s="1">
        <v>46</v>
      </c>
      <c r="W1" s="1">
        <v>47</v>
      </c>
      <c r="X1" s="1">
        <v>49</v>
      </c>
      <c r="Y1" s="1">
        <v>50</v>
      </c>
      <c r="Z1" s="1">
        <v>51</v>
      </c>
      <c r="AA1" s="1">
        <v>53</v>
      </c>
      <c r="AB1" s="1">
        <v>55</v>
      </c>
      <c r="AC1" s="1">
        <v>60</v>
      </c>
      <c r="AD1" s="1">
        <v>61</v>
      </c>
      <c r="AE1" s="1">
        <v>62</v>
      </c>
      <c r="AF1" s="1">
        <v>65</v>
      </c>
      <c r="AG1" s="1">
        <v>70</v>
      </c>
      <c r="AH1" s="1">
        <v>71</v>
      </c>
      <c r="AI1" s="1">
        <v>72</v>
      </c>
      <c r="AJ1" s="1">
        <v>74</v>
      </c>
      <c r="AK1" s="1">
        <v>75</v>
      </c>
      <c r="AL1" s="1">
        <v>76</v>
      </c>
      <c r="AM1" s="1">
        <v>78</v>
      </c>
      <c r="AN1" s="1">
        <v>79</v>
      </c>
      <c r="AO1" s="1">
        <v>80</v>
      </c>
      <c r="AP1" s="1">
        <v>87</v>
      </c>
      <c r="AQ1" s="1">
        <v>89</v>
      </c>
      <c r="AR1" s="1">
        <v>90</v>
      </c>
      <c r="AS1" s="1">
        <v>91</v>
      </c>
      <c r="AT1" s="1">
        <v>92</v>
      </c>
      <c r="AU1" s="1">
        <v>93</v>
      </c>
      <c r="AV1" s="1">
        <v>95</v>
      </c>
      <c r="AW1" s="1">
        <v>96</v>
      </c>
      <c r="AX1" s="1">
        <v>100</v>
      </c>
      <c r="AY1" s="1">
        <v>104</v>
      </c>
      <c r="AZ1" s="1">
        <v>107</v>
      </c>
      <c r="BA1" s="1">
        <v>109</v>
      </c>
      <c r="BB1" s="1">
        <v>110</v>
      </c>
      <c r="BC1" s="1">
        <v>112</v>
      </c>
      <c r="BD1" s="1">
        <v>118</v>
      </c>
      <c r="BE1" s="1">
        <v>119</v>
      </c>
      <c r="BF1" s="1">
        <v>120</v>
      </c>
      <c r="BG1" s="1">
        <v>121</v>
      </c>
      <c r="BH1" s="1">
        <v>122</v>
      </c>
      <c r="BI1" s="1">
        <v>127</v>
      </c>
      <c r="BJ1" s="1">
        <v>128</v>
      </c>
      <c r="BK1" s="1">
        <v>132</v>
      </c>
      <c r="BL1" s="1">
        <v>135</v>
      </c>
      <c r="BM1" s="1">
        <v>136</v>
      </c>
      <c r="BN1" s="1">
        <v>138</v>
      </c>
      <c r="BO1" s="1">
        <v>139</v>
      </c>
      <c r="BP1" s="1">
        <v>140</v>
      </c>
      <c r="BQ1" s="1">
        <v>148</v>
      </c>
      <c r="BR1" s="1">
        <v>149</v>
      </c>
      <c r="BS1" s="1">
        <v>150</v>
      </c>
      <c r="BT1" s="1">
        <v>151</v>
      </c>
      <c r="BU1" s="1">
        <v>152</v>
      </c>
      <c r="BV1" s="1">
        <v>153</v>
      </c>
      <c r="BW1" s="1">
        <v>157</v>
      </c>
      <c r="BX1" s="1">
        <v>156</v>
      </c>
      <c r="BY1" s="1">
        <v>162</v>
      </c>
      <c r="BZ1" s="1">
        <v>164</v>
      </c>
      <c r="CA1" s="1">
        <v>166</v>
      </c>
      <c r="CB1" s="1">
        <v>170</v>
      </c>
      <c r="CC1" s="1">
        <v>173</v>
      </c>
      <c r="CD1" s="1">
        <v>175</v>
      </c>
      <c r="CE1" s="1">
        <v>178</v>
      </c>
      <c r="CF1" s="1">
        <v>183</v>
      </c>
      <c r="CG1" s="1">
        <v>185</v>
      </c>
      <c r="CH1" s="1">
        <v>186</v>
      </c>
      <c r="CI1" s="1">
        <v>189</v>
      </c>
      <c r="CJ1" s="1">
        <v>190</v>
      </c>
      <c r="CK1" s="1">
        <v>192</v>
      </c>
      <c r="CL1" s="1">
        <v>193</v>
      </c>
      <c r="CM1" s="1">
        <v>196</v>
      </c>
      <c r="CN1" s="1">
        <v>197</v>
      </c>
      <c r="CO1" s="1">
        <v>200</v>
      </c>
      <c r="CP1" s="1">
        <v>203</v>
      </c>
      <c r="CQ1" s="1">
        <v>204</v>
      </c>
      <c r="CR1" s="1">
        <v>207</v>
      </c>
      <c r="CS1" s="1">
        <v>208</v>
      </c>
      <c r="CT1" s="1">
        <v>210</v>
      </c>
      <c r="CU1" s="1">
        <v>212</v>
      </c>
      <c r="CV1" s="1">
        <v>215</v>
      </c>
      <c r="CW1" s="1">
        <v>217</v>
      </c>
      <c r="CX1" s="1">
        <v>219</v>
      </c>
      <c r="CY1" s="1">
        <v>221</v>
      </c>
      <c r="CZ1" s="1">
        <v>222</v>
      </c>
      <c r="DA1" s="1">
        <v>223</v>
      </c>
      <c r="DB1" s="1">
        <v>226</v>
      </c>
      <c r="DC1" s="1">
        <v>231</v>
      </c>
      <c r="DD1" s="1">
        <v>232</v>
      </c>
      <c r="DE1" s="1">
        <v>233</v>
      </c>
      <c r="DF1" s="1">
        <v>236</v>
      </c>
      <c r="DG1" s="1">
        <v>238</v>
      </c>
      <c r="DH1" s="1">
        <v>241</v>
      </c>
      <c r="DI1" s="1">
        <v>242</v>
      </c>
      <c r="DJ1" s="1">
        <v>245</v>
      </c>
      <c r="DK1" s="1">
        <v>247</v>
      </c>
      <c r="DL1" s="1">
        <v>249</v>
      </c>
      <c r="DM1" s="1">
        <v>250</v>
      </c>
      <c r="DN1" s="1">
        <v>254</v>
      </c>
      <c r="DO1" s="1">
        <v>256</v>
      </c>
      <c r="DP1" s="1">
        <v>257</v>
      </c>
      <c r="DQ1" s="1">
        <v>260</v>
      </c>
      <c r="DR1" s="1">
        <v>262</v>
      </c>
      <c r="DS1" s="1">
        <v>263</v>
      </c>
      <c r="DT1" s="1">
        <v>272</v>
      </c>
      <c r="DU1" s="1">
        <v>273</v>
      </c>
      <c r="DV1" s="1">
        <v>280</v>
      </c>
      <c r="DW1" s="1">
        <v>282</v>
      </c>
      <c r="DX1" s="1">
        <v>286</v>
      </c>
      <c r="DY1" s="1">
        <v>287</v>
      </c>
      <c r="DZ1" s="1">
        <v>288</v>
      </c>
      <c r="EA1" s="1">
        <v>289</v>
      </c>
      <c r="EB1" s="1">
        <v>290</v>
      </c>
      <c r="EC1" s="1">
        <v>291</v>
      </c>
      <c r="ED1" s="1">
        <v>293</v>
      </c>
      <c r="EE1" s="1">
        <v>294</v>
      </c>
      <c r="EF1" s="1">
        <v>295</v>
      </c>
      <c r="EG1" s="1">
        <v>297</v>
      </c>
      <c r="EH1" s="1">
        <v>298</v>
      </c>
      <c r="EI1" s="1">
        <v>300</v>
      </c>
      <c r="EJ1" s="1">
        <v>301</v>
      </c>
      <c r="EK1" s="1">
        <v>302</v>
      </c>
      <c r="EL1" s="40">
        <v>303</v>
      </c>
      <c r="EM1" s="1">
        <v>304</v>
      </c>
      <c r="EN1" s="1">
        <v>305</v>
      </c>
      <c r="EO1" s="1">
        <v>307</v>
      </c>
      <c r="EP1" s="1">
        <v>308</v>
      </c>
      <c r="EQ1" s="1">
        <v>310</v>
      </c>
      <c r="ER1" s="1">
        <v>312</v>
      </c>
      <c r="ES1" s="1">
        <v>314</v>
      </c>
      <c r="ET1" s="1">
        <v>315</v>
      </c>
      <c r="EU1" s="1">
        <v>316</v>
      </c>
      <c r="EV1" s="1">
        <v>317</v>
      </c>
      <c r="EW1" s="1">
        <v>319</v>
      </c>
      <c r="EX1" s="1">
        <v>323</v>
      </c>
      <c r="EY1" s="1">
        <v>324</v>
      </c>
      <c r="EZ1" s="1">
        <v>325</v>
      </c>
      <c r="FA1" s="1">
        <v>327</v>
      </c>
      <c r="FB1" s="1">
        <v>328</v>
      </c>
      <c r="FC1" s="1">
        <v>329</v>
      </c>
      <c r="FD1" s="4">
        <v>331</v>
      </c>
      <c r="FE1" s="4">
        <v>332</v>
      </c>
      <c r="FF1" s="4">
        <v>334</v>
      </c>
      <c r="FG1" s="4">
        <v>336</v>
      </c>
      <c r="FH1" s="4">
        <v>337</v>
      </c>
    </row>
    <row r="2" spans="1:164" ht="20" customHeight="1" x14ac:dyDescent="0.2">
      <c r="A2" s="2" t="s">
        <v>1</v>
      </c>
      <c r="B2" s="1" t="s">
        <v>45</v>
      </c>
      <c r="C2" s="1" t="s">
        <v>60</v>
      </c>
      <c r="D2" s="1" t="s">
        <v>56</v>
      </c>
      <c r="E2" s="1" t="s">
        <v>45</v>
      </c>
      <c r="F2" s="1" t="s">
        <v>45</v>
      </c>
      <c r="G2" s="1" t="s">
        <v>60</v>
      </c>
      <c r="H2" s="1" t="s">
        <v>60</v>
      </c>
      <c r="I2" s="1" t="s">
        <v>60</v>
      </c>
      <c r="J2" s="1" t="s">
        <v>45</v>
      </c>
      <c r="K2" s="1" t="s">
        <v>60</v>
      </c>
      <c r="L2" s="1" t="s">
        <v>60</v>
      </c>
      <c r="M2" s="1" t="s">
        <v>60</v>
      </c>
      <c r="N2" s="1" t="s">
        <v>45</v>
      </c>
      <c r="O2" s="1" t="s">
        <v>60</v>
      </c>
      <c r="P2" s="1" t="s">
        <v>45</v>
      </c>
      <c r="Q2" s="1" t="s">
        <v>45</v>
      </c>
      <c r="R2" s="1" t="s">
        <v>45</v>
      </c>
      <c r="S2" s="1" t="s">
        <v>45</v>
      </c>
      <c r="T2" s="1" t="s">
        <v>60</v>
      </c>
      <c r="U2" s="1" t="s">
        <v>45</v>
      </c>
      <c r="V2" s="1" t="s">
        <v>45</v>
      </c>
      <c r="W2" s="1" t="s">
        <v>60</v>
      </c>
      <c r="X2" s="1" t="s">
        <v>45</v>
      </c>
      <c r="Y2" s="1" t="s">
        <v>60</v>
      </c>
      <c r="Z2" s="1" t="s">
        <v>45</v>
      </c>
      <c r="AA2" s="1" t="s">
        <v>45</v>
      </c>
      <c r="AB2" s="1" t="s">
        <v>45</v>
      </c>
      <c r="AC2" s="1" t="s">
        <v>60</v>
      </c>
      <c r="AD2" s="1" t="s">
        <v>45</v>
      </c>
      <c r="AE2" s="1" t="s">
        <v>45</v>
      </c>
      <c r="AF2" s="1" t="s">
        <v>60</v>
      </c>
      <c r="AG2" s="1" t="s">
        <v>60</v>
      </c>
      <c r="AH2" s="1" t="s">
        <v>45</v>
      </c>
      <c r="AI2" s="1" t="s">
        <v>60</v>
      </c>
      <c r="AJ2" s="1" t="s">
        <v>45</v>
      </c>
      <c r="AK2" s="1" t="s">
        <v>60</v>
      </c>
      <c r="AL2" s="1" t="s">
        <v>60</v>
      </c>
      <c r="AM2" s="1" t="s">
        <v>45</v>
      </c>
      <c r="AN2" s="1" t="s">
        <v>60</v>
      </c>
      <c r="AO2" s="1" t="s">
        <v>45</v>
      </c>
      <c r="AP2" s="1" t="s">
        <v>45</v>
      </c>
      <c r="AQ2" s="1" t="s">
        <v>45</v>
      </c>
      <c r="AR2" s="1" t="s">
        <v>56</v>
      </c>
      <c r="AS2" s="1" t="s">
        <v>45</v>
      </c>
      <c r="AT2" s="1" t="s">
        <v>45</v>
      </c>
      <c r="AU2" s="1" t="s">
        <v>60</v>
      </c>
      <c r="AV2" s="1" t="s">
        <v>60</v>
      </c>
      <c r="AW2" s="1" t="s">
        <v>60</v>
      </c>
      <c r="AX2" s="1" t="s">
        <v>60</v>
      </c>
      <c r="AY2" s="1" t="s">
        <v>60</v>
      </c>
      <c r="AZ2" s="1" t="s">
        <v>45</v>
      </c>
      <c r="BA2" s="1" t="s">
        <v>45</v>
      </c>
      <c r="BB2" s="1" t="s">
        <v>60</v>
      </c>
      <c r="BC2" s="1" t="s">
        <v>45</v>
      </c>
      <c r="BD2" s="1" t="s">
        <v>45</v>
      </c>
      <c r="BE2" s="1" t="s">
        <v>60</v>
      </c>
      <c r="BF2" s="1" t="s">
        <v>45</v>
      </c>
      <c r="BG2" s="1" t="s">
        <v>60</v>
      </c>
      <c r="BH2" s="1" t="s">
        <v>45</v>
      </c>
      <c r="BI2" s="1" t="s">
        <v>45</v>
      </c>
      <c r="BJ2" s="1" t="s">
        <v>45</v>
      </c>
      <c r="BK2" s="1" t="s">
        <v>60</v>
      </c>
      <c r="BL2" s="1" t="s">
        <v>60</v>
      </c>
      <c r="BM2" s="1" t="s">
        <v>45</v>
      </c>
      <c r="BN2" s="1" t="s">
        <v>60</v>
      </c>
      <c r="BO2" s="1" t="s">
        <v>60</v>
      </c>
      <c r="BP2" s="1" t="s">
        <v>45</v>
      </c>
      <c r="BQ2" s="1" t="s">
        <v>60</v>
      </c>
      <c r="BR2" s="1" t="s">
        <v>45</v>
      </c>
      <c r="BS2" s="1" t="s">
        <v>45</v>
      </c>
      <c r="BT2" s="1" t="s">
        <v>45</v>
      </c>
      <c r="BU2" s="1" t="s">
        <v>60</v>
      </c>
      <c r="BV2" s="1" t="s">
        <v>45</v>
      </c>
      <c r="BW2" s="1" t="s">
        <v>45</v>
      </c>
      <c r="BX2" s="1" t="s">
        <v>60</v>
      </c>
      <c r="BY2" s="1" t="s">
        <v>45</v>
      </c>
      <c r="BZ2" s="1" t="s">
        <v>45</v>
      </c>
      <c r="CA2" s="1" t="s">
        <v>45</v>
      </c>
      <c r="CB2" s="1" t="s">
        <v>45</v>
      </c>
      <c r="CC2" s="1" t="s">
        <v>60</v>
      </c>
      <c r="CD2" s="1" t="s">
        <v>45</v>
      </c>
      <c r="CE2" s="1" t="s">
        <v>56</v>
      </c>
      <c r="CF2" s="1" t="s">
        <v>45</v>
      </c>
      <c r="CG2" s="1" t="s">
        <v>60</v>
      </c>
      <c r="CH2" s="1" t="s">
        <v>45</v>
      </c>
      <c r="CI2" s="1" t="s">
        <v>45</v>
      </c>
      <c r="CJ2" s="1" t="s">
        <v>45</v>
      </c>
      <c r="CK2" s="1" t="s">
        <v>60</v>
      </c>
      <c r="CL2" s="1" t="s">
        <v>45</v>
      </c>
      <c r="CM2" s="1" t="s">
        <v>60</v>
      </c>
      <c r="CN2" s="1" t="s">
        <v>60</v>
      </c>
      <c r="CO2" s="1" t="s">
        <v>45</v>
      </c>
      <c r="CP2" s="1" t="s">
        <v>45</v>
      </c>
      <c r="CQ2" s="1" t="s">
        <v>45</v>
      </c>
      <c r="CR2" s="1" t="s">
        <v>45</v>
      </c>
      <c r="CS2" s="1" t="s">
        <v>45</v>
      </c>
      <c r="CT2" s="1" t="s">
        <v>45</v>
      </c>
      <c r="CU2" s="1" t="s">
        <v>60</v>
      </c>
      <c r="CV2" s="1" t="s">
        <v>45</v>
      </c>
      <c r="CW2" s="1" t="s">
        <v>60</v>
      </c>
      <c r="CX2" s="1" t="s">
        <v>60</v>
      </c>
      <c r="CY2" s="1" t="s">
        <v>45</v>
      </c>
      <c r="CZ2" s="1" t="s">
        <v>45</v>
      </c>
      <c r="DA2" s="1" t="s">
        <v>60</v>
      </c>
      <c r="DB2" s="1" t="s">
        <v>60</v>
      </c>
      <c r="DC2" s="1" t="s">
        <v>45</v>
      </c>
      <c r="DD2" s="1" t="s">
        <v>45</v>
      </c>
      <c r="DE2" s="1" t="s">
        <v>60</v>
      </c>
      <c r="DF2" s="1" t="s">
        <v>60</v>
      </c>
      <c r="DG2" s="1" t="s">
        <v>60</v>
      </c>
      <c r="DH2" s="1" t="s">
        <v>45</v>
      </c>
      <c r="DI2" s="1" t="s">
        <v>60</v>
      </c>
      <c r="DJ2" s="1" t="s">
        <v>45</v>
      </c>
      <c r="DK2" s="1" t="s">
        <v>60</v>
      </c>
      <c r="DL2" s="1" t="s">
        <v>56</v>
      </c>
      <c r="DM2" s="1" t="s">
        <v>60</v>
      </c>
      <c r="DN2" s="1" t="s">
        <v>45</v>
      </c>
      <c r="DO2" s="1" t="s">
        <v>45</v>
      </c>
      <c r="DP2" s="1" t="s">
        <v>60</v>
      </c>
      <c r="DQ2" s="1" t="s">
        <v>45</v>
      </c>
      <c r="DR2" s="1" t="s">
        <v>45</v>
      </c>
      <c r="DS2" s="1" t="s">
        <v>60</v>
      </c>
      <c r="DT2" s="1" t="s">
        <v>60</v>
      </c>
      <c r="DU2" s="1" t="s">
        <v>45</v>
      </c>
      <c r="DV2" s="1" t="s">
        <v>60</v>
      </c>
      <c r="DW2" s="1" t="s">
        <v>45</v>
      </c>
      <c r="DX2" s="1" t="s">
        <v>60</v>
      </c>
      <c r="DY2" s="1" t="s">
        <v>60</v>
      </c>
      <c r="DZ2" s="1" t="s">
        <v>45</v>
      </c>
      <c r="EA2" s="1" t="s">
        <v>45</v>
      </c>
      <c r="EB2" s="1" t="s">
        <v>45</v>
      </c>
      <c r="EC2" s="1" t="s">
        <v>45</v>
      </c>
      <c r="ED2" s="1" t="s">
        <v>45</v>
      </c>
      <c r="EE2" s="1" t="s">
        <v>45</v>
      </c>
      <c r="EF2" s="1" t="s">
        <v>45</v>
      </c>
      <c r="EG2" s="1" t="s">
        <v>60</v>
      </c>
      <c r="EH2" s="1" t="s">
        <v>45</v>
      </c>
      <c r="EI2" s="1" t="s">
        <v>45</v>
      </c>
      <c r="EJ2" s="1" t="s">
        <v>45</v>
      </c>
      <c r="EK2" s="1" t="s">
        <v>45</v>
      </c>
      <c r="EL2" s="40" t="s">
        <v>60</v>
      </c>
      <c r="EM2" s="1" t="s">
        <v>60</v>
      </c>
      <c r="EN2" s="1" t="s">
        <v>45</v>
      </c>
      <c r="EO2" s="1" t="s">
        <v>45</v>
      </c>
      <c r="EP2" s="1" t="s">
        <v>45</v>
      </c>
      <c r="EQ2" s="1" t="s">
        <v>45</v>
      </c>
      <c r="ER2" s="1" t="s">
        <v>45</v>
      </c>
      <c r="ES2" s="1" t="s">
        <v>60</v>
      </c>
      <c r="ET2" s="1" t="s">
        <v>60</v>
      </c>
      <c r="EU2" s="1" t="s">
        <v>56</v>
      </c>
      <c r="EV2" s="1" t="s">
        <v>45</v>
      </c>
      <c r="EW2" s="1" t="s">
        <v>60</v>
      </c>
      <c r="EX2" s="1" t="s">
        <v>45</v>
      </c>
      <c r="EY2" s="1" t="s">
        <v>45</v>
      </c>
      <c r="EZ2" s="1" t="s">
        <v>45</v>
      </c>
      <c r="FA2" s="1" t="s">
        <v>45</v>
      </c>
      <c r="FB2" s="1" t="s">
        <v>45</v>
      </c>
      <c r="FC2" s="1" t="s">
        <v>60</v>
      </c>
      <c r="FD2" s="1" t="s">
        <v>45</v>
      </c>
      <c r="FE2" s="1" t="s">
        <v>45</v>
      </c>
      <c r="FF2" s="1" t="s">
        <v>60</v>
      </c>
      <c r="FG2" s="1" t="s">
        <v>56</v>
      </c>
      <c r="FH2" s="1" t="s">
        <v>45</v>
      </c>
    </row>
    <row r="3" spans="1:164" ht="20" customHeight="1" x14ac:dyDescent="0.2">
      <c r="A3" s="2" t="s">
        <v>2</v>
      </c>
      <c r="B3" s="1">
        <v>35</v>
      </c>
      <c r="C3" s="1">
        <v>35</v>
      </c>
      <c r="D3" s="1">
        <v>47</v>
      </c>
      <c r="E3" s="1">
        <v>33</v>
      </c>
      <c r="F3" s="1">
        <v>37</v>
      </c>
      <c r="G3" s="1">
        <v>27</v>
      </c>
      <c r="H3" s="1">
        <v>34</v>
      </c>
      <c r="I3" s="1">
        <v>47</v>
      </c>
      <c r="J3" s="1">
        <v>30</v>
      </c>
      <c r="K3" s="1">
        <v>32</v>
      </c>
      <c r="L3" s="1">
        <v>27</v>
      </c>
      <c r="M3" s="1">
        <v>37</v>
      </c>
      <c r="N3" s="1">
        <v>31</v>
      </c>
      <c r="O3" s="1">
        <v>37</v>
      </c>
      <c r="P3" s="1">
        <v>28</v>
      </c>
      <c r="Q3" s="1">
        <v>34</v>
      </c>
      <c r="R3" s="1">
        <v>26</v>
      </c>
      <c r="S3" s="1">
        <v>36</v>
      </c>
      <c r="T3" s="1">
        <v>42</v>
      </c>
      <c r="U3" s="1">
        <v>27</v>
      </c>
      <c r="V3" s="1">
        <v>30</v>
      </c>
      <c r="W3" s="1">
        <v>38</v>
      </c>
      <c r="X3" s="1">
        <v>32</v>
      </c>
      <c r="Y3" s="1">
        <v>33</v>
      </c>
      <c r="Z3" s="1">
        <v>32</v>
      </c>
      <c r="AA3" s="1">
        <v>40</v>
      </c>
      <c r="AB3" s="1">
        <v>54</v>
      </c>
      <c r="AC3" s="1">
        <v>30</v>
      </c>
      <c r="AD3" s="1">
        <v>37</v>
      </c>
      <c r="AE3" s="1">
        <v>37</v>
      </c>
      <c r="AF3" s="1">
        <v>29</v>
      </c>
      <c r="AG3" s="1">
        <v>28</v>
      </c>
      <c r="AH3" s="1">
        <v>37</v>
      </c>
      <c r="AI3" s="1">
        <v>29</v>
      </c>
      <c r="AJ3" s="1">
        <v>41</v>
      </c>
      <c r="AK3" s="1">
        <v>48</v>
      </c>
      <c r="AL3" s="1">
        <v>41</v>
      </c>
      <c r="AM3" s="1">
        <v>37</v>
      </c>
      <c r="AN3" s="1">
        <v>36</v>
      </c>
      <c r="AO3" s="1">
        <v>48</v>
      </c>
      <c r="AP3" s="1">
        <v>60</v>
      </c>
      <c r="AQ3" s="1">
        <v>27</v>
      </c>
      <c r="AR3" s="1"/>
      <c r="AS3" s="1">
        <v>37</v>
      </c>
      <c r="AT3" s="1">
        <v>31</v>
      </c>
      <c r="AU3" s="1">
        <v>36</v>
      </c>
      <c r="AV3" s="1">
        <v>54</v>
      </c>
      <c r="AW3" s="1">
        <v>26</v>
      </c>
      <c r="AX3" s="1">
        <v>26</v>
      </c>
      <c r="AY3" s="1">
        <v>27</v>
      </c>
      <c r="AZ3" s="1">
        <v>28</v>
      </c>
      <c r="BA3" s="1">
        <v>53</v>
      </c>
      <c r="BB3" s="1">
        <v>35</v>
      </c>
      <c r="BC3" s="1">
        <v>32</v>
      </c>
      <c r="BD3" s="1">
        <v>30</v>
      </c>
      <c r="BE3" s="1">
        <v>38</v>
      </c>
      <c r="BF3" s="1">
        <v>33</v>
      </c>
      <c r="BG3" s="1">
        <v>33</v>
      </c>
      <c r="BH3" s="1">
        <v>36</v>
      </c>
      <c r="BI3" s="1">
        <v>48</v>
      </c>
      <c r="BJ3" s="1">
        <v>28</v>
      </c>
      <c r="BK3" s="1">
        <v>28</v>
      </c>
      <c r="BL3" s="1">
        <v>37</v>
      </c>
      <c r="BM3" s="1"/>
      <c r="BN3" s="1">
        <v>33</v>
      </c>
      <c r="BO3" s="1">
        <v>60</v>
      </c>
      <c r="BP3" s="1">
        <v>28</v>
      </c>
      <c r="BQ3" s="1">
        <v>37</v>
      </c>
      <c r="BR3" s="1">
        <v>32</v>
      </c>
      <c r="BS3" s="1">
        <v>32</v>
      </c>
      <c r="BT3" s="1"/>
      <c r="BU3" s="1">
        <v>30</v>
      </c>
      <c r="BV3" s="1">
        <v>32</v>
      </c>
      <c r="BW3" s="1">
        <v>25</v>
      </c>
      <c r="BX3" s="1">
        <v>64</v>
      </c>
      <c r="BY3" s="1"/>
      <c r="BZ3" s="1">
        <v>32</v>
      </c>
      <c r="CA3" s="1">
        <v>27</v>
      </c>
      <c r="CB3" s="1">
        <v>50</v>
      </c>
      <c r="CC3" s="1">
        <v>35</v>
      </c>
      <c r="CD3" s="1">
        <v>34</v>
      </c>
      <c r="CE3" s="1">
        <v>35</v>
      </c>
      <c r="CF3" s="1">
        <v>26</v>
      </c>
      <c r="CG3" s="1">
        <v>33</v>
      </c>
      <c r="CH3" s="1">
        <v>23</v>
      </c>
      <c r="CI3" s="1">
        <v>28</v>
      </c>
      <c r="CJ3" s="1">
        <v>27</v>
      </c>
      <c r="CK3" s="1">
        <v>30</v>
      </c>
      <c r="CL3" s="1">
        <v>36</v>
      </c>
      <c r="CM3" s="1">
        <v>38</v>
      </c>
      <c r="CN3" s="1">
        <v>39</v>
      </c>
      <c r="CO3" s="1">
        <v>37</v>
      </c>
      <c r="CP3" s="1">
        <v>32</v>
      </c>
      <c r="CQ3" s="1">
        <v>28</v>
      </c>
      <c r="CR3" s="1">
        <v>40</v>
      </c>
      <c r="CS3" s="1">
        <v>32</v>
      </c>
      <c r="CT3" s="1">
        <v>42</v>
      </c>
      <c r="CU3" s="1">
        <v>30</v>
      </c>
      <c r="CV3" s="1">
        <v>33</v>
      </c>
      <c r="CW3" s="1">
        <v>72</v>
      </c>
      <c r="CX3" s="1">
        <v>31</v>
      </c>
      <c r="CY3" s="1">
        <v>44</v>
      </c>
      <c r="CZ3" s="1">
        <v>34</v>
      </c>
      <c r="DA3" s="1"/>
      <c r="DB3" s="1">
        <v>40</v>
      </c>
      <c r="DC3" s="1">
        <v>34</v>
      </c>
      <c r="DD3" s="1">
        <v>51</v>
      </c>
      <c r="DE3" s="1">
        <v>29</v>
      </c>
      <c r="DF3" s="1">
        <v>41</v>
      </c>
      <c r="DG3" s="1">
        <v>42</v>
      </c>
      <c r="DH3" s="1">
        <v>58</v>
      </c>
      <c r="DI3" s="1">
        <v>26</v>
      </c>
      <c r="DJ3" s="1">
        <v>33</v>
      </c>
      <c r="DK3" s="1">
        <v>33</v>
      </c>
      <c r="DL3" s="1">
        <v>35</v>
      </c>
      <c r="DM3" s="1">
        <v>45</v>
      </c>
      <c r="DN3" s="1">
        <v>59</v>
      </c>
      <c r="DO3" s="1">
        <v>27</v>
      </c>
      <c r="DP3" s="1">
        <v>29</v>
      </c>
      <c r="DQ3" s="1">
        <v>38</v>
      </c>
      <c r="DR3" s="1">
        <v>27</v>
      </c>
      <c r="DS3" s="1">
        <v>42</v>
      </c>
      <c r="DT3" s="1">
        <v>47</v>
      </c>
      <c r="DU3" s="1">
        <v>40</v>
      </c>
      <c r="DV3" s="1">
        <v>31</v>
      </c>
      <c r="DW3" s="1">
        <v>39</v>
      </c>
      <c r="DX3" s="1">
        <v>33</v>
      </c>
      <c r="DY3" s="1">
        <v>39</v>
      </c>
      <c r="DZ3" s="1">
        <v>38</v>
      </c>
      <c r="EA3" s="1">
        <v>33</v>
      </c>
      <c r="EB3" s="1">
        <v>29</v>
      </c>
      <c r="EC3" s="1">
        <v>24</v>
      </c>
      <c r="ED3" s="1">
        <v>42</v>
      </c>
      <c r="EE3" s="1">
        <v>69</v>
      </c>
      <c r="EF3" s="1">
        <v>23</v>
      </c>
      <c r="EG3" s="1">
        <v>31</v>
      </c>
      <c r="EH3" s="1">
        <v>37</v>
      </c>
      <c r="EI3" s="1">
        <v>26</v>
      </c>
      <c r="EJ3" s="1">
        <v>37</v>
      </c>
      <c r="EK3" s="1">
        <v>37</v>
      </c>
      <c r="EL3" s="40">
        <v>34</v>
      </c>
      <c r="EM3" s="1">
        <v>29</v>
      </c>
      <c r="EN3" s="1">
        <v>36</v>
      </c>
      <c r="EO3" s="1">
        <v>61</v>
      </c>
      <c r="EP3" s="1">
        <v>33</v>
      </c>
      <c r="EQ3" s="1">
        <v>25</v>
      </c>
      <c r="ER3" s="1"/>
      <c r="ES3" s="1">
        <v>40</v>
      </c>
      <c r="ET3" s="1">
        <v>31</v>
      </c>
      <c r="EU3" s="1">
        <v>44</v>
      </c>
      <c r="EV3" s="1">
        <v>23</v>
      </c>
      <c r="EW3" s="1">
        <v>27</v>
      </c>
      <c r="EX3" s="1">
        <v>46</v>
      </c>
      <c r="EY3" s="1">
        <v>37</v>
      </c>
      <c r="EZ3" s="1">
        <v>29</v>
      </c>
      <c r="FA3" s="1">
        <v>27</v>
      </c>
      <c r="FB3" s="1">
        <v>35</v>
      </c>
      <c r="FC3" s="1">
        <v>54</v>
      </c>
      <c r="FD3" s="1">
        <v>28</v>
      </c>
      <c r="FE3" s="1">
        <v>34</v>
      </c>
      <c r="FF3" s="1">
        <v>49</v>
      </c>
      <c r="FG3" s="1">
        <v>31</v>
      </c>
      <c r="FH3" s="1">
        <v>41</v>
      </c>
    </row>
    <row r="4" spans="1:164" ht="20" customHeight="1" x14ac:dyDescent="0.2">
      <c r="A4" s="2" t="s">
        <v>3</v>
      </c>
      <c r="B4" s="1" t="s">
        <v>46</v>
      </c>
      <c r="C4" s="1" t="s">
        <v>46</v>
      </c>
      <c r="D4" s="1" t="s">
        <v>46</v>
      </c>
      <c r="E4" s="1" t="s">
        <v>46</v>
      </c>
      <c r="F4" s="1" t="s">
        <v>46</v>
      </c>
      <c r="G4" s="1" t="s">
        <v>46</v>
      </c>
      <c r="H4" s="1" t="s">
        <v>46</v>
      </c>
      <c r="I4" s="1" t="s">
        <v>46</v>
      </c>
      <c r="J4" s="1" t="s">
        <v>46</v>
      </c>
      <c r="K4" s="1" t="s">
        <v>46</v>
      </c>
      <c r="L4" s="1" t="s">
        <v>46</v>
      </c>
      <c r="M4" s="1" t="s">
        <v>46</v>
      </c>
      <c r="N4" s="1" t="s">
        <v>46</v>
      </c>
      <c r="O4" s="1" t="s">
        <v>46</v>
      </c>
      <c r="P4" s="1" t="s">
        <v>46</v>
      </c>
      <c r="Q4" s="1" t="s">
        <v>46</v>
      </c>
      <c r="R4" s="1" t="s">
        <v>46</v>
      </c>
      <c r="S4" s="1" t="s">
        <v>46</v>
      </c>
      <c r="T4" s="1" t="s">
        <v>46</v>
      </c>
      <c r="U4" s="1" t="s">
        <v>46</v>
      </c>
      <c r="V4" s="1" t="s">
        <v>46</v>
      </c>
      <c r="W4" s="1" t="s">
        <v>46</v>
      </c>
      <c r="X4" s="1" t="s">
        <v>46</v>
      </c>
      <c r="Y4" s="1" t="s">
        <v>46</v>
      </c>
      <c r="Z4" s="1" t="s">
        <v>46</v>
      </c>
      <c r="AA4" s="1" t="s">
        <v>46</v>
      </c>
      <c r="AB4" s="1" t="s">
        <v>46</v>
      </c>
      <c r="AC4" s="1" t="s">
        <v>46</v>
      </c>
      <c r="AD4" s="1" t="s">
        <v>46</v>
      </c>
      <c r="AE4" s="1" t="s">
        <v>46</v>
      </c>
      <c r="AF4" s="1" t="s">
        <v>46</v>
      </c>
      <c r="AG4" s="1" t="s">
        <v>46</v>
      </c>
      <c r="AH4" s="1" t="s">
        <v>46</v>
      </c>
      <c r="AI4" s="1" t="s">
        <v>46</v>
      </c>
      <c r="AJ4" s="1" t="s">
        <v>46</v>
      </c>
      <c r="AK4" s="1" t="s">
        <v>46</v>
      </c>
      <c r="AL4" s="1" t="s">
        <v>46</v>
      </c>
      <c r="AM4" s="1" t="s">
        <v>46</v>
      </c>
      <c r="AN4" s="1" t="s">
        <v>46</v>
      </c>
      <c r="AO4" s="1" t="s">
        <v>46</v>
      </c>
      <c r="AP4" s="1" t="s">
        <v>46</v>
      </c>
      <c r="AQ4" s="1" t="s">
        <v>46</v>
      </c>
      <c r="AR4" s="1" t="s">
        <v>46</v>
      </c>
      <c r="AS4" s="1" t="s">
        <v>46</v>
      </c>
      <c r="AT4" s="1" t="s">
        <v>46</v>
      </c>
      <c r="AU4" s="1" t="s">
        <v>46</v>
      </c>
      <c r="AV4" s="1" t="s">
        <v>46</v>
      </c>
      <c r="AW4" s="1" t="s">
        <v>46</v>
      </c>
      <c r="AX4" s="1" t="s">
        <v>46</v>
      </c>
      <c r="AY4" s="1" t="s">
        <v>46</v>
      </c>
      <c r="AZ4" s="1" t="s">
        <v>46</v>
      </c>
      <c r="BA4" s="1" t="s">
        <v>46</v>
      </c>
      <c r="BB4" s="1" t="s">
        <v>46</v>
      </c>
      <c r="BC4" s="1" t="s">
        <v>46</v>
      </c>
      <c r="BD4" s="1" t="s">
        <v>46</v>
      </c>
      <c r="BE4" s="1" t="s">
        <v>46</v>
      </c>
      <c r="BF4" s="1" t="s">
        <v>46</v>
      </c>
      <c r="BG4" s="1" t="s">
        <v>46</v>
      </c>
      <c r="BH4" s="1" t="s">
        <v>46</v>
      </c>
      <c r="BI4" s="1" t="s">
        <v>46</v>
      </c>
      <c r="BJ4" s="1" t="s">
        <v>46</v>
      </c>
      <c r="BK4" s="1" t="s">
        <v>46</v>
      </c>
      <c r="BL4" s="1" t="s">
        <v>46</v>
      </c>
      <c r="BM4" s="1" t="s">
        <v>46</v>
      </c>
      <c r="BN4" s="1" t="s">
        <v>46</v>
      </c>
      <c r="BO4" s="1" t="s">
        <v>46</v>
      </c>
      <c r="BP4" s="1" t="s">
        <v>46</v>
      </c>
      <c r="BQ4" s="1" t="s">
        <v>46</v>
      </c>
      <c r="BR4" s="1" t="s">
        <v>46</v>
      </c>
      <c r="BS4" s="1" t="s">
        <v>46</v>
      </c>
      <c r="BT4" s="1" t="s">
        <v>46</v>
      </c>
      <c r="BU4" s="1" t="s">
        <v>46</v>
      </c>
      <c r="BV4" s="1" t="s">
        <v>46</v>
      </c>
      <c r="BW4" s="1" t="s">
        <v>46</v>
      </c>
      <c r="BX4" s="1" t="s">
        <v>46</v>
      </c>
      <c r="BY4" s="1" t="s">
        <v>46</v>
      </c>
      <c r="BZ4" s="1" t="s">
        <v>46</v>
      </c>
      <c r="CA4" s="1" t="s">
        <v>46</v>
      </c>
      <c r="CB4" s="1" t="s">
        <v>46</v>
      </c>
      <c r="CC4" s="1" t="s">
        <v>46</v>
      </c>
      <c r="CD4" s="1" t="s">
        <v>46</v>
      </c>
      <c r="CE4" s="1" t="s">
        <v>46</v>
      </c>
      <c r="CF4" s="1" t="s">
        <v>46</v>
      </c>
      <c r="CG4" s="1" t="s">
        <v>46</v>
      </c>
      <c r="CH4" s="1" t="s">
        <v>46</v>
      </c>
      <c r="CI4" s="1" t="s">
        <v>46</v>
      </c>
      <c r="CJ4" s="1" t="s">
        <v>46</v>
      </c>
      <c r="CK4" s="1" t="s">
        <v>46</v>
      </c>
      <c r="CL4" s="1" t="s">
        <v>46</v>
      </c>
      <c r="CM4" s="1" t="s">
        <v>46</v>
      </c>
      <c r="CN4" s="1" t="s">
        <v>46</v>
      </c>
      <c r="CO4" s="1" t="s">
        <v>46</v>
      </c>
      <c r="CP4" s="1" t="s">
        <v>46</v>
      </c>
      <c r="CQ4" s="1" t="s">
        <v>46</v>
      </c>
      <c r="CR4" s="1" t="s">
        <v>46</v>
      </c>
      <c r="CS4" s="1" t="s">
        <v>46</v>
      </c>
      <c r="CT4" s="1" t="s">
        <v>46</v>
      </c>
      <c r="CU4" s="1" t="s">
        <v>46</v>
      </c>
      <c r="CV4" s="1" t="s">
        <v>46</v>
      </c>
      <c r="CW4" s="1" t="s">
        <v>46</v>
      </c>
      <c r="CX4" s="1" t="s">
        <v>46</v>
      </c>
      <c r="CY4" s="1" t="s">
        <v>46</v>
      </c>
      <c r="CZ4" s="1" t="s">
        <v>46</v>
      </c>
      <c r="DA4" s="1" t="s">
        <v>46</v>
      </c>
      <c r="DB4" s="1" t="s">
        <v>46</v>
      </c>
      <c r="DC4" s="1" t="s">
        <v>46</v>
      </c>
      <c r="DD4" s="1" t="s">
        <v>46</v>
      </c>
      <c r="DE4" s="1" t="s">
        <v>46</v>
      </c>
      <c r="DF4" s="1" t="s">
        <v>46</v>
      </c>
      <c r="DG4" s="1" t="s">
        <v>46</v>
      </c>
      <c r="DH4" s="1" t="s">
        <v>46</v>
      </c>
      <c r="DI4" s="1" t="s">
        <v>46</v>
      </c>
      <c r="DJ4" s="1" t="s">
        <v>46</v>
      </c>
      <c r="DK4" s="1" t="s">
        <v>46</v>
      </c>
      <c r="DL4" s="1" t="s">
        <v>46</v>
      </c>
      <c r="DM4" s="1" t="s">
        <v>46</v>
      </c>
      <c r="DN4" s="1" t="s">
        <v>46</v>
      </c>
      <c r="DO4" s="1" t="s">
        <v>46</v>
      </c>
      <c r="DP4" s="1" t="s">
        <v>46</v>
      </c>
      <c r="DQ4" s="1" t="s">
        <v>46</v>
      </c>
      <c r="DR4" s="1" t="s">
        <v>46</v>
      </c>
      <c r="DS4" s="1" t="s">
        <v>46</v>
      </c>
      <c r="DT4" s="1" t="s">
        <v>46</v>
      </c>
      <c r="DU4" s="1" t="s">
        <v>46</v>
      </c>
      <c r="DV4" s="1" t="s">
        <v>46</v>
      </c>
      <c r="DW4" s="1" t="s">
        <v>46</v>
      </c>
      <c r="DX4" s="1" t="s">
        <v>46</v>
      </c>
      <c r="DY4" s="1" t="s">
        <v>46</v>
      </c>
      <c r="DZ4" s="1" t="s">
        <v>46</v>
      </c>
      <c r="EA4" s="1" t="s">
        <v>46</v>
      </c>
      <c r="EB4" s="1" t="s">
        <v>46</v>
      </c>
      <c r="EC4" s="1" t="s">
        <v>46</v>
      </c>
      <c r="ED4" s="1" t="s">
        <v>46</v>
      </c>
      <c r="EE4" s="1" t="s">
        <v>46</v>
      </c>
      <c r="EF4" s="1" t="s">
        <v>46</v>
      </c>
      <c r="EG4" s="1" t="s">
        <v>46</v>
      </c>
      <c r="EH4" s="1" t="s">
        <v>46</v>
      </c>
      <c r="EI4" s="1" t="s">
        <v>46</v>
      </c>
      <c r="EJ4" s="1" t="s">
        <v>46</v>
      </c>
      <c r="EK4" s="1" t="s">
        <v>46</v>
      </c>
      <c r="EL4" s="40" t="s">
        <v>46</v>
      </c>
      <c r="EM4" s="1" t="s">
        <v>46</v>
      </c>
      <c r="EN4" s="1" t="s">
        <v>46</v>
      </c>
      <c r="EO4" s="1" t="s">
        <v>46</v>
      </c>
      <c r="EP4" s="1" t="s">
        <v>46</v>
      </c>
      <c r="EQ4" s="1" t="s">
        <v>46</v>
      </c>
      <c r="ER4" s="1" t="s">
        <v>46</v>
      </c>
      <c r="ES4" s="1" t="s">
        <v>46</v>
      </c>
      <c r="ET4" s="1" t="s">
        <v>46</v>
      </c>
      <c r="EU4" s="1" t="s">
        <v>46</v>
      </c>
      <c r="EV4" s="1" t="s">
        <v>46</v>
      </c>
      <c r="EW4" s="1" t="s">
        <v>46</v>
      </c>
      <c r="EX4" s="1" t="s">
        <v>46</v>
      </c>
      <c r="EY4" s="1" t="s">
        <v>46</v>
      </c>
      <c r="EZ4" s="1" t="s">
        <v>46</v>
      </c>
      <c r="FA4" s="1" t="s">
        <v>46</v>
      </c>
      <c r="FB4" s="1" t="s">
        <v>46</v>
      </c>
      <c r="FC4" s="1" t="s">
        <v>46</v>
      </c>
      <c r="FD4" s="1" t="s">
        <v>46</v>
      </c>
      <c r="FE4" s="1" t="s">
        <v>46</v>
      </c>
      <c r="FF4" s="1" t="s">
        <v>46</v>
      </c>
      <c r="FG4" s="1" t="s">
        <v>46</v>
      </c>
      <c r="FH4" s="1" t="s">
        <v>46</v>
      </c>
    </row>
    <row r="5" spans="1:164" ht="20" customHeight="1" x14ac:dyDescent="0.2">
      <c r="A5" s="2" t="s">
        <v>4</v>
      </c>
      <c r="B5" s="1" t="s">
        <v>46</v>
      </c>
      <c r="C5" s="1" t="s">
        <v>46</v>
      </c>
      <c r="D5" s="1" t="s">
        <v>46</v>
      </c>
      <c r="E5" s="1" t="s">
        <v>46</v>
      </c>
      <c r="F5" s="1" t="s">
        <v>46</v>
      </c>
      <c r="G5" s="1" t="s">
        <v>46</v>
      </c>
      <c r="H5" s="1" t="s">
        <v>46</v>
      </c>
      <c r="I5" s="1" t="s">
        <v>46</v>
      </c>
      <c r="J5" s="1" t="s">
        <v>46</v>
      </c>
      <c r="K5" s="1" t="s">
        <v>46</v>
      </c>
      <c r="L5" s="1" t="s">
        <v>46</v>
      </c>
      <c r="M5" s="1" t="s">
        <v>46</v>
      </c>
      <c r="N5" s="1" t="s">
        <v>46</v>
      </c>
      <c r="O5" s="1" t="s">
        <v>46</v>
      </c>
      <c r="P5" s="1" t="s">
        <v>46</v>
      </c>
      <c r="Q5" s="1" t="s">
        <v>46</v>
      </c>
      <c r="R5" s="1" t="s">
        <v>46</v>
      </c>
      <c r="S5" s="1" t="s">
        <v>46</v>
      </c>
      <c r="T5" s="1" t="s">
        <v>46</v>
      </c>
      <c r="U5" s="1" t="s">
        <v>46</v>
      </c>
      <c r="V5" s="1" t="s">
        <v>46</v>
      </c>
      <c r="W5" s="1" t="s">
        <v>46</v>
      </c>
      <c r="X5" s="1" t="s">
        <v>46</v>
      </c>
      <c r="Y5" s="1" t="s">
        <v>46</v>
      </c>
      <c r="Z5" s="1" t="s">
        <v>47</v>
      </c>
      <c r="AA5" s="1" t="s">
        <v>46</v>
      </c>
      <c r="AB5" s="1" t="s">
        <v>46</v>
      </c>
      <c r="AC5" s="1" t="s">
        <v>46</v>
      </c>
      <c r="AD5" s="1" t="s">
        <v>46</v>
      </c>
      <c r="AE5" s="1" t="s">
        <v>46</v>
      </c>
      <c r="AF5" s="1" t="s">
        <v>46</v>
      </c>
      <c r="AG5" s="1" t="s">
        <v>46</v>
      </c>
      <c r="AH5" s="1" t="s">
        <v>46</v>
      </c>
      <c r="AI5" s="1" t="s">
        <v>46</v>
      </c>
      <c r="AJ5" s="1" t="s">
        <v>46</v>
      </c>
      <c r="AK5" s="1" t="s">
        <v>46</v>
      </c>
      <c r="AL5" s="1" t="s">
        <v>46</v>
      </c>
      <c r="AM5" s="1" t="s">
        <v>46</v>
      </c>
      <c r="AN5" s="1" t="s">
        <v>46</v>
      </c>
      <c r="AO5" s="1" t="s">
        <v>46</v>
      </c>
      <c r="AP5" s="1" t="s">
        <v>46</v>
      </c>
      <c r="AQ5" s="1" t="s">
        <v>46</v>
      </c>
      <c r="AR5" s="1" t="s">
        <v>46</v>
      </c>
      <c r="AS5" s="1" t="s">
        <v>46</v>
      </c>
      <c r="AT5" s="1" t="s">
        <v>46</v>
      </c>
      <c r="AU5" s="1" t="s">
        <v>46</v>
      </c>
      <c r="AV5" s="1" t="s">
        <v>46</v>
      </c>
      <c r="AW5" s="1" t="s">
        <v>46</v>
      </c>
      <c r="AX5" s="1" t="s">
        <v>46</v>
      </c>
      <c r="AY5" s="1" t="s">
        <v>46</v>
      </c>
      <c r="AZ5" s="1" t="s">
        <v>46</v>
      </c>
      <c r="BA5" s="1" t="s">
        <v>46</v>
      </c>
      <c r="BB5" s="1" t="s">
        <v>46</v>
      </c>
      <c r="BC5" s="1" t="s">
        <v>46</v>
      </c>
      <c r="BD5" s="1" t="s">
        <v>46</v>
      </c>
      <c r="BE5" s="1" t="s">
        <v>46</v>
      </c>
      <c r="BF5" s="1" t="s">
        <v>46</v>
      </c>
      <c r="BG5" s="1" t="s">
        <v>46</v>
      </c>
      <c r="BH5" s="1" t="s">
        <v>46</v>
      </c>
      <c r="BI5" s="1" t="s">
        <v>46</v>
      </c>
      <c r="BJ5" s="1" t="s">
        <v>46</v>
      </c>
      <c r="BK5" s="1" t="s">
        <v>46</v>
      </c>
      <c r="BL5" s="1" t="s">
        <v>46</v>
      </c>
      <c r="BM5" s="1" t="s">
        <v>46</v>
      </c>
      <c r="BN5" s="1" t="s">
        <v>46</v>
      </c>
      <c r="BO5" s="1" t="s">
        <v>46</v>
      </c>
      <c r="BP5" s="1" t="s">
        <v>46</v>
      </c>
      <c r="BQ5" s="1" t="s">
        <v>46</v>
      </c>
      <c r="BR5" s="1" t="s">
        <v>46</v>
      </c>
      <c r="BS5" s="1" t="s">
        <v>46</v>
      </c>
      <c r="BT5" s="1" t="s">
        <v>46</v>
      </c>
      <c r="BU5" s="1" t="s">
        <v>46</v>
      </c>
      <c r="BV5" s="1" t="s">
        <v>46</v>
      </c>
      <c r="BW5" s="1" t="s">
        <v>46</v>
      </c>
      <c r="BX5" s="1" t="s">
        <v>46</v>
      </c>
      <c r="BY5" s="1" t="s">
        <v>46</v>
      </c>
      <c r="BZ5" s="1" t="s">
        <v>46</v>
      </c>
      <c r="CA5" s="1" t="s">
        <v>46</v>
      </c>
      <c r="CB5" s="1" t="s">
        <v>46</v>
      </c>
      <c r="CC5" s="1" t="s">
        <v>46</v>
      </c>
      <c r="CD5" s="1" t="s">
        <v>46</v>
      </c>
      <c r="CE5" s="1" t="s">
        <v>46</v>
      </c>
      <c r="CF5" s="1" t="s">
        <v>46</v>
      </c>
      <c r="CG5" s="1" t="s">
        <v>46</v>
      </c>
      <c r="CH5" s="1" t="s">
        <v>46</v>
      </c>
      <c r="CI5" s="1" t="s">
        <v>46</v>
      </c>
      <c r="CJ5" s="1" t="s">
        <v>46</v>
      </c>
      <c r="CK5" s="1" t="s">
        <v>46</v>
      </c>
      <c r="CL5" s="1" t="s">
        <v>46</v>
      </c>
      <c r="CM5" s="1" t="s">
        <v>46</v>
      </c>
      <c r="CN5" s="1" t="s">
        <v>46</v>
      </c>
      <c r="CO5" s="1" t="s">
        <v>46</v>
      </c>
      <c r="CP5" s="1" t="s">
        <v>46</v>
      </c>
      <c r="CQ5" s="1" t="s">
        <v>46</v>
      </c>
      <c r="CR5" s="1" t="s">
        <v>46</v>
      </c>
      <c r="CS5" s="1" t="s">
        <v>46</v>
      </c>
      <c r="CT5" s="1" t="s">
        <v>46</v>
      </c>
      <c r="CU5" s="1" t="s">
        <v>46</v>
      </c>
      <c r="CV5" s="1" t="s">
        <v>46</v>
      </c>
      <c r="CW5" s="1" t="s">
        <v>46</v>
      </c>
      <c r="CX5" s="1" t="s">
        <v>47</v>
      </c>
      <c r="CY5" s="1" t="s">
        <v>46</v>
      </c>
      <c r="CZ5" s="1" t="s">
        <v>46</v>
      </c>
      <c r="DA5" s="1" t="s">
        <v>46</v>
      </c>
      <c r="DB5" s="1" t="s">
        <v>46</v>
      </c>
      <c r="DC5" s="1" t="s">
        <v>46</v>
      </c>
      <c r="DD5" s="1" t="s">
        <v>46</v>
      </c>
      <c r="DE5" s="1" t="s">
        <v>46</v>
      </c>
      <c r="DF5" s="1" t="s">
        <v>46</v>
      </c>
      <c r="DG5" s="1" t="s">
        <v>46</v>
      </c>
      <c r="DH5" s="1" t="s">
        <v>46</v>
      </c>
      <c r="DI5" s="1" t="s">
        <v>46</v>
      </c>
      <c r="DJ5" s="1" t="s">
        <v>46</v>
      </c>
      <c r="DK5" s="1" t="s">
        <v>46</v>
      </c>
      <c r="DL5" s="1" t="s">
        <v>46</v>
      </c>
      <c r="DM5" s="1" t="s">
        <v>46</v>
      </c>
      <c r="DN5" s="1" t="s">
        <v>46</v>
      </c>
      <c r="DO5" s="1" t="s">
        <v>46</v>
      </c>
      <c r="DP5" s="1" t="s">
        <v>46</v>
      </c>
      <c r="DQ5" s="1" t="s">
        <v>46</v>
      </c>
      <c r="DR5" s="1" t="s">
        <v>46</v>
      </c>
      <c r="DS5" s="1" t="s">
        <v>46</v>
      </c>
      <c r="DT5" s="1" t="s">
        <v>46</v>
      </c>
      <c r="DU5" s="1" t="s">
        <v>46</v>
      </c>
      <c r="DV5" s="1" t="s">
        <v>46</v>
      </c>
      <c r="DW5" s="1" t="s">
        <v>46</v>
      </c>
      <c r="DX5" s="1" t="s">
        <v>46</v>
      </c>
      <c r="DY5" s="1" t="s">
        <v>46</v>
      </c>
      <c r="DZ5" s="1" t="s">
        <v>46</v>
      </c>
      <c r="EA5" s="1" t="s">
        <v>46</v>
      </c>
      <c r="EB5" s="1" t="s">
        <v>46</v>
      </c>
      <c r="EC5" s="1" t="s">
        <v>46</v>
      </c>
      <c r="ED5" s="1" t="s">
        <v>46</v>
      </c>
      <c r="EE5" s="1" t="s">
        <v>46</v>
      </c>
      <c r="EF5" s="1" t="s">
        <v>46</v>
      </c>
      <c r="EG5" s="1" t="s">
        <v>46</v>
      </c>
      <c r="EH5" s="1" t="s">
        <v>46</v>
      </c>
      <c r="EI5" s="1" t="s">
        <v>46</v>
      </c>
      <c r="EJ5" s="1" t="s">
        <v>46</v>
      </c>
      <c r="EK5" s="1" t="s">
        <v>46</v>
      </c>
      <c r="EL5" s="40" t="s">
        <v>46</v>
      </c>
      <c r="EM5" s="1" t="s">
        <v>46</v>
      </c>
      <c r="EN5" s="1" t="s">
        <v>46</v>
      </c>
      <c r="EO5" s="1" t="s">
        <v>46</v>
      </c>
      <c r="EP5" s="1" t="s">
        <v>46</v>
      </c>
      <c r="EQ5" s="1" t="s">
        <v>46</v>
      </c>
      <c r="ER5" s="1" t="s">
        <v>46</v>
      </c>
      <c r="ES5" s="1" t="s">
        <v>46</v>
      </c>
      <c r="ET5" s="1" t="s">
        <v>46</v>
      </c>
      <c r="EU5" s="1" t="s">
        <v>46</v>
      </c>
      <c r="EV5" s="1" t="s">
        <v>46</v>
      </c>
      <c r="EW5" s="1" t="s">
        <v>46</v>
      </c>
      <c r="EX5" s="1" t="s">
        <v>46</v>
      </c>
      <c r="EY5" s="1" t="s">
        <v>46</v>
      </c>
      <c r="EZ5" s="1" t="s">
        <v>46</v>
      </c>
      <c r="FA5" s="1" t="s">
        <v>46</v>
      </c>
      <c r="FB5" s="1" t="s">
        <v>46</v>
      </c>
      <c r="FC5" s="1" t="s">
        <v>46</v>
      </c>
      <c r="FD5" s="1" t="s">
        <v>46</v>
      </c>
      <c r="FE5" s="1" t="s">
        <v>46</v>
      </c>
      <c r="FF5" s="1" t="s">
        <v>46</v>
      </c>
      <c r="FG5" s="1" t="s">
        <v>46</v>
      </c>
      <c r="FH5" s="1" t="s">
        <v>46</v>
      </c>
    </row>
    <row r="6" spans="1:164" ht="20" customHeight="1" x14ac:dyDescent="0.2">
      <c r="A6" s="2" t="s">
        <v>5</v>
      </c>
      <c r="B6" s="1" t="s">
        <v>46</v>
      </c>
      <c r="C6" s="1" t="s">
        <v>46</v>
      </c>
      <c r="D6" s="1" t="s">
        <v>46</v>
      </c>
      <c r="E6" s="1" t="s">
        <v>46</v>
      </c>
      <c r="F6" s="1" t="s">
        <v>46</v>
      </c>
      <c r="G6" s="1" t="s">
        <v>47</v>
      </c>
      <c r="H6" s="1" t="s">
        <v>46</v>
      </c>
      <c r="I6" s="1" t="s">
        <v>46</v>
      </c>
      <c r="J6" s="1" t="s">
        <v>46</v>
      </c>
      <c r="K6" s="1" t="s">
        <v>46</v>
      </c>
      <c r="L6" s="1" t="s">
        <v>47</v>
      </c>
      <c r="M6" s="1" t="s">
        <v>46</v>
      </c>
      <c r="N6" s="1" t="s">
        <v>46</v>
      </c>
      <c r="O6" s="1" t="s">
        <v>46</v>
      </c>
      <c r="P6" s="1" t="s">
        <v>47</v>
      </c>
      <c r="Q6" s="1" t="s">
        <v>46</v>
      </c>
      <c r="R6" s="1" t="s">
        <v>47</v>
      </c>
      <c r="S6" s="1" t="s">
        <v>46</v>
      </c>
      <c r="T6" s="1" t="s">
        <v>46</v>
      </c>
      <c r="U6" s="1" t="s">
        <v>47</v>
      </c>
      <c r="V6" s="1" t="s">
        <v>46</v>
      </c>
      <c r="W6" s="1" t="s">
        <v>46</v>
      </c>
      <c r="X6" s="1" t="s">
        <v>46</v>
      </c>
      <c r="Y6" s="1" t="s">
        <v>47</v>
      </c>
      <c r="Z6" s="1" t="s">
        <v>46</v>
      </c>
      <c r="AA6" s="1" t="s">
        <v>46</v>
      </c>
      <c r="AB6" s="1" t="s">
        <v>46</v>
      </c>
      <c r="AC6" s="1" t="s">
        <v>46</v>
      </c>
      <c r="AD6" s="1" t="s">
        <v>46</v>
      </c>
      <c r="AE6" s="1" t="s">
        <v>46</v>
      </c>
      <c r="AF6" s="1" t="s">
        <v>46</v>
      </c>
      <c r="AG6" s="1" t="s">
        <v>46</v>
      </c>
      <c r="AH6" s="1" t="s">
        <v>46</v>
      </c>
      <c r="AI6" s="1" t="s">
        <v>46</v>
      </c>
      <c r="AJ6" s="1" t="s">
        <v>46</v>
      </c>
      <c r="AK6" s="1" t="s">
        <v>46</v>
      </c>
      <c r="AL6" s="1" t="s">
        <v>46</v>
      </c>
      <c r="AM6" s="1" t="s">
        <v>46</v>
      </c>
      <c r="AN6" s="1" t="s">
        <v>46</v>
      </c>
      <c r="AO6" s="1" t="s">
        <v>46</v>
      </c>
      <c r="AP6" s="1" t="s">
        <v>46</v>
      </c>
      <c r="AQ6" s="1" t="s">
        <v>47</v>
      </c>
      <c r="AR6" s="1" t="s">
        <v>46</v>
      </c>
      <c r="AS6" s="1" t="s">
        <v>46</v>
      </c>
      <c r="AT6" s="1" t="s">
        <v>46</v>
      </c>
      <c r="AU6" s="1" t="s">
        <v>46</v>
      </c>
      <c r="AV6" s="1" t="s">
        <v>46</v>
      </c>
      <c r="AW6" s="1" t="s">
        <v>47</v>
      </c>
      <c r="AX6" s="1" t="s">
        <v>47</v>
      </c>
      <c r="AY6" s="1" t="s">
        <v>47</v>
      </c>
      <c r="AZ6" s="1" t="s">
        <v>46</v>
      </c>
      <c r="BA6" s="1" t="s">
        <v>46</v>
      </c>
      <c r="BB6" s="1" t="s">
        <v>46</v>
      </c>
      <c r="BC6" s="1" t="s">
        <v>46</v>
      </c>
      <c r="BD6" s="1" t="s">
        <v>46</v>
      </c>
      <c r="BE6" s="1" t="s">
        <v>46</v>
      </c>
      <c r="BF6" s="1" t="s">
        <v>46</v>
      </c>
      <c r="BG6" s="1" t="s">
        <v>46</v>
      </c>
      <c r="BH6" s="1" t="s">
        <v>46</v>
      </c>
      <c r="BI6" s="1" t="s">
        <v>46</v>
      </c>
      <c r="BJ6" s="1" t="s">
        <v>47</v>
      </c>
      <c r="BK6" s="1" t="s">
        <v>47</v>
      </c>
      <c r="BL6" s="1" t="s">
        <v>46</v>
      </c>
      <c r="BM6" s="1" t="s">
        <v>46</v>
      </c>
      <c r="BN6" s="1" t="s">
        <v>46</v>
      </c>
      <c r="BO6" s="1" t="s">
        <v>46</v>
      </c>
      <c r="BP6" s="1" t="s">
        <v>46</v>
      </c>
      <c r="BQ6" s="1" t="s">
        <v>46</v>
      </c>
      <c r="BR6" s="1" t="s">
        <v>46</v>
      </c>
      <c r="BS6" s="1" t="s">
        <v>46</v>
      </c>
      <c r="BT6" s="1" t="s">
        <v>46</v>
      </c>
      <c r="BU6" s="1" t="s">
        <v>47</v>
      </c>
      <c r="BV6" s="1" t="s">
        <v>46</v>
      </c>
      <c r="BW6" s="1" t="s">
        <v>47</v>
      </c>
      <c r="BX6" s="1" t="s">
        <v>46</v>
      </c>
      <c r="BY6" s="1" t="s">
        <v>46</v>
      </c>
      <c r="BZ6" s="1" t="s">
        <v>46</v>
      </c>
      <c r="CA6" s="1" t="s">
        <v>47</v>
      </c>
      <c r="CB6" s="1" t="s">
        <v>46</v>
      </c>
      <c r="CC6" s="1" t="s">
        <v>46</v>
      </c>
      <c r="CD6" s="1" t="s">
        <v>46</v>
      </c>
      <c r="CE6" s="1" t="s">
        <v>46</v>
      </c>
      <c r="CF6" s="1" t="s">
        <v>47</v>
      </c>
      <c r="CG6" s="1" t="s">
        <v>47</v>
      </c>
      <c r="CH6" s="1" t="s">
        <v>47</v>
      </c>
      <c r="CI6" s="1" t="s">
        <v>47</v>
      </c>
      <c r="CJ6" s="1" t="s">
        <v>47</v>
      </c>
      <c r="CK6" s="1" t="s">
        <v>46</v>
      </c>
      <c r="CL6" s="1" t="s">
        <v>46</v>
      </c>
      <c r="CM6" s="1" t="s">
        <v>46</v>
      </c>
      <c r="CN6" s="1" t="s">
        <v>46</v>
      </c>
      <c r="CO6" s="1" t="s">
        <v>46</v>
      </c>
      <c r="CP6" s="1" t="s">
        <v>46</v>
      </c>
      <c r="CQ6" s="1" t="s">
        <v>47</v>
      </c>
      <c r="CR6" s="1" t="s">
        <v>46</v>
      </c>
      <c r="CS6" s="1" t="s">
        <v>46</v>
      </c>
      <c r="CT6" s="1" t="s">
        <v>46</v>
      </c>
      <c r="CU6" s="1" t="s">
        <v>46</v>
      </c>
      <c r="CV6" s="1" t="s">
        <v>46</v>
      </c>
      <c r="CW6" s="1" t="s">
        <v>46</v>
      </c>
      <c r="CX6" s="1" t="s">
        <v>46</v>
      </c>
      <c r="CY6" s="1" t="s">
        <v>46</v>
      </c>
      <c r="CZ6" s="1" t="s">
        <v>47</v>
      </c>
      <c r="DA6" s="1" t="s">
        <v>46</v>
      </c>
      <c r="DB6" s="1" t="s">
        <v>46</v>
      </c>
      <c r="DC6" s="1" t="s">
        <v>47</v>
      </c>
      <c r="DD6" s="1" t="s">
        <v>46</v>
      </c>
      <c r="DE6" s="1" t="s">
        <v>47</v>
      </c>
      <c r="DF6" s="1" t="s">
        <v>46</v>
      </c>
      <c r="DG6" s="1" t="s">
        <v>46</v>
      </c>
      <c r="DH6" s="1" t="s">
        <v>46</v>
      </c>
      <c r="DI6" s="1" t="s">
        <v>47</v>
      </c>
      <c r="DJ6" s="1" t="s">
        <v>46</v>
      </c>
      <c r="DK6" s="1" t="s">
        <v>46</v>
      </c>
      <c r="DL6" s="1" t="s">
        <v>46</v>
      </c>
      <c r="DM6" s="1" t="s">
        <v>46</v>
      </c>
      <c r="DN6" s="1" t="s">
        <v>46</v>
      </c>
      <c r="DO6" s="1" t="s">
        <v>47</v>
      </c>
      <c r="DP6" s="1" t="s">
        <v>46</v>
      </c>
      <c r="DQ6" s="1" t="s">
        <v>46</v>
      </c>
      <c r="DR6" s="1" t="s">
        <v>47</v>
      </c>
      <c r="DS6" s="1" t="s">
        <v>46</v>
      </c>
      <c r="DT6" s="1" t="s">
        <v>46</v>
      </c>
      <c r="DU6" s="1" t="s">
        <v>46</v>
      </c>
      <c r="DV6" s="1" t="s">
        <v>46</v>
      </c>
      <c r="DW6" s="1" t="s">
        <v>46</v>
      </c>
      <c r="DX6" s="1" t="s">
        <v>47</v>
      </c>
      <c r="DY6" s="1" t="s">
        <v>46</v>
      </c>
      <c r="DZ6" s="1" t="s">
        <v>46</v>
      </c>
      <c r="EA6" s="1" t="s">
        <v>46</v>
      </c>
      <c r="EB6" s="1" t="s">
        <v>46</v>
      </c>
      <c r="EC6" s="1" t="s">
        <v>47</v>
      </c>
      <c r="ED6" s="1" t="s">
        <v>46</v>
      </c>
      <c r="EE6" s="1" t="s">
        <v>46</v>
      </c>
      <c r="EF6" s="1" t="s">
        <v>47</v>
      </c>
      <c r="EG6" s="1" t="s">
        <v>46</v>
      </c>
      <c r="EH6" s="1" t="s">
        <v>46</v>
      </c>
      <c r="EI6" s="1" t="s">
        <v>47</v>
      </c>
      <c r="EJ6" s="1" t="s">
        <v>47</v>
      </c>
      <c r="EK6" s="1" t="s">
        <v>46</v>
      </c>
      <c r="EL6" s="40" t="s">
        <v>46</v>
      </c>
      <c r="EM6" s="1" t="s">
        <v>47</v>
      </c>
      <c r="EN6" s="1" t="s">
        <v>46</v>
      </c>
      <c r="EO6" s="1" t="s">
        <v>46</v>
      </c>
      <c r="EP6" s="1" t="s">
        <v>46</v>
      </c>
      <c r="EQ6" s="1" t="s">
        <v>47</v>
      </c>
      <c r="ER6" s="1" t="s">
        <v>46</v>
      </c>
      <c r="ES6" s="1" t="s">
        <v>47</v>
      </c>
      <c r="ET6" s="1" t="s">
        <v>46</v>
      </c>
      <c r="EU6" s="1" t="s">
        <v>46</v>
      </c>
      <c r="EV6" s="1" t="s">
        <v>47</v>
      </c>
      <c r="EW6" s="1" t="s">
        <v>47</v>
      </c>
      <c r="EX6" s="1" t="s">
        <v>46</v>
      </c>
      <c r="EY6" s="1" t="s">
        <v>46</v>
      </c>
      <c r="EZ6" s="1" t="s">
        <v>47</v>
      </c>
      <c r="FA6" s="1" t="s">
        <v>47</v>
      </c>
      <c r="FB6" s="1" t="s">
        <v>46</v>
      </c>
      <c r="FC6" s="1" t="s">
        <v>47</v>
      </c>
      <c r="FD6" s="1" t="s">
        <v>46</v>
      </c>
      <c r="FE6" s="1" t="s">
        <v>46</v>
      </c>
      <c r="FF6" s="1" t="s">
        <v>46</v>
      </c>
      <c r="FG6" s="1" t="s">
        <v>46</v>
      </c>
      <c r="FH6" s="1" t="s">
        <v>46</v>
      </c>
    </row>
    <row r="7" spans="1:164" ht="20" customHeight="1" x14ac:dyDescent="0.2">
      <c r="A7" s="2" t="s">
        <v>6</v>
      </c>
      <c r="B7" s="1" t="s">
        <v>46</v>
      </c>
      <c r="C7" s="1" t="s">
        <v>47</v>
      </c>
      <c r="D7" s="1" t="s">
        <v>46</v>
      </c>
      <c r="E7" s="1" t="s">
        <v>46</v>
      </c>
      <c r="F7" s="1" t="s">
        <v>46</v>
      </c>
      <c r="G7" s="1" t="s">
        <v>46</v>
      </c>
      <c r="H7" s="1" t="s">
        <v>47</v>
      </c>
      <c r="I7" s="1" t="s">
        <v>46</v>
      </c>
      <c r="J7" s="1" t="s">
        <v>46</v>
      </c>
      <c r="K7" s="1" t="s">
        <v>47</v>
      </c>
      <c r="L7" s="1" t="s">
        <v>46</v>
      </c>
      <c r="M7" s="1" t="s">
        <v>46</v>
      </c>
      <c r="N7" s="1" t="s">
        <v>46</v>
      </c>
      <c r="O7" s="1" t="s">
        <v>46</v>
      </c>
      <c r="P7" s="1" t="s">
        <v>46</v>
      </c>
      <c r="Q7" s="1" t="s">
        <v>47</v>
      </c>
      <c r="R7" s="1" t="s">
        <v>46</v>
      </c>
      <c r="S7" s="1" t="s">
        <v>47</v>
      </c>
      <c r="T7" s="1" t="s">
        <v>46</v>
      </c>
      <c r="U7" s="1" t="s">
        <v>46</v>
      </c>
      <c r="V7" s="1" t="s">
        <v>47</v>
      </c>
      <c r="W7" s="1" t="s">
        <v>46</v>
      </c>
      <c r="X7" s="1" t="s">
        <v>46</v>
      </c>
      <c r="Y7" s="1" t="s">
        <v>46</v>
      </c>
      <c r="Z7" s="1" t="s">
        <v>46</v>
      </c>
      <c r="AA7" s="1" t="s">
        <v>46</v>
      </c>
      <c r="AB7" s="1" t="s">
        <v>46</v>
      </c>
      <c r="AC7" s="1" t="s">
        <v>47</v>
      </c>
      <c r="AD7" s="1" t="s">
        <v>46</v>
      </c>
      <c r="AE7" s="1" t="s">
        <v>46</v>
      </c>
      <c r="AF7" s="1" t="s">
        <v>47</v>
      </c>
      <c r="AG7" s="1" t="s">
        <v>47</v>
      </c>
      <c r="AH7" s="1" t="s">
        <v>46</v>
      </c>
      <c r="AI7" s="1" t="s">
        <v>47</v>
      </c>
      <c r="AJ7" s="1" t="s">
        <v>46</v>
      </c>
      <c r="AK7" s="1" t="s">
        <v>46</v>
      </c>
      <c r="AL7" s="1" t="s">
        <v>46</v>
      </c>
      <c r="AM7" s="1" t="s">
        <v>47</v>
      </c>
      <c r="AN7" s="1" t="s">
        <v>46</v>
      </c>
      <c r="AO7" s="1" t="s">
        <v>46</v>
      </c>
      <c r="AP7" s="1" t="s">
        <v>46</v>
      </c>
      <c r="AQ7" s="1" t="s">
        <v>46</v>
      </c>
      <c r="AR7" s="1" t="s">
        <v>46</v>
      </c>
      <c r="AS7" s="1" t="s">
        <v>46</v>
      </c>
      <c r="AT7" s="1" t="s">
        <v>47</v>
      </c>
      <c r="AU7" s="1" t="s">
        <v>47</v>
      </c>
      <c r="AV7" s="1" t="s">
        <v>46</v>
      </c>
      <c r="AW7" s="1" t="s">
        <v>46</v>
      </c>
      <c r="AX7" s="1" t="s">
        <v>46</v>
      </c>
      <c r="AY7" s="1" t="s">
        <v>46</v>
      </c>
      <c r="AZ7" s="1" t="s">
        <v>47</v>
      </c>
      <c r="BA7" s="1" t="s">
        <v>46</v>
      </c>
      <c r="BB7" s="1" t="s">
        <v>47</v>
      </c>
      <c r="BC7" s="1" t="s">
        <v>47</v>
      </c>
      <c r="BD7" s="1" t="s">
        <v>47</v>
      </c>
      <c r="BE7" s="1" t="s">
        <v>47</v>
      </c>
      <c r="BF7" s="1" t="s">
        <v>46</v>
      </c>
      <c r="BG7" s="1" t="s">
        <v>46</v>
      </c>
      <c r="BH7" s="1" t="s">
        <v>46</v>
      </c>
      <c r="BI7" s="1" t="s">
        <v>46</v>
      </c>
      <c r="BJ7" s="1" t="s">
        <v>46</v>
      </c>
      <c r="BK7" s="1" t="s">
        <v>46</v>
      </c>
      <c r="BL7" s="1" t="s">
        <v>46</v>
      </c>
      <c r="BM7" s="1" t="s">
        <v>46</v>
      </c>
      <c r="BN7" s="1" t="s">
        <v>47</v>
      </c>
      <c r="BO7" s="1" t="s">
        <v>46</v>
      </c>
      <c r="BP7" s="1" t="s">
        <v>47</v>
      </c>
      <c r="BQ7" s="1" t="s">
        <v>47</v>
      </c>
      <c r="BR7" s="1" t="s">
        <v>47</v>
      </c>
      <c r="BS7" s="1" t="s">
        <v>46</v>
      </c>
      <c r="BT7" s="1" t="s">
        <v>46</v>
      </c>
      <c r="BU7" s="1" t="s">
        <v>46</v>
      </c>
      <c r="BV7" s="1" t="s">
        <v>46</v>
      </c>
      <c r="BW7" s="1" t="s">
        <v>46</v>
      </c>
      <c r="BX7" s="1" t="s">
        <v>46</v>
      </c>
      <c r="BY7" s="1" t="s">
        <v>46</v>
      </c>
      <c r="BZ7" s="1" t="s">
        <v>46</v>
      </c>
      <c r="CA7" s="1" t="s">
        <v>46</v>
      </c>
      <c r="CB7" s="1" t="s">
        <v>46</v>
      </c>
      <c r="CC7" s="1" t="s">
        <v>46</v>
      </c>
      <c r="CD7" s="1" t="s">
        <v>47</v>
      </c>
      <c r="CE7" s="1" t="s">
        <v>47</v>
      </c>
      <c r="CF7" s="1" t="s">
        <v>46</v>
      </c>
      <c r="CG7" s="1" t="s">
        <v>46</v>
      </c>
      <c r="CH7" s="1" t="s">
        <v>46</v>
      </c>
      <c r="CI7" s="1" t="s">
        <v>46</v>
      </c>
      <c r="CJ7" s="1" t="s">
        <v>46</v>
      </c>
      <c r="CK7" s="1" t="s">
        <v>46</v>
      </c>
      <c r="CL7" s="1" t="s">
        <v>47</v>
      </c>
      <c r="CM7" s="1" t="s">
        <v>46</v>
      </c>
      <c r="CN7" s="1" t="s">
        <v>46</v>
      </c>
      <c r="CO7" s="1" t="s">
        <v>46</v>
      </c>
      <c r="CP7" s="1" t="s">
        <v>47</v>
      </c>
      <c r="CQ7" s="1" t="s">
        <v>46</v>
      </c>
      <c r="CR7" s="1" t="s">
        <v>46</v>
      </c>
      <c r="CS7" s="1" t="s">
        <v>47</v>
      </c>
      <c r="CT7" s="1" t="s">
        <v>46</v>
      </c>
      <c r="CU7" s="1" t="s">
        <v>47</v>
      </c>
      <c r="CV7" s="1" t="s">
        <v>46</v>
      </c>
      <c r="CW7" s="1" t="s">
        <v>46</v>
      </c>
      <c r="CX7" s="1" t="s">
        <v>46</v>
      </c>
      <c r="CY7" s="1" t="s">
        <v>46</v>
      </c>
      <c r="CZ7" s="1" t="s">
        <v>46</v>
      </c>
      <c r="DA7" s="1" t="s">
        <v>46</v>
      </c>
      <c r="DB7" s="1" t="s">
        <v>46</v>
      </c>
      <c r="DC7" s="1" t="s">
        <v>46</v>
      </c>
      <c r="DD7" s="1" t="s">
        <v>46</v>
      </c>
      <c r="DE7" s="1" t="s">
        <v>46</v>
      </c>
      <c r="DF7" s="1" t="s">
        <v>46</v>
      </c>
      <c r="DG7" s="1" t="s">
        <v>47</v>
      </c>
      <c r="DH7" s="1" t="s">
        <v>46</v>
      </c>
      <c r="DI7" s="1" t="s">
        <v>46</v>
      </c>
      <c r="DJ7" s="1" t="s">
        <v>47</v>
      </c>
      <c r="DK7" s="1" t="s">
        <v>47</v>
      </c>
      <c r="DL7" s="1" t="s">
        <v>46</v>
      </c>
      <c r="DM7" s="1" t="s">
        <v>46</v>
      </c>
      <c r="DN7" s="1" t="s">
        <v>46</v>
      </c>
      <c r="DO7" s="1" t="s">
        <v>46</v>
      </c>
      <c r="DP7" s="1" t="s">
        <v>47</v>
      </c>
      <c r="DQ7" s="1" t="s">
        <v>47</v>
      </c>
      <c r="DR7" s="1" t="s">
        <v>46</v>
      </c>
      <c r="DS7" s="1" t="s">
        <v>46</v>
      </c>
      <c r="DT7" s="1" t="s">
        <v>46</v>
      </c>
      <c r="DU7" s="1" t="s">
        <v>46</v>
      </c>
      <c r="DV7" s="1" t="s">
        <v>47</v>
      </c>
      <c r="DW7" s="1" t="s">
        <v>46</v>
      </c>
      <c r="DX7" s="1" t="s">
        <v>46</v>
      </c>
      <c r="DY7" s="1" t="s">
        <v>46</v>
      </c>
      <c r="DZ7" s="1" t="s">
        <v>46</v>
      </c>
      <c r="EA7" s="1" t="s">
        <v>47</v>
      </c>
      <c r="EB7" s="1" t="s">
        <v>46</v>
      </c>
      <c r="EC7" s="1" t="s">
        <v>46</v>
      </c>
      <c r="ED7" s="1" t="s">
        <v>46</v>
      </c>
      <c r="EE7" s="1" t="s">
        <v>46</v>
      </c>
      <c r="EF7" s="1" t="s">
        <v>46</v>
      </c>
      <c r="EG7" s="1" t="s">
        <v>47</v>
      </c>
      <c r="EH7" s="1" t="s">
        <v>47</v>
      </c>
      <c r="EI7" s="1" t="s">
        <v>46</v>
      </c>
      <c r="EJ7" s="1" t="s">
        <v>46</v>
      </c>
      <c r="EK7" s="1" t="s">
        <v>47</v>
      </c>
      <c r="EL7" s="40" t="s">
        <v>46</v>
      </c>
      <c r="EM7" s="1" t="s">
        <v>46</v>
      </c>
      <c r="EN7" s="1" t="s">
        <v>46</v>
      </c>
      <c r="EO7" s="1" t="s">
        <v>46</v>
      </c>
      <c r="EP7" s="1" t="s">
        <v>46</v>
      </c>
      <c r="EQ7" s="1" t="s">
        <v>46</v>
      </c>
      <c r="ER7" s="1" t="s">
        <v>46</v>
      </c>
      <c r="ES7" s="1" t="s">
        <v>46</v>
      </c>
      <c r="ET7" s="1" t="s">
        <v>47</v>
      </c>
      <c r="EU7" s="1" t="s">
        <v>46</v>
      </c>
      <c r="EV7" s="1" t="s">
        <v>46</v>
      </c>
      <c r="EW7" s="1" t="s">
        <v>46</v>
      </c>
      <c r="EX7" s="1" t="s">
        <v>46</v>
      </c>
      <c r="EY7" s="1" t="s">
        <v>46</v>
      </c>
      <c r="EZ7" s="1" t="s">
        <v>46</v>
      </c>
      <c r="FA7" s="1" t="s">
        <v>46</v>
      </c>
      <c r="FB7" s="1" t="s">
        <v>47</v>
      </c>
      <c r="FC7" s="1" t="s">
        <v>46</v>
      </c>
      <c r="FD7" s="1" t="s">
        <v>47</v>
      </c>
      <c r="FE7" s="1" t="s">
        <v>47</v>
      </c>
      <c r="FF7" s="1" t="s">
        <v>46</v>
      </c>
      <c r="FG7" s="1" t="s">
        <v>47</v>
      </c>
      <c r="FH7" s="1" t="s">
        <v>46</v>
      </c>
    </row>
    <row r="8" spans="1:164" ht="20" customHeight="1" x14ac:dyDescent="0.2">
      <c r="A8" s="2" t="s">
        <v>7</v>
      </c>
      <c r="B8" s="1" t="s">
        <v>47</v>
      </c>
      <c r="C8" s="1" t="s">
        <v>46</v>
      </c>
      <c r="D8" s="1" t="s">
        <v>46</v>
      </c>
      <c r="E8" s="1" t="s">
        <v>47</v>
      </c>
      <c r="F8" s="1" t="s">
        <v>47</v>
      </c>
      <c r="G8" s="1" t="s">
        <v>46</v>
      </c>
      <c r="H8" s="1" t="s">
        <v>46</v>
      </c>
      <c r="I8" s="1" t="s">
        <v>46</v>
      </c>
      <c r="J8" s="1" t="s">
        <v>47</v>
      </c>
      <c r="K8" s="1" t="s">
        <v>46</v>
      </c>
      <c r="L8" s="1" t="s">
        <v>46</v>
      </c>
      <c r="M8" s="1" t="s">
        <v>47</v>
      </c>
      <c r="N8" s="1" t="s">
        <v>46</v>
      </c>
      <c r="O8" s="1" t="s">
        <v>47</v>
      </c>
      <c r="P8" s="1" t="s">
        <v>46</v>
      </c>
      <c r="Q8" s="1" t="s">
        <v>46</v>
      </c>
      <c r="R8" s="1" t="s">
        <v>46</v>
      </c>
      <c r="S8" s="1" t="s">
        <v>46</v>
      </c>
      <c r="T8" s="1" t="s">
        <v>46</v>
      </c>
      <c r="U8" s="1" t="s">
        <v>46</v>
      </c>
      <c r="V8" s="1" t="s">
        <v>46</v>
      </c>
      <c r="W8" s="1" t="s">
        <v>46</v>
      </c>
      <c r="X8" s="1" t="s">
        <v>47</v>
      </c>
      <c r="Y8" s="1" t="s">
        <v>46</v>
      </c>
      <c r="Z8" s="1" t="s">
        <v>46</v>
      </c>
      <c r="AA8" s="1" t="s">
        <v>47</v>
      </c>
      <c r="AB8" s="1" t="s">
        <v>46</v>
      </c>
      <c r="AC8" s="1" t="s">
        <v>46</v>
      </c>
      <c r="AD8" s="1" t="s">
        <v>46</v>
      </c>
      <c r="AE8" s="1" t="s">
        <v>46</v>
      </c>
      <c r="AF8" s="1" t="s">
        <v>46</v>
      </c>
      <c r="AG8" s="1" t="s">
        <v>46</v>
      </c>
      <c r="AH8" s="1" t="s">
        <v>46</v>
      </c>
      <c r="AI8" s="1" t="s">
        <v>46</v>
      </c>
      <c r="AJ8" s="1" t="s">
        <v>46</v>
      </c>
      <c r="AK8" s="1" t="s">
        <v>46</v>
      </c>
      <c r="AL8" s="1" t="s">
        <v>47</v>
      </c>
      <c r="AM8" s="1" t="s">
        <v>46</v>
      </c>
      <c r="AN8" s="1" t="s">
        <v>47</v>
      </c>
      <c r="AO8" s="1" t="s">
        <v>46</v>
      </c>
      <c r="AP8" s="1" t="s">
        <v>46</v>
      </c>
      <c r="AQ8" s="1" t="s">
        <v>46</v>
      </c>
      <c r="AR8" s="1" t="s">
        <v>46</v>
      </c>
      <c r="AS8" s="1" t="s">
        <v>47</v>
      </c>
      <c r="AT8" s="1" t="s">
        <v>46</v>
      </c>
      <c r="AU8" s="1" t="s">
        <v>46</v>
      </c>
      <c r="AV8" s="1" t="s">
        <v>46</v>
      </c>
      <c r="AW8" s="1" t="s">
        <v>46</v>
      </c>
      <c r="AX8" s="1" t="s">
        <v>46</v>
      </c>
      <c r="AY8" s="1" t="s">
        <v>46</v>
      </c>
      <c r="AZ8" s="1" t="s">
        <v>46</v>
      </c>
      <c r="BA8" s="1" t="s">
        <v>46</v>
      </c>
      <c r="BB8" s="1" t="s">
        <v>46</v>
      </c>
      <c r="BC8" s="1" t="s">
        <v>46</v>
      </c>
      <c r="BD8" s="1" t="s">
        <v>46</v>
      </c>
      <c r="BE8" s="1" t="s">
        <v>46</v>
      </c>
      <c r="BF8" s="1" t="s">
        <v>46</v>
      </c>
      <c r="BG8" s="1" t="s">
        <v>46</v>
      </c>
      <c r="BH8" s="1" t="s">
        <v>47</v>
      </c>
      <c r="BI8" s="1" t="s">
        <v>46</v>
      </c>
      <c r="BJ8" s="1" t="s">
        <v>46</v>
      </c>
      <c r="BK8" s="1" t="s">
        <v>46</v>
      </c>
      <c r="BL8" s="1" t="s">
        <v>47</v>
      </c>
      <c r="BM8" s="1" t="s">
        <v>47</v>
      </c>
      <c r="BN8" s="1" t="s">
        <v>46</v>
      </c>
      <c r="BO8" s="1" t="s">
        <v>46</v>
      </c>
      <c r="BP8" s="1" t="s">
        <v>46</v>
      </c>
      <c r="BQ8" s="1" t="s">
        <v>46</v>
      </c>
      <c r="BR8" s="1" t="s">
        <v>46</v>
      </c>
      <c r="BS8" s="1" t="s">
        <v>47</v>
      </c>
      <c r="BT8" s="1" t="s">
        <v>47</v>
      </c>
      <c r="BU8" s="1" t="s">
        <v>46</v>
      </c>
      <c r="BV8" s="1" t="s">
        <v>47</v>
      </c>
      <c r="BW8" s="1" t="s">
        <v>46</v>
      </c>
      <c r="BX8" s="1" t="s">
        <v>46</v>
      </c>
      <c r="BY8" s="1" t="s">
        <v>46</v>
      </c>
      <c r="BZ8" s="1" t="s">
        <v>47</v>
      </c>
      <c r="CA8" s="1" t="s">
        <v>46</v>
      </c>
      <c r="CB8" s="1" t="s">
        <v>47</v>
      </c>
      <c r="CC8" s="1" t="s">
        <v>47</v>
      </c>
      <c r="CD8" s="1" t="s">
        <v>46</v>
      </c>
      <c r="CE8" s="1" t="s">
        <v>46</v>
      </c>
      <c r="CF8" s="1" t="s">
        <v>46</v>
      </c>
      <c r="CG8" s="1" t="s">
        <v>46</v>
      </c>
      <c r="CH8" s="1" t="s">
        <v>46</v>
      </c>
      <c r="CI8" s="1" t="s">
        <v>46</v>
      </c>
      <c r="CJ8" s="1" t="s">
        <v>46</v>
      </c>
      <c r="CK8" s="1" t="s">
        <v>47</v>
      </c>
      <c r="CL8" s="1" t="s">
        <v>46</v>
      </c>
      <c r="CM8" s="1" t="s">
        <v>47</v>
      </c>
      <c r="CN8" s="1" t="s">
        <v>47</v>
      </c>
      <c r="CO8" s="1" t="s">
        <v>47</v>
      </c>
      <c r="CP8" s="1" t="s">
        <v>46</v>
      </c>
      <c r="CQ8" s="1" t="s">
        <v>46</v>
      </c>
      <c r="CR8" s="1" t="s">
        <v>47</v>
      </c>
      <c r="CS8" s="1" t="s">
        <v>46</v>
      </c>
      <c r="CT8" s="1" t="s">
        <v>46</v>
      </c>
      <c r="CU8" s="1" t="s">
        <v>46</v>
      </c>
      <c r="CV8" s="1" t="s">
        <v>47</v>
      </c>
      <c r="CW8" s="1" t="s">
        <v>46</v>
      </c>
      <c r="CX8" s="1" t="s">
        <v>46</v>
      </c>
      <c r="CY8" s="1" t="s">
        <v>47</v>
      </c>
      <c r="CZ8" s="1" t="s">
        <v>46</v>
      </c>
      <c r="DA8" s="1" t="s">
        <v>46</v>
      </c>
      <c r="DB8" s="1" t="s">
        <v>47</v>
      </c>
      <c r="DC8" s="1" t="s">
        <v>46</v>
      </c>
      <c r="DD8" s="1" t="s">
        <v>46</v>
      </c>
      <c r="DE8" s="1" t="s">
        <v>46</v>
      </c>
      <c r="DF8" s="1" t="s">
        <v>47</v>
      </c>
      <c r="DG8" s="1" t="s">
        <v>46</v>
      </c>
      <c r="DH8" s="1" t="s">
        <v>46</v>
      </c>
      <c r="DI8" s="1" t="s">
        <v>46</v>
      </c>
      <c r="DJ8" s="1" t="s">
        <v>46</v>
      </c>
      <c r="DK8" s="1" t="s">
        <v>46</v>
      </c>
      <c r="DL8" s="1" t="s">
        <v>47</v>
      </c>
      <c r="DM8" s="1" t="s">
        <v>47</v>
      </c>
      <c r="DN8" s="1" t="s">
        <v>46</v>
      </c>
      <c r="DO8" s="1" t="s">
        <v>46</v>
      </c>
      <c r="DP8" s="1" t="s">
        <v>46</v>
      </c>
      <c r="DQ8" s="1" t="s">
        <v>46</v>
      </c>
      <c r="DR8" s="1" t="s">
        <v>46</v>
      </c>
      <c r="DS8" s="1" t="s">
        <v>46</v>
      </c>
      <c r="DT8" s="1" t="s">
        <v>46</v>
      </c>
      <c r="DU8" s="1" t="s">
        <v>46</v>
      </c>
      <c r="DV8" s="1" t="s">
        <v>46</v>
      </c>
      <c r="DW8" s="1" t="s">
        <v>46</v>
      </c>
      <c r="DX8" s="1" t="s">
        <v>46</v>
      </c>
      <c r="DY8" s="1" t="s">
        <v>47</v>
      </c>
      <c r="DZ8" s="1" t="s">
        <v>47</v>
      </c>
      <c r="EA8" s="1" t="s">
        <v>46</v>
      </c>
      <c r="EB8" s="1" t="s">
        <v>47</v>
      </c>
      <c r="EC8" s="1" t="s">
        <v>46</v>
      </c>
      <c r="ED8" s="1" t="s">
        <v>47</v>
      </c>
      <c r="EE8" s="1" t="s">
        <v>46</v>
      </c>
      <c r="EF8" s="1" t="s">
        <v>46</v>
      </c>
      <c r="EG8" s="1" t="s">
        <v>46</v>
      </c>
      <c r="EH8" s="1" t="s">
        <v>46</v>
      </c>
      <c r="EI8" s="1" t="s">
        <v>46</v>
      </c>
      <c r="EJ8" s="1" t="s">
        <v>46</v>
      </c>
      <c r="EK8" s="1" t="s">
        <v>46</v>
      </c>
      <c r="EL8" s="40" t="s">
        <v>47</v>
      </c>
      <c r="EM8" s="1" t="s">
        <v>46</v>
      </c>
      <c r="EN8" s="1" t="s">
        <v>46</v>
      </c>
      <c r="EO8" s="1" t="s">
        <v>46</v>
      </c>
      <c r="EP8" s="1" t="s">
        <v>47</v>
      </c>
      <c r="EQ8" s="1" t="s">
        <v>46</v>
      </c>
      <c r="ER8" s="1" t="s">
        <v>47</v>
      </c>
      <c r="ES8" s="1" t="s">
        <v>46</v>
      </c>
      <c r="ET8" s="1" t="s">
        <v>46</v>
      </c>
      <c r="EU8" s="1" t="s">
        <v>47</v>
      </c>
      <c r="EV8" s="1" t="s">
        <v>46</v>
      </c>
      <c r="EW8" s="1" t="s">
        <v>46</v>
      </c>
      <c r="EX8" s="1" t="s">
        <v>46</v>
      </c>
      <c r="EY8" s="1" t="s">
        <v>46</v>
      </c>
      <c r="EZ8" s="1" t="s">
        <v>46</v>
      </c>
      <c r="FA8" s="1" t="s">
        <v>46</v>
      </c>
      <c r="FB8" s="1" t="s">
        <v>46</v>
      </c>
      <c r="FC8" s="1" t="s">
        <v>46</v>
      </c>
      <c r="FD8" s="1" t="s">
        <v>46</v>
      </c>
      <c r="FE8" s="1" t="s">
        <v>46</v>
      </c>
      <c r="FF8" s="1" t="s">
        <v>47</v>
      </c>
      <c r="FG8" s="1" t="s">
        <v>46</v>
      </c>
      <c r="FH8" s="1" t="s">
        <v>46</v>
      </c>
    </row>
    <row r="9" spans="1:164" ht="36.75" customHeight="1" x14ac:dyDescent="0.2">
      <c r="A9" s="2" t="s">
        <v>8</v>
      </c>
      <c r="B9" s="1" t="s">
        <v>46</v>
      </c>
      <c r="C9" s="1" t="s">
        <v>46</v>
      </c>
      <c r="D9" s="1" t="s">
        <v>46</v>
      </c>
      <c r="E9" s="1" t="s">
        <v>46</v>
      </c>
      <c r="F9" s="1" t="s">
        <v>46</v>
      </c>
      <c r="G9" s="1" t="s">
        <v>46</v>
      </c>
      <c r="H9" s="1" t="s">
        <v>46</v>
      </c>
      <c r="I9" s="1" t="s">
        <v>46</v>
      </c>
      <c r="J9" s="1" t="s">
        <v>46</v>
      </c>
      <c r="K9" s="1" t="s">
        <v>46</v>
      </c>
      <c r="L9" s="1" t="s">
        <v>46</v>
      </c>
      <c r="M9" s="1" t="s">
        <v>46</v>
      </c>
      <c r="N9" s="1" t="s">
        <v>46</v>
      </c>
      <c r="O9" s="1" t="s">
        <v>46</v>
      </c>
      <c r="P9" s="1" t="s">
        <v>46</v>
      </c>
      <c r="Q9" s="1" t="s">
        <v>46</v>
      </c>
      <c r="R9" s="1" t="s">
        <v>46</v>
      </c>
      <c r="S9" s="1" t="s">
        <v>46</v>
      </c>
      <c r="T9" s="1" t="s">
        <v>46</v>
      </c>
      <c r="U9" s="1" t="s">
        <v>46</v>
      </c>
      <c r="V9" s="1" t="s">
        <v>46</v>
      </c>
      <c r="W9" s="1" t="s">
        <v>47</v>
      </c>
      <c r="X9" s="1" t="s">
        <v>46</v>
      </c>
      <c r="Y9" s="1" t="s">
        <v>46</v>
      </c>
      <c r="Z9" s="1" t="s">
        <v>46</v>
      </c>
      <c r="AA9" s="1" t="s">
        <v>46</v>
      </c>
      <c r="AB9" s="1" t="s">
        <v>47</v>
      </c>
      <c r="AC9" s="1" t="s">
        <v>46</v>
      </c>
      <c r="AD9" s="1" t="s">
        <v>47</v>
      </c>
      <c r="AE9" s="1" t="s">
        <v>47</v>
      </c>
      <c r="AF9" s="1" t="s">
        <v>46</v>
      </c>
      <c r="AG9" s="1" t="s">
        <v>46</v>
      </c>
      <c r="AH9" s="1" t="s">
        <v>47</v>
      </c>
      <c r="AI9" s="1" t="s">
        <v>46</v>
      </c>
      <c r="AJ9" s="1" t="s">
        <v>47</v>
      </c>
      <c r="AK9" s="1" t="s">
        <v>47</v>
      </c>
      <c r="AL9" s="1" t="s">
        <v>46</v>
      </c>
      <c r="AM9" s="1" t="s">
        <v>46</v>
      </c>
      <c r="AN9" s="1" t="s">
        <v>46</v>
      </c>
      <c r="AO9" s="1" t="s">
        <v>46</v>
      </c>
      <c r="AP9" s="1" t="s">
        <v>46</v>
      </c>
      <c r="AQ9" s="1" t="s">
        <v>46</v>
      </c>
      <c r="AR9" s="1" t="s">
        <v>46</v>
      </c>
      <c r="AS9" s="1" t="s">
        <v>46</v>
      </c>
      <c r="AT9" s="1" t="s">
        <v>46</v>
      </c>
      <c r="AU9" s="1" t="s">
        <v>46</v>
      </c>
      <c r="AV9" s="1" t="s">
        <v>47</v>
      </c>
      <c r="AW9" s="1" t="s">
        <v>46</v>
      </c>
      <c r="AX9" s="1" t="s">
        <v>46</v>
      </c>
      <c r="AY9" s="1" t="s">
        <v>46</v>
      </c>
      <c r="AZ9" s="1" t="s">
        <v>46</v>
      </c>
      <c r="BA9" s="1" t="s">
        <v>46</v>
      </c>
      <c r="BB9" s="1" t="s">
        <v>46</v>
      </c>
      <c r="BC9" s="1" t="s">
        <v>46</v>
      </c>
      <c r="BD9" s="1" t="s">
        <v>46</v>
      </c>
      <c r="BE9" s="1" t="s">
        <v>46</v>
      </c>
      <c r="BF9" s="1" t="s">
        <v>47</v>
      </c>
      <c r="BG9" s="1" t="s">
        <v>47</v>
      </c>
      <c r="BH9" s="1" t="s">
        <v>46</v>
      </c>
      <c r="BI9" s="1" t="s">
        <v>47</v>
      </c>
      <c r="BJ9" s="1" t="s">
        <v>46</v>
      </c>
      <c r="BK9" s="1" t="s">
        <v>46</v>
      </c>
      <c r="BL9" s="1" t="s">
        <v>46</v>
      </c>
      <c r="BM9" s="1" t="s">
        <v>46</v>
      </c>
      <c r="BN9" s="1" t="s">
        <v>46</v>
      </c>
      <c r="BO9" s="1" t="s">
        <v>46</v>
      </c>
      <c r="BP9" s="1" t="s">
        <v>46</v>
      </c>
      <c r="BQ9" s="1" t="s">
        <v>46</v>
      </c>
      <c r="BR9" s="1" t="s">
        <v>46</v>
      </c>
      <c r="BS9" s="1" t="s">
        <v>46</v>
      </c>
      <c r="BT9" s="1" t="s">
        <v>46</v>
      </c>
      <c r="BU9" s="1" t="s">
        <v>46</v>
      </c>
      <c r="BV9" s="1" t="s">
        <v>46</v>
      </c>
      <c r="BW9" s="1" t="s">
        <v>46</v>
      </c>
      <c r="BX9" s="1" t="s">
        <v>47</v>
      </c>
      <c r="BY9" s="1" t="s">
        <v>46</v>
      </c>
      <c r="BZ9" s="1" t="s">
        <v>46</v>
      </c>
      <c r="CA9" s="1" t="s">
        <v>46</v>
      </c>
      <c r="CB9" s="1" t="s">
        <v>46</v>
      </c>
      <c r="CC9" s="1" t="s">
        <v>46</v>
      </c>
      <c r="CD9" s="1" t="s">
        <v>46</v>
      </c>
      <c r="CE9" s="1" t="s">
        <v>46</v>
      </c>
      <c r="CF9" s="1" t="s">
        <v>46</v>
      </c>
      <c r="CG9" s="1" t="s">
        <v>46</v>
      </c>
      <c r="CH9" s="1" t="s">
        <v>46</v>
      </c>
      <c r="CI9" s="1" t="s">
        <v>46</v>
      </c>
      <c r="CJ9" s="1" t="s">
        <v>46</v>
      </c>
      <c r="CK9" s="1" t="s">
        <v>46</v>
      </c>
      <c r="CL9" s="1" t="s">
        <v>46</v>
      </c>
      <c r="CM9" s="1" t="s">
        <v>46</v>
      </c>
      <c r="CN9" s="1" t="s">
        <v>46</v>
      </c>
      <c r="CO9" s="1" t="s">
        <v>46</v>
      </c>
      <c r="CP9" s="1" t="s">
        <v>46</v>
      </c>
      <c r="CQ9" s="1" t="s">
        <v>46</v>
      </c>
      <c r="CR9" s="1" t="s">
        <v>46</v>
      </c>
      <c r="CS9" s="1" t="s">
        <v>46</v>
      </c>
      <c r="CT9" s="1" t="s">
        <v>47</v>
      </c>
      <c r="CU9" s="1" t="s">
        <v>46</v>
      </c>
      <c r="CV9" s="1" t="s">
        <v>46</v>
      </c>
      <c r="CW9" s="1" t="s">
        <v>46</v>
      </c>
      <c r="CX9" s="1" t="s">
        <v>46</v>
      </c>
      <c r="CY9" s="1" t="s">
        <v>46</v>
      </c>
      <c r="CZ9" s="1" t="s">
        <v>46</v>
      </c>
      <c r="DA9" s="1" t="s">
        <v>47</v>
      </c>
      <c r="DB9" s="1" t="s">
        <v>46</v>
      </c>
      <c r="DC9" s="1" t="s">
        <v>46</v>
      </c>
      <c r="DD9" s="1" t="s">
        <v>47</v>
      </c>
      <c r="DE9" s="1" t="s">
        <v>46</v>
      </c>
      <c r="DF9" s="1" t="s">
        <v>46</v>
      </c>
      <c r="DG9" s="1" t="s">
        <v>46</v>
      </c>
      <c r="DH9" s="1" t="s">
        <v>46</v>
      </c>
      <c r="DI9" s="1" t="s">
        <v>46</v>
      </c>
      <c r="DJ9" s="1" t="s">
        <v>46</v>
      </c>
      <c r="DK9" s="1" t="s">
        <v>46</v>
      </c>
      <c r="DL9" s="1" t="s">
        <v>46</v>
      </c>
      <c r="DM9" s="1" t="s">
        <v>46</v>
      </c>
      <c r="DN9" s="1" t="s">
        <v>46</v>
      </c>
      <c r="DO9" s="1" t="s">
        <v>46</v>
      </c>
      <c r="DP9" s="1" t="s">
        <v>46</v>
      </c>
      <c r="DQ9" s="1" t="s">
        <v>46</v>
      </c>
      <c r="DR9" s="1" t="s">
        <v>46</v>
      </c>
      <c r="DS9" s="1" t="s">
        <v>46</v>
      </c>
      <c r="DT9" s="1" t="s">
        <v>46</v>
      </c>
      <c r="DU9" s="1" t="s">
        <v>46</v>
      </c>
      <c r="DV9" s="1" t="s">
        <v>46</v>
      </c>
      <c r="DW9" s="1" t="s">
        <v>47</v>
      </c>
      <c r="DX9" s="1" t="s">
        <v>46</v>
      </c>
      <c r="DY9" s="1" t="s">
        <v>46</v>
      </c>
      <c r="DZ9" s="1" t="s">
        <v>46</v>
      </c>
      <c r="EA9" s="1" t="s">
        <v>46</v>
      </c>
      <c r="EB9" s="1" t="s">
        <v>46</v>
      </c>
      <c r="EC9" s="1" t="s">
        <v>46</v>
      </c>
      <c r="ED9" s="1" t="s">
        <v>46</v>
      </c>
      <c r="EE9" s="1" t="s">
        <v>46</v>
      </c>
      <c r="EF9" s="1" t="s">
        <v>46</v>
      </c>
      <c r="EG9" s="1" t="s">
        <v>46</v>
      </c>
      <c r="EH9" s="1" t="s">
        <v>46</v>
      </c>
      <c r="EI9" s="1" t="s">
        <v>46</v>
      </c>
      <c r="EJ9" s="1" t="s">
        <v>46</v>
      </c>
      <c r="EK9" s="1" t="s">
        <v>46</v>
      </c>
      <c r="EL9" s="40" t="s">
        <v>46</v>
      </c>
      <c r="EM9" s="1" t="s">
        <v>46</v>
      </c>
      <c r="EN9" s="1" t="s">
        <v>47</v>
      </c>
      <c r="EO9" s="1" t="s">
        <v>46</v>
      </c>
      <c r="EP9" s="1" t="s">
        <v>46</v>
      </c>
      <c r="EQ9" s="1" t="s">
        <v>46</v>
      </c>
      <c r="ER9" s="1" t="s">
        <v>46</v>
      </c>
      <c r="ES9" s="1" t="s">
        <v>46</v>
      </c>
      <c r="ET9" s="1" t="s">
        <v>46</v>
      </c>
      <c r="EU9" s="1" t="s">
        <v>46</v>
      </c>
      <c r="EV9" s="1" t="s">
        <v>46</v>
      </c>
      <c r="EW9" s="1" t="s">
        <v>46</v>
      </c>
      <c r="EX9" s="1" t="s">
        <v>46</v>
      </c>
      <c r="EY9" s="1" t="s">
        <v>47</v>
      </c>
      <c r="EZ9" s="1" t="s">
        <v>46</v>
      </c>
      <c r="FA9" s="1" t="s">
        <v>46</v>
      </c>
      <c r="FB9" s="1" t="s">
        <v>46</v>
      </c>
      <c r="FC9" s="1" t="s">
        <v>46</v>
      </c>
      <c r="FD9" s="1" t="s">
        <v>46</v>
      </c>
      <c r="FE9" s="1" t="s">
        <v>46</v>
      </c>
      <c r="FF9" s="1" t="s">
        <v>46</v>
      </c>
      <c r="FG9" s="1" t="s">
        <v>46</v>
      </c>
      <c r="FH9" s="1" t="s">
        <v>46</v>
      </c>
    </row>
    <row r="10" spans="1:164" ht="20" customHeight="1" x14ac:dyDescent="0.2">
      <c r="A10" s="2" t="s">
        <v>9</v>
      </c>
      <c r="B10" s="1" t="s">
        <v>46</v>
      </c>
      <c r="C10" s="1" t="s">
        <v>46</v>
      </c>
      <c r="D10" s="1" t="s">
        <v>47</v>
      </c>
      <c r="E10" s="1" t="s">
        <v>46</v>
      </c>
      <c r="F10" s="1" t="s">
        <v>46</v>
      </c>
      <c r="G10" s="1" t="s">
        <v>46</v>
      </c>
      <c r="H10" s="1" t="s">
        <v>46</v>
      </c>
      <c r="I10" s="1" t="s">
        <v>47</v>
      </c>
      <c r="J10" s="1" t="s">
        <v>46</v>
      </c>
      <c r="K10" s="1" t="s">
        <v>46</v>
      </c>
      <c r="L10" s="1" t="s">
        <v>46</v>
      </c>
      <c r="M10" s="1" t="s">
        <v>46</v>
      </c>
      <c r="N10" s="1" t="s">
        <v>46</v>
      </c>
      <c r="O10" s="1" t="s">
        <v>46</v>
      </c>
      <c r="P10" s="1" t="s">
        <v>46</v>
      </c>
      <c r="Q10" s="1" t="s">
        <v>46</v>
      </c>
      <c r="R10" s="1" t="s">
        <v>46</v>
      </c>
      <c r="S10" s="1" t="s">
        <v>46</v>
      </c>
      <c r="T10" s="1" t="s">
        <v>47</v>
      </c>
      <c r="U10" s="1" t="s">
        <v>46</v>
      </c>
      <c r="V10" s="1" t="s">
        <v>46</v>
      </c>
      <c r="W10" s="1" t="s">
        <v>46</v>
      </c>
      <c r="X10" s="1" t="s">
        <v>46</v>
      </c>
      <c r="Y10" s="1" t="s">
        <v>46</v>
      </c>
      <c r="Z10" s="1" t="s">
        <v>46</v>
      </c>
      <c r="AA10" s="1" t="s">
        <v>46</v>
      </c>
      <c r="AB10" s="1" t="s">
        <v>46</v>
      </c>
      <c r="AC10" s="1" t="s">
        <v>46</v>
      </c>
      <c r="AD10" s="1" t="s">
        <v>46</v>
      </c>
      <c r="AE10" s="1" t="s">
        <v>46</v>
      </c>
      <c r="AF10" s="1" t="s">
        <v>46</v>
      </c>
      <c r="AG10" s="1" t="s">
        <v>46</v>
      </c>
      <c r="AH10" s="1" t="s">
        <v>46</v>
      </c>
      <c r="AI10" s="1" t="s">
        <v>46</v>
      </c>
      <c r="AJ10" s="1" t="s">
        <v>46</v>
      </c>
      <c r="AK10" s="1" t="s">
        <v>46</v>
      </c>
      <c r="AL10" s="1" t="s">
        <v>46</v>
      </c>
      <c r="AM10" s="1" t="s">
        <v>46</v>
      </c>
      <c r="AN10" s="1" t="s">
        <v>46</v>
      </c>
      <c r="AO10" s="1" t="s">
        <v>47</v>
      </c>
      <c r="AP10" s="1" t="s">
        <v>47</v>
      </c>
      <c r="AQ10" s="1" t="s">
        <v>46</v>
      </c>
      <c r="AR10" s="1" t="s">
        <v>47</v>
      </c>
      <c r="AS10" s="1" t="s">
        <v>46</v>
      </c>
      <c r="AT10" s="1" t="s">
        <v>46</v>
      </c>
      <c r="AU10" s="1" t="s">
        <v>46</v>
      </c>
      <c r="AV10" s="1" t="s">
        <v>46</v>
      </c>
      <c r="AW10" s="1" t="s">
        <v>46</v>
      </c>
      <c r="AX10" s="1" t="s">
        <v>46</v>
      </c>
      <c r="AY10" s="1" t="s">
        <v>46</v>
      </c>
      <c r="AZ10" s="1" t="s">
        <v>46</v>
      </c>
      <c r="BA10" s="1" t="s">
        <v>47</v>
      </c>
      <c r="BB10" s="1" t="s">
        <v>46</v>
      </c>
      <c r="BC10" s="1" t="s">
        <v>46</v>
      </c>
      <c r="BD10" s="1" t="s">
        <v>46</v>
      </c>
      <c r="BE10" s="1" t="s">
        <v>46</v>
      </c>
      <c r="BF10" s="1" t="s">
        <v>46</v>
      </c>
      <c r="BG10" s="1" t="s">
        <v>46</v>
      </c>
      <c r="BH10" s="1" t="s">
        <v>46</v>
      </c>
      <c r="BI10" s="1" t="s">
        <v>46</v>
      </c>
      <c r="BJ10" s="1" t="s">
        <v>46</v>
      </c>
      <c r="BK10" s="1" t="s">
        <v>46</v>
      </c>
      <c r="BL10" s="1" t="s">
        <v>46</v>
      </c>
      <c r="BM10" s="1" t="s">
        <v>46</v>
      </c>
      <c r="BN10" s="1" t="s">
        <v>46</v>
      </c>
      <c r="BO10" s="1" t="s">
        <v>47</v>
      </c>
      <c r="BP10" s="1" t="s">
        <v>46</v>
      </c>
      <c r="BQ10" s="1" t="s">
        <v>46</v>
      </c>
      <c r="BR10" s="1" t="s">
        <v>46</v>
      </c>
      <c r="BS10" s="1" t="s">
        <v>46</v>
      </c>
      <c r="BT10" s="1" t="s">
        <v>46</v>
      </c>
      <c r="BU10" s="1" t="s">
        <v>46</v>
      </c>
      <c r="BV10" s="1" t="s">
        <v>46</v>
      </c>
      <c r="BW10" s="1" t="s">
        <v>46</v>
      </c>
      <c r="BX10" s="1" t="s">
        <v>46</v>
      </c>
      <c r="BY10" s="1" t="s">
        <v>47</v>
      </c>
      <c r="BZ10" s="1" t="s">
        <v>46</v>
      </c>
      <c r="CA10" s="1" t="s">
        <v>46</v>
      </c>
      <c r="CB10" s="1" t="s">
        <v>46</v>
      </c>
      <c r="CC10" s="1" t="s">
        <v>46</v>
      </c>
      <c r="CD10" s="1" t="s">
        <v>46</v>
      </c>
      <c r="CE10" s="1" t="s">
        <v>46</v>
      </c>
      <c r="CF10" s="1" t="s">
        <v>46</v>
      </c>
      <c r="CG10" s="1" t="s">
        <v>46</v>
      </c>
      <c r="CH10" s="1" t="s">
        <v>46</v>
      </c>
      <c r="CI10" s="1" t="s">
        <v>46</v>
      </c>
      <c r="CJ10" s="1" t="s">
        <v>46</v>
      </c>
      <c r="CK10" s="1" t="s">
        <v>46</v>
      </c>
      <c r="CL10" s="1" t="s">
        <v>46</v>
      </c>
      <c r="CM10" s="1" t="s">
        <v>46</v>
      </c>
      <c r="CN10" s="1" t="s">
        <v>46</v>
      </c>
      <c r="CO10" s="1" t="s">
        <v>46</v>
      </c>
      <c r="CP10" s="1" t="s">
        <v>46</v>
      </c>
      <c r="CQ10" s="1" t="s">
        <v>46</v>
      </c>
      <c r="CR10" s="1" t="s">
        <v>46</v>
      </c>
      <c r="CS10" s="1" t="s">
        <v>46</v>
      </c>
      <c r="CT10" s="1" t="s">
        <v>46</v>
      </c>
      <c r="CU10" s="1" t="s">
        <v>46</v>
      </c>
      <c r="CV10" s="1" t="s">
        <v>46</v>
      </c>
      <c r="CW10" s="1" t="s">
        <v>47</v>
      </c>
      <c r="CX10" s="1" t="s">
        <v>46</v>
      </c>
      <c r="CY10" s="1" t="s">
        <v>46</v>
      </c>
      <c r="CZ10" s="1" t="s">
        <v>46</v>
      </c>
      <c r="DA10" s="1" t="s">
        <v>46</v>
      </c>
      <c r="DB10" s="1" t="s">
        <v>46</v>
      </c>
      <c r="DC10" s="1" t="s">
        <v>46</v>
      </c>
      <c r="DD10" s="1" t="s">
        <v>46</v>
      </c>
      <c r="DE10" s="1" t="s">
        <v>46</v>
      </c>
      <c r="DF10" s="1" t="s">
        <v>46</v>
      </c>
      <c r="DG10" s="1" t="s">
        <v>46</v>
      </c>
      <c r="DH10" s="1" t="s">
        <v>47</v>
      </c>
      <c r="DI10" s="1" t="s">
        <v>46</v>
      </c>
      <c r="DJ10" s="1" t="s">
        <v>46</v>
      </c>
      <c r="DK10" s="1" t="s">
        <v>46</v>
      </c>
      <c r="DL10" s="1" t="s">
        <v>46</v>
      </c>
      <c r="DM10" s="1" t="s">
        <v>46</v>
      </c>
      <c r="DN10" s="1" t="s">
        <v>46</v>
      </c>
      <c r="DO10" s="1" t="s">
        <v>46</v>
      </c>
      <c r="DP10" s="1" t="s">
        <v>46</v>
      </c>
      <c r="DQ10" s="1" t="s">
        <v>46</v>
      </c>
      <c r="DR10" s="1" t="s">
        <v>46</v>
      </c>
      <c r="DS10" s="1" t="s">
        <v>46</v>
      </c>
      <c r="DT10" s="1" t="s">
        <v>47</v>
      </c>
      <c r="DU10" s="1" t="s">
        <v>47</v>
      </c>
      <c r="DV10" s="1" t="s">
        <v>46</v>
      </c>
      <c r="DW10" s="1" t="s">
        <v>46</v>
      </c>
      <c r="DX10" s="1" t="s">
        <v>46</v>
      </c>
      <c r="DY10" s="1" t="s">
        <v>46</v>
      </c>
      <c r="DZ10" s="1" t="s">
        <v>46</v>
      </c>
      <c r="EA10" s="1" t="s">
        <v>46</v>
      </c>
      <c r="EB10" s="1" t="s">
        <v>46</v>
      </c>
      <c r="EC10" s="1" t="s">
        <v>46</v>
      </c>
      <c r="ED10" s="1" t="s">
        <v>46</v>
      </c>
      <c r="EE10" s="1" t="s">
        <v>46</v>
      </c>
      <c r="EF10" s="1" t="s">
        <v>46</v>
      </c>
      <c r="EG10" s="1" t="s">
        <v>46</v>
      </c>
      <c r="EH10" s="1" t="s">
        <v>46</v>
      </c>
      <c r="EI10" s="1" t="s">
        <v>46</v>
      </c>
      <c r="EJ10" s="1" t="s">
        <v>46</v>
      </c>
      <c r="EK10" s="1" t="s">
        <v>46</v>
      </c>
      <c r="EL10" s="40" t="s">
        <v>46</v>
      </c>
      <c r="EM10" s="1" t="s">
        <v>46</v>
      </c>
      <c r="EN10" s="1" t="s">
        <v>46</v>
      </c>
      <c r="EO10" s="1" t="s">
        <v>47</v>
      </c>
      <c r="EP10" s="1" t="s">
        <v>46</v>
      </c>
      <c r="EQ10" s="1" t="s">
        <v>46</v>
      </c>
      <c r="ER10" s="1" t="s">
        <v>46</v>
      </c>
      <c r="ES10" s="1" t="s">
        <v>46</v>
      </c>
      <c r="ET10" s="1" t="s">
        <v>46</v>
      </c>
      <c r="EU10" s="1" t="s">
        <v>46</v>
      </c>
      <c r="EV10" s="1" t="s">
        <v>46</v>
      </c>
      <c r="EW10" s="1" t="s">
        <v>46</v>
      </c>
      <c r="EX10" s="1" t="s">
        <v>46</v>
      </c>
      <c r="EY10" s="1" t="s">
        <v>46</v>
      </c>
      <c r="EZ10" s="1" t="s">
        <v>46</v>
      </c>
      <c r="FA10" s="1" t="s">
        <v>46</v>
      </c>
      <c r="FB10" s="1" t="s">
        <v>46</v>
      </c>
      <c r="FC10" s="1" t="s">
        <v>46</v>
      </c>
      <c r="FD10" s="1" t="s">
        <v>46</v>
      </c>
      <c r="FE10" s="1" t="s">
        <v>46</v>
      </c>
      <c r="FF10" s="1" t="s">
        <v>46</v>
      </c>
      <c r="FG10" s="1" t="s">
        <v>46</v>
      </c>
      <c r="FH10" s="1" t="s">
        <v>47</v>
      </c>
    </row>
    <row r="11" spans="1:164" ht="20" customHeight="1" x14ac:dyDescent="0.2">
      <c r="A11" s="2" t="s">
        <v>10</v>
      </c>
      <c r="B11" s="1"/>
      <c r="C11" s="1"/>
      <c r="D11" s="1"/>
      <c r="E11" s="1"/>
      <c r="F11" s="1"/>
      <c r="G11" s="1"/>
      <c r="H11" s="1"/>
      <c r="I11" s="1"/>
      <c r="J11" s="1"/>
      <c r="K11" s="1"/>
      <c r="L11" s="1"/>
      <c r="M11" s="1"/>
      <c r="N11" s="1" t="s">
        <v>165</v>
      </c>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t="s">
        <v>1098</v>
      </c>
      <c r="DO11" s="1"/>
      <c r="DP11" s="1"/>
      <c r="DQ11" s="1"/>
      <c r="DR11" s="1"/>
      <c r="DS11" s="1" t="s">
        <v>1146</v>
      </c>
      <c r="DT11" s="1"/>
      <c r="DU11" s="1"/>
      <c r="DV11" s="1"/>
      <c r="DW11" s="1"/>
      <c r="DX11" s="1"/>
      <c r="DY11" s="1"/>
      <c r="DZ11" s="1"/>
      <c r="EA11" s="1"/>
      <c r="EB11" s="1"/>
      <c r="EC11" s="1"/>
      <c r="ED11" s="1"/>
      <c r="EE11" s="1" t="s">
        <v>1256</v>
      </c>
      <c r="EF11" s="1"/>
      <c r="EG11" s="1"/>
      <c r="EH11" s="1"/>
      <c r="EI11" s="1"/>
      <c r="EJ11" s="1"/>
      <c r="EK11" s="1"/>
      <c r="EL11" s="40"/>
      <c r="EM11" s="1"/>
      <c r="EN11" s="1"/>
      <c r="EO11" s="1"/>
      <c r="EP11" s="1"/>
      <c r="EQ11" s="1"/>
      <c r="ER11" s="1"/>
      <c r="ES11" s="1"/>
      <c r="ET11" s="1"/>
      <c r="EU11" s="1"/>
      <c r="EV11" s="1"/>
      <c r="EW11" s="1"/>
      <c r="EX11" s="1" t="s">
        <v>1389</v>
      </c>
      <c r="EY11" s="1"/>
      <c r="EZ11" s="1"/>
      <c r="FA11" s="1"/>
      <c r="FB11" s="1"/>
      <c r="FC11" s="1"/>
      <c r="FD11" s="1"/>
      <c r="FE11" s="1"/>
      <c r="FF11" s="1"/>
      <c r="FG11" s="1"/>
      <c r="FH11" s="1"/>
    </row>
    <row r="12" spans="1:164" ht="32.25" customHeight="1" x14ac:dyDescent="0.2">
      <c r="A12" s="2" t="s">
        <v>1357</v>
      </c>
      <c r="B12" s="1" t="str">
        <f>IF(B4="Yes","Undergraduate",IF(B5="Yes","Postgraduate (MSc)",IF(B6="Yes","Postgraduate (PhD)",IF(B7="Yes","Post-doctoral researcher",IF(B8="Yes","Lecturer/Assistant Professor",IF(B9="Yes","Reader/Senior Lecturer/Associate Professor",IF(B10="Yes","Professor",B11)))))))</f>
        <v>Lecturer/Assistant Professor</v>
      </c>
      <c r="C12" s="1" t="str">
        <f t="shared" ref="C12:D12" si="0">IF(C4="Yes","Undergraduate",IF(C5="Yes","Postgraduate (MSc)",IF(C6="Yes","Postgraduate (PhD)",IF(C7="Yes","Post-doctoral researcher",IF(C8="Yes","Lecturer/Assistant Professor",IF(C9="Yes","Reader/Senior Lecturer/Associate Professor",IF(C10="Yes","Professor",C11)))))))</f>
        <v>Post-doctoral researcher</v>
      </c>
      <c r="D12" s="1" t="str">
        <f t="shared" si="0"/>
        <v>Professor</v>
      </c>
      <c r="E12" s="1" t="str">
        <f t="shared" ref="E12:T12" si="1">IF(E4="Yes","Undergraduate",IF(E5="Yes","Postgraduate (MSc)",IF(E6="Yes","Postgraduate (PhD)",IF(E7="Yes","Post-doctoral researcher",IF(E8="Yes","Lecturer/Assistant Professor",IF(E9="Yes","Reader/Senior Lecturer/Associate Professor",IF(E10="Yes","Professor",IF(E11&lt;&gt;" ",E11))))))))</f>
        <v>Lecturer/Assistant Professor</v>
      </c>
      <c r="F12" s="1" t="str">
        <f t="shared" si="1"/>
        <v>Lecturer/Assistant Professor</v>
      </c>
      <c r="G12" s="1" t="str">
        <f t="shared" si="1"/>
        <v>Postgraduate (PhD)</v>
      </c>
      <c r="H12" s="1" t="str">
        <f t="shared" si="1"/>
        <v>Post-doctoral researcher</v>
      </c>
      <c r="I12" s="1" t="str">
        <f t="shared" si="1"/>
        <v>Professor</v>
      </c>
      <c r="J12" s="1" t="str">
        <f t="shared" si="1"/>
        <v>Lecturer/Assistant Professor</v>
      </c>
      <c r="K12" s="1" t="str">
        <f t="shared" si="1"/>
        <v>Post-doctoral researcher</v>
      </c>
      <c r="L12" s="1" t="str">
        <f t="shared" si="1"/>
        <v>Postgraduate (PhD)</v>
      </c>
      <c r="M12" s="1" t="str">
        <f t="shared" si="1"/>
        <v>Lecturer/Assistant Professor</v>
      </c>
      <c r="N12" s="1" t="str">
        <f t="shared" si="1"/>
        <v>Data Scientist</v>
      </c>
      <c r="O12" s="1" t="str">
        <f t="shared" si="1"/>
        <v>Lecturer/Assistant Professor</v>
      </c>
      <c r="P12" s="1" t="str">
        <f t="shared" si="1"/>
        <v>Postgraduate (PhD)</v>
      </c>
      <c r="Q12" s="1" t="str">
        <f t="shared" si="1"/>
        <v>Post-doctoral researcher</v>
      </c>
      <c r="R12" s="1" t="str">
        <f t="shared" si="1"/>
        <v>Postgraduate (PhD)</v>
      </c>
      <c r="S12" s="1" t="str">
        <f t="shared" si="1"/>
        <v>Post-doctoral researcher</v>
      </c>
      <c r="T12" s="1" t="str">
        <f t="shared" si="1"/>
        <v>Professor</v>
      </c>
      <c r="U12" s="1" t="str">
        <f t="shared" ref="U12" si="2">IF(U4="Yes","Undergraduate",IF(U5="Yes","Postgraduate (MSc)",IF(U6="Yes","Postgraduate (PhD)",IF(U7="Yes","Post-doctoral researcher",IF(U8="Yes","Lecturer/Assistant Professor",IF(U9="Yes","Reader/Senior Lecturer/Associate Professor",IF(U10="Yes","Professor",IF(U11&lt;&gt;" ",U11))))))))</f>
        <v>Postgraduate (PhD)</v>
      </c>
      <c r="V12" s="1" t="str">
        <f t="shared" ref="V12" si="3">IF(V4="Yes","Undergraduate",IF(V5="Yes","Postgraduate (MSc)",IF(V6="Yes","Postgraduate (PhD)",IF(V7="Yes","Post-doctoral researcher",IF(V8="Yes","Lecturer/Assistant Professor",IF(V9="Yes","Reader/Senior Lecturer/Associate Professor",IF(V10="Yes","Professor",IF(V11&lt;&gt;" ",V11))))))))</f>
        <v>Post-doctoral researcher</v>
      </c>
      <c r="W12" s="1" t="str">
        <f t="shared" ref="W12" si="4">IF(W4="Yes","Undergraduate",IF(W5="Yes","Postgraduate (MSc)",IF(W6="Yes","Postgraduate (PhD)",IF(W7="Yes","Post-doctoral researcher",IF(W8="Yes","Lecturer/Assistant Professor",IF(W9="Yes","Reader/Senior Lecturer/Associate Professor",IF(W10="Yes","Professor",IF(W11&lt;&gt;" ",W11))))))))</f>
        <v>Reader/Senior Lecturer/Associate Professor</v>
      </c>
      <c r="X12" s="1" t="str">
        <f t="shared" ref="X12" si="5">IF(X4="Yes","Undergraduate",IF(X5="Yes","Postgraduate (MSc)",IF(X6="Yes","Postgraduate (PhD)",IF(X7="Yes","Post-doctoral researcher",IF(X8="Yes","Lecturer/Assistant Professor",IF(X9="Yes","Reader/Senior Lecturer/Associate Professor",IF(X10="Yes","Professor",IF(X11&lt;&gt;" ",X11))))))))</f>
        <v>Lecturer/Assistant Professor</v>
      </c>
      <c r="Y12" s="1" t="str">
        <f t="shared" ref="Y12" si="6">IF(Y4="Yes","Undergraduate",IF(Y5="Yes","Postgraduate (MSc)",IF(Y6="Yes","Postgraduate (PhD)",IF(Y7="Yes","Post-doctoral researcher",IF(Y8="Yes","Lecturer/Assistant Professor",IF(Y9="Yes","Reader/Senior Lecturer/Associate Professor",IF(Y10="Yes","Professor",IF(Y11&lt;&gt;" ",Y11))))))))</f>
        <v>Postgraduate (PhD)</v>
      </c>
      <c r="Z12" s="1" t="str">
        <f t="shared" ref="Z12" si="7">IF(Z4="Yes","Undergraduate",IF(Z5="Yes","Postgraduate (MSc)",IF(Z6="Yes","Postgraduate (PhD)",IF(Z7="Yes","Post-doctoral researcher",IF(Z8="Yes","Lecturer/Assistant Professor",IF(Z9="Yes","Reader/Senior Lecturer/Associate Professor",IF(Z10="Yes","Professor",IF(Z11&lt;&gt;" ",Z11))))))))</f>
        <v>Postgraduate (MSc)</v>
      </c>
      <c r="AA12" s="1" t="str">
        <f t="shared" ref="AA12" si="8">IF(AA4="Yes","Undergraduate",IF(AA5="Yes","Postgraduate (MSc)",IF(AA6="Yes","Postgraduate (PhD)",IF(AA7="Yes","Post-doctoral researcher",IF(AA8="Yes","Lecturer/Assistant Professor",IF(AA9="Yes","Reader/Senior Lecturer/Associate Professor",IF(AA10="Yes","Professor",IF(AA11&lt;&gt;" ",AA11))))))))</f>
        <v>Lecturer/Assistant Professor</v>
      </c>
      <c r="AB12" s="1" t="str">
        <f t="shared" ref="AB12" si="9">IF(AB4="Yes","Undergraduate",IF(AB5="Yes","Postgraduate (MSc)",IF(AB6="Yes","Postgraduate (PhD)",IF(AB7="Yes","Post-doctoral researcher",IF(AB8="Yes","Lecturer/Assistant Professor",IF(AB9="Yes","Reader/Senior Lecturer/Associate Professor",IF(AB10="Yes","Professor",IF(AB11&lt;&gt;" ",AB11))))))))</f>
        <v>Reader/Senior Lecturer/Associate Professor</v>
      </c>
      <c r="AC12" s="1" t="str">
        <f t="shared" ref="AC12" si="10">IF(AC4="Yes","Undergraduate",IF(AC5="Yes","Postgraduate (MSc)",IF(AC6="Yes","Postgraduate (PhD)",IF(AC7="Yes","Post-doctoral researcher",IF(AC8="Yes","Lecturer/Assistant Professor",IF(AC9="Yes","Reader/Senior Lecturer/Associate Professor",IF(AC10="Yes","Professor",IF(AC11&lt;&gt;" ",AC11))))))))</f>
        <v>Post-doctoral researcher</v>
      </c>
      <c r="AD12" s="1" t="str">
        <f t="shared" ref="AD12" si="11">IF(AD4="Yes","Undergraduate",IF(AD5="Yes","Postgraduate (MSc)",IF(AD6="Yes","Postgraduate (PhD)",IF(AD7="Yes","Post-doctoral researcher",IF(AD8="Yes","Lecturer/Assistant Professor",IF(AD9="Yes","Reader/Senior Lecturer/Associate Professor",IF(AD10="Yes","Professor",IF(AD11&lt;&gt;" ",AD11))))))))</f>
        <v>Reader/Senior Lecturer/Associate Professor</v>
      </c>
      <c r="AE12" s="1" t="str">
        <f t="shared" ref="AE12" si="12">IF(AE4="Yes","Undergraduate",IF(AE5="Yes","Postgraduate (MSc)",IF(AE6="Yes","Postgraduate (PhD)",IF(AE7="Yes","Post-doctoral researcher",IF(AE8="Yes","Lecturer/Assistant Professor",IF(AE9="Yes","Reader/Senior Lecturer/Associate Professor",IF(AE10="Yes","Professor",IF(AE11&lt;&gt;" ",AE11))))))))</f>
        <v>Reader/Senior Lecturer/Associate Professor</v>
      </c>
      <c r="AF12" s="1" t="str">
        <f t="shared" ref="AF12" si="13">IF(AF4="Yes","Undergraduate",IF(AF5="Yes","Postgraduate (MSc)",IF(AF6="Yes","Postgraduate (PhD)",IF(AF7="Yes","Post-doctoral researcher",IF(AF8="Yes","Lecturer/Assistant Professor",IF(AF9="Yes","Reader/Senior Lecturer/Associate Professor",IF(AF10="Yes","Professor",IF(AF11&lt;&gt;" ",AF11))))))))</f>
        <v>Post-doctoral researcher</v>
      </c>
      <c r="AG12" s="1" t="str">
        <f t="shared" ref="AG12" si="14">IF(AG4="Yes","Undergraduate",IF(AG5="Yes","Postgraduate (MSc)",IF(AG6="Yes","Postgraduate (PhD)",IF(AG7="Yes","Post-doctoral researcher",IF(AG8="Yes","Lecturer/Assistant Professor",IF(AG9="Yes","Reader/Senior Lecturer/Associate Professor",IF(AG10="Yes","Professor",IF(AG11&lt;&gt;" ",AG11))))))))</f>
        <v>Post-doctoral researcher</v>
      </c>
      <c r="AH12" s="1" t="str">
        <f t="shared" ref="AH12" si="15">IF(AH4="Yes","Undergraduate",IF(AH5="Yes","Postgraduate (MSc)",IF(AH6="Yes","Postgraduate (PhD)",IF(AH7="Yes","Post-doctoral researcher",IF(AH8="Yes","Lecturer/Assistant Professor",IF(AH9="Yes","Reader/Senior Lecturer/Associate Professor",IF(AH10="Yes","Professor",IF(AH11&lt;&gt;" ",AH11))))))))</f>
        <v>Reader/Senior Lecturer/Associate Professor</v>
      </c>
      <c r="AI12" s="1" t="str">
        <f t="shared" ref="AI12" si="16">IF(AI4="Yes","Undergraduate",IF(AI5="Yes","Postgraduate (MSc)",IF(AI6="Yes","Postgraduate (PhD)",IF(AI7="Yes","Post-doctoral researcher",IF(AI8="Yes","Lecturer/Assistant Professor",IF(AI9="Yes","Reader/Senior Lecturer/Associate Professor",IF(AI10="Yes","Professor",IF(AI11&lt;&gt;" ",AI11))))))))</f>
        <v>Post-doctoral researcher</v>
      </c>
      <c r="AJ12" s="1" t="str">
        <f t="shared" ref="AJ12" si="17">IF(AJ4="Yes","Undergraduate",IF(AJ5="Yes","Postgraduate (MSc)",IF(AJ6="Yes","Postgraduate (PhD)",IF(AJ7="Yes","Post-doctoral researcher",IF(AJ8="Yes","Lecturer/Assistant Professor",IF(AJ9="Yes","Reader/Senior Lecturer/Associate Professor",IF(AJ10="Yes","Professor",IF(AJ11&lt;&gt;" ",AJ11))))))))</f>
        <v>Reader/Senior Lecturer/Associate Professor</v>
      </c>
      <c r="AK12" s="1" t="str">
        <f t="shared" ref="AK12:AL12" si="18">IF(AK4="Yes","Undergraduate",IF(AK5="Yes","Postgraduate (MSc)",IF(AK6="Yes","Postgraduate (PhD)",IF(AK7="Yes","Post-doctoral researcher",IF(AK8="Yes","Lecturer/Assistant Professor",IF(AK9="Yes","Reader/Senior Lecturer/Associate Professor",IF(AK10="Yes","Professor",IF(AK11&lt;&gt;" ",AK11))))))))</f>
        <v>Reader/Senior Lecturer/Associate Professor</v>
      </c>
      <c r="AL12" s="1" t="str">
        <f t="shared" si="18"/>
        <v>Lecturer/Assistant Professor</v>
      </c>
      <c r="AM12" s="1" t="str">
        <f t="shared" ref="AM12" si="19">IF(AM4="Yes","Undergraduate",IF(AM5="Yes","Postgraduate (MSc)",IF(AM6="Yes","Postgraduate (PhD)",IF(AM7="Yes","Post-doctoral researcher",IF(AM8="Yes","Lecturer/Assistant Professor",IF(AM9="Yes","Reader/Senior Lecturer/Associate Professor",IF(AM10="Yes","Professor",IF(AM11&lt;&gt;" ",AM11))))))))</f>
        <v>Post-doctoral researcher</v>
      </c>
      <c r="AN12" s="1" t="str">
        <f t="shared" ref="AN12" si="20">IF(AN4="Yes","Undergraduate",IF(AN5="Yes","Postgraduate (MSc)",IF(AN6="Yes","Postgraduate (PhD)",IF(AN7="Yes","Post-doctoral researcher",IF(AN8="Yes","Lecturer/Assistant Professor",IF(AN9="Yes","Reader/Senior Lecturer/Associate Professor",IF(AN10="Yes","Professor",IF(AN11&lt;&gt;" ",AN11))))))))</f>
        <v>Lecturer/Assistant Professor</v>
      </c>
      <c r="AO12" s="1" t="str">
        <f t="shared" ref="AO12" si="21">IF(AO4="Yes","Undergraduate",IF(AO5="Yes","Postgraduate (MSc)",IF(AO6="Yes","Postgraduate (PhD)",IF(AO7="Yes","Post-doctoral researcher",IF(AO8="Yes","Lecturer/Assistant Professor",IF(AO9="Yes","Reader/Senior Lecturer/Associate Professor",IF(AO10="Yes","Professor",IF(AO11&lt;&gt;" ",AO11))))))))</f>
        <v>Professor</v>
      </c>
      <c r="AP12" s="1" t="str">
        <f t="shared" ref="AP12" si="22">IF(AP4="Yes","Undergraduate",IF(AP5="Yes","Postgraduate (MSc)",IF(AP6="Yes","Postgraduate (PhD)",IF(AP7="Yes","Post-doctoral researcher",IF(AP8="Yes","Lecturer/Assistant Professor",IF(AP9="Yes","Reader/Senior Lecturer/Associate Professor",IF(AP10="Yes","Professor",IF(AP11&lt;&gt;" ",AP11))))))))</f>
        <v>Professor</v>
      </c>
      <c r="AQ12" s="1" t="str">
        <f t="shared" ref="AQ12" si="23">IF(AQ4="Yes","Undergraduate",IF(AQ5="Yes","Postgraduate (MSc)",IF(AQ6="Yes","Postgraduate (PhD)",IF(AQ7="Yes","Post-doctoral researcher",IF(AQ8="Yes","Lecturer/Assistant Professor",IF(AQ9="Yes","Reader/Senior Lecturer/Associate Professor",IF(AQ10="Yes","Professor",IF(AQ11&lt;&gt;" ",AQ11))))))))</f>
        <v>Postgraduate (PhD)</v>
      </c>
      <c r="AR12" s="1" t="str">
        <f t="shared" ref="AR12" si="24">IF(AR4="Yes","Undergraduate",IF(AR5="Yes","Postgraduate (MSc)",IF(AR6="Yes","Postgraduate (PhD)",IF(AR7="Yes","Post-doctoral researcher",IF(AR8="Yes","Lecturer/Assistant Professor",IF(AR9="Yes","Reader/Senior Lecturer/Associate Professor",IF(AR10="Yes","Professor",IF(AR11&lt;&gt;" ",AR11))))))))</f>
        <v>Professor</v>
      </c>
      <c r="AS12" s="1" t="str">
        <f t="shared" ref="AS12" si="25">IF(AS4="Yes","Undergraduate",IF(AS5="Yes","Postgraduate (MSc)",IF(AS6="Yes","Postgraduate (PhD)",IF(AS7="Yes","Post-doctoral researcher",IF(AS8="Yes","Lecturer/Assistant Professor",IF(AS9="Yes","Reader/Senior Lecturer/Associate Professor",IF(AS10="Yes","Professor",IF(AS11&lt;&gt;" ",AS11))))))))</f>
        <v>Lecturer/Assistant Professor</v>
      </c>
      <c r="AT12" s="1" t="str">
        <f t="shared" ref="AT12" si="26">IF(AT4="Yes","Undergraduate",IF(AT5="Yes","Postgraduate (MSc)",IF(AT6="Yes","Postgraduate (PhD)",IF(AT7="Yes","Post-doctoral researcher",IF(AT8="Yes","Lecturer/Assistant Professor",IF(AT9="Yes","Reader/Senior Lecturer/Associate Professor",IF(AT10="Yes","Professor",IF(AT11&lt;&gt;" ",AT11))))))))</f>
        <v>Post-doctoral researcher</v>
      </c>
      <c r="AU12" s="1" t="str">
        <f t="shared" ref="AU12" si="27">IF(AU4="Yes","Undergraduate",IF(AU5="Yes","Postgraduate (MSc)",IF(AU6="Yes","Postgraduate (PhD)",IF(AU7="Yes","Post-doctoral researcher",IF(AU8="Yes","Lecturer/Assistant Professor",IF(AU9="Yes","Reader/Senior Lecturer/Associate Professor",IF(AU10="Yes","Professor",IF(AU11&lt;&gt;" ",AU11))))))))</f>
        <v>Post-doctoral researcher</v>
      </c>
      <c r="AV12" s="1" t="str">
        <f t="shared" ref="AV12" si="28">IF(AV4="Yes","Undergraduate",IF(AV5="Yes","Postgraduate (MSc)",IF(AV6="Yes","Postgraduate (PhD)",IF(AV7="Yes","Post-doctoral researcher",IF(AV8="Yes","Lecturer/Assistant Professor",IF(AV9="Yes","Reader/Senior Lecturer/Associate Professor",IF(AV10="Yes","Professor",IF(AV11&lt;&gt;" ",AV11))))))))</f>
        <v>Reader/Senior Lecturer/Associate Professor</v>
      </c>
      <c r="AW12" s="1" t="str">
        <f t="shared" ref="AW12" si="29">IF(AW4="Yes","Undergraduate",IF(AW5="Yes","Postgraduate (MSc)",IF(AW6="Yes","Postgraduate (PhD)",IF(AW7="Yes","Post-doctoral researcher",IF(AW8="Yes","Lecturer/Assistant Professor",IF(AW9="Yes","Reader/Senior Lecturer/Associate Professor",IF(AW10="Yes","Professor",IF(AW11&lt;&gt;" ",AW11))))))))</f>
        <v>Postgraduate (PhD)</v>
      </c>
      <c r="AX12" s="1" t="str">
        <f t="shared" ref="AX12" si="30">IF(AX4="Yes","Undergraduate",IF(AX5="Yes","Postgraduate (MSc)",IF(AX6="Yes","Postgraduate (PhD)",IF(AX7="Yes","Post-doctoral researcher",IF(AX8="Yes","Lecturer/Assistant Professor",IF(AX9="Yes","Reader/Senior Lecturer/Associate Professor",IF(AX10="Yes","Professor",IF(AX11&lt;&gt;" ",AX11))))))))</f>
        <v>Postgraduate (PhD)</v>
      </c>
      <c r="AY12" s="1" t="str">
        <f t="shared" ref="AY12" si="31">IF(AY4="Yes","Undergraduate",IF(AY5="Yes","Postgraduate (MSc)",IF(AY6="Yes","Postgraduate (PhD)",IF(AY7="Yes","Post-doctoral researcher",IF(AY8="Yes","Lecturer/Assistant Professor",IF(AY9="Yes","Reader/Senior Lecturer/Associate Professor",IF(AY10="Yes","Professor",IF(AY11&lt;&gt;" ",AY11))))))))</f>
        <v>Postgraduate (PhD)</v>
      </c>
      <c r="AZ12" s="1" t="str">
        <f t="shared" ref="AZ12" si="32">IF(AZ4="Yes","Undergraduate",IF(AZ5="Yes","Postgraduate (MSc)",IF(AZ6="Yes","Postgraduate (PhD)",IF(AZ7="Yes","Post-doctoral researcher",IF(AZ8="Yes","Lecturer/Assistant Professor",IF(AZ9="Yes","Reader/Senior Lecturer/Associate Professor",IF(AZ10="Yes","Professor",IF(AZ11&lt;&gt;" ",AZ11))))))))</f>
        <v>Post-doctoral researcher</v>
      </c>
      <c r="BA12" s="1" t="str">
        <f t="shared" ref="BA12" si="33">IF(BA4="Yes","Undergraduate",IF(BA5="Yes","Postgraduate (MSc)",IF(BA6="Yes","Postgraduate (PhD)",IF(BA7="Yes","Post-doctoral researcher",IF(BA8="Yes","Lecturer/Assistant Professor",IF(BA9="Yes","Reader/Senior Lecturer/Associate Professor",IF(BA10="Yes","Professor",IF(BA11&lt;&gt;" ",BA11))))))))</f>
        <v>Professor</v>
      </c>
      <c r="BB12" s="1" t="str">
        <f t="shared" ref="BB12" si="34">IF(BB4="Yes","Undergraduate",IF(BB5="Yes","Postgraduate (MSc)",IF(BB6="Yes","Postgraduate (PhD)",IF(BB7="Yes","Post-doctoral researcher",IF(BB8="Yes","Lecturer/Assistant Professor",IF(BB9="Yes","Reader/Senior Lecturer/Associate Professor",IF(BB10="Yes","Professor",IF(BB11&lt;&gt;" ",BB11))))))))</f>
        <v>Post-doctoral researcher</v>
      </c>
      <c r="BC12" s="1" t="str">
        <f t="shared" ref="BC12:BD12" si="35">IF(BC4="Yes","Undergraduate",IF(BC5="Yes","Postgraduate (MSc)",IF(BC6="Yes","Postgraduate (PhD)",IF(BC7="Yes","Post-doctoral researcher",IF(BC8="Yes","Lecturer/Assistant Professor",IF(BC9="Yes","Reader/Senior Lecturer/Associate Professor",IF(BC10="Yes","Professor",IF(BC11&lt;&gt;" ",BC11))))))))</f>
        <v>Post-doctoral researcher</v>
      </c>
      <c r="BD12" s="1" t="str">
        <f t="shared" si="35"/>
        <v>Post-doctoral researcher</v>
      </c>
      <c r="BE12" s="1" t="str">
        <f t="shared" ref="BE12" si="36">IF(BE4="Yes","Undergraduate",IF(BE5="Yes","Postgraduate (MSc)",IF(BE6="Yes","Postgraduate (PhD)",IF(BE7="Yes","Post-doctoral researcher",IF(BE8="Yes","Lecturer/Assistant Professor",IF(BE9="Yes","Reader/Senior Lecturer/Associate Professor",IF(BE10="Yes","Professor",IF(BE11&lt;&gt;" ",BE11))))))))</f>
        <v>Post-doctoral researcher</v>
      </c>
      <c r="BF12" s="1" t="str">
        <f t="shared" ref="BF12" si="37">IF(BF4="Yes","Undergraduate",IF(BF5="Yes","Postgraduate (MSc)",IF(BF6="Yes","Postgraduate (PhD)",IF(BF7="Yes","Post-doctoral researcher",IF(BF8="Yes","Lecturer/Assistant Professor",IF(BF9="Yes","Reader/Senior Lecturer/Associate Professor",IF(BF10="Yes","Professor",IF(BF11&lt;&gt;" ",BF11))))))))</f>
        <v>Reader/Senior Lecturer/Associate Professor</v>
      </c>
      <c r="BG12" s="1" t="str">
        <f t="shared" ref="BG12" si="38">IF(BG4="Yes","Undergraduate",IF(BG5="Yes","Postgraduate (MSc)",IF(BG6="Yes","Postgraduate (PhD)",IF(BG7="Yes","Post-doctoral researcher",IF(BG8="Yes","Lecturer/Assistant Professor",IF(BG9="Yes","Reader/Senior Lecturer/Associate Professor",IF(BG10="Yes","Professor",IF(BG11&lt;&gt;" ",BG11))))))))</f>
        <v>Reader/Senior Lecturer/Associate Professor</v>
      </c>
      <c r="BH12" s="1" t="str">
        <f t="shared" ref="BH12" si="39">IF(BH4="Yes","Undergraduate",IF(BH5="Yes","Postgraduate (MSc)",IF(BH6="Yes","Postgraduate (PhD)",IF(BH7="Yes","Post-doctoral researcher",IF(BH8="Yes","Lecturer/Assistant Professor",IF(BH9="Yes","Reader/Senior Lecturer/Associate Professor",IF(BH10="Yes","Professor",IF(BH11&lt;&gt;" ",BH11))))))))</f>
        <v>Lecturer/Assistant Professor</v>
      </c>
      <c r="BI12" s="1" t="str">
        <f t="shared" ref="BI12" si="40">IF(BI4="Yes","Undergraduate",IF(BI5="Yes","Postgraduate (MSc)",IF(BI6="Yes","Postgraduate (PhD)",IF(BI7="Yes","Post-doctoral researcher",IF(BI8="Yes","Lecturer/Assistant Professor",IF(BI9="Yes","Reader/Senior Lecturer/Associate Professor",IF(BI10="Yes","Professor",IF(BI11&lt;&gt;" ",BI11))))))))</f>
        <v>Reader/Senior Lecturer/Associate Professor</v>
      </c>
      <c r="BJ12" s="1" t="str">
        <f t="shared" ref="BJ12" si="41">IF(BJ4="Yes","Undergraduate",IF(BJ5="Yes","Postgraduate (MSc)",IF(BJ6="Yes","Postgraduate (PhD)",IF(BJ7="Yes","Post-doctoral researcher",IF(BJ8="Yes","Lecturer/Assistant Professor",IF(BJ9="Yes","Reader/Senior Lecturer/Associate Professor",IF(BJ10="Yes","Professor",IF(BJ11&lt;&gt;" ",BJ11))))))))</f>
        <v>Postgraduate (PhD)</v>
      </c>
      <c r="BK12" s="1" t="str">
        <f t="shared" ref="BK12" si="42">IF(BK4="Yes","Undergraduate",IF(BK5="Yes","Postgraduate (MSc)",IF(BK6="Yes","Postgraduate (PhD)",IF(BK7="Yes","Post-doctoral researcher",IF(BK8="Yes","Lecturer/Assistant Professor",IF(BK9="Yes","Reader/Senior Lecturer/Associate Professor",IF(BK10="Yes","Professor",IF(BK11&lt;&gt;" ",BK11))))))))</f>
        <v>Postgraduate (PhD)</v>
      </c>
      <c r="BL12" s="1" t="str">
        <f t="shared" ref="BL12" si="43">IF(BL4="Yes","Undergraduate",IF(BL5="Yes","Postgraduate (MSc)",IF(BL6="Yes","Postgraduate (PhD)",IF(BL7="Yes","Post-doctoral researcher",IF(BL8="Yes","Lecturer/Assistant Professor",IF(BL9="Yes","Reader/Senior Lecturer/Associate Professor",IF(BL10="Yes","Professor",IF(BL11&lt;&gt;" ",BL11))))))))</f>
        <v>Lecturer/Assistant Professor</v>
      </c>
      <c r="BM12" s="1" t="str">
        <f t="shared" ref="BM12" si="44">IF(BM4="Yes","Undergraduate",IF(BM5="Yes","Postgraduate (MSc)",IF(BM6="Yes","Postgraduate (PhD)",IF(BM7="Yes","Post-doctoral researcher",IF(BM8="Yes","Lecturer/Assistant Professor",IF(BM9="Yes","Reader/Senior Lecturer/Associate Professor",IF(BM10="Yes","Professor",IF(BM11&lt;&gt;" ",BM11))))))))</f>
        <v>Lecturer/Assistant Professor</v>
      </c>
      <c r="BN12" s="1" t="str">
        <f t="shared" ref="BN12" si="45">IF(BN4="Yes","Undergraduate",IF(BN5="Yes","Postgraduate (MSc)",IF(BN6="Yes","Postgraduate (PhD)",IF(BN7="Yes","Post-doctoral researcher",IF(BN8="Yes","Lecturer/Assistant Professor",IF(BN9="Yes","Reader/Senior Lecturer/Associate Professor",IF(BN10="Yes","Professor",IF(BN11&lt;&gt;" ",BN11))))))))</f>
        <v>Post-doctoral researcher</v>
      </c>
      <c r="BO12" s="1" t="str">
        <f t="shared" ref="BO12" si="46">IF(BO4="Yes","Undergraduate",IF(BO5="Yes","Postgraduate (MSc)",IF(BO6="Yes","Postgraduate (PhD)",IF(BO7="Yes","Post-doctoral researcher",IF(BO8="Yes","Lecturer/Assistant Professor",IF(BO9="Yes","Reader/Senior Lecturer/Associate Professor",IF(BO10="Yes","Professor",IF(BO11&lt;&gt;" ",BO11))))))))</f>
        <v>Professor</v>
      </c>
      <c r="BP12" s="1" t="str">
        <f t="shared" ref="BP12" si="47">IF(BP4="Yes","Undergraduate",IF(BP5="Yes","Postgraduate (MSc)",IF(BP6="Yes","Postgraduate (PhD)",IF(BP7="Yes","Post-doctoral researcher",IF(BP8="Yes","Lecturer/Assistant Professor",IF(BP9="Yes","Reader/Senior Lecturer/Associate Professor",IF(BP10="Yes","Professor",IF(BP11&lt;&gt;" ",BP11))))))))</f>
        <v>Post-doctoral researcher</v>
      </c>
      <c r="BQ12" s="1" t="str">
        <f t="shared" ref="BQ12" si="48">IF(BQ4="Yes","Undergraduate",IF(BQ5="Yes","Postgraduate (MSc)",IF(BQ6="Yes","Postgraduate (PhD)",IF(BQ7="Yes","Post-doctoral researcher",IF(BQ8="Yes","Lecturer/Assistant Professor",IF(BQ9="Yes","Reader/Senior Lecturer/Associate Professor",IF(BQ10="Yes","Professor",IF(BQ11&lt;&gt;" ",BQ11))))))))</f>
        <v>Post-doctoral researcher</v>
      </c>
      <c r="BR12" s="1" t="str">
        <f t="shared" ref="BR12" si="49">IF(BR4="Yes","Undergraduate",IF(BR5="Yes","Postgraduate (MSc)",IF(BR6="Yes","Postgraduate (PhD)",IF(BR7="Yes","Post-doctoral researcher",IF(BR8="Yes","Lecturer/Assistant Professor",IF(BR9="Yes","Reader/Senior Lecturer/Associate Professor",IF(BR10="Yes","Professor",IF(BR11&lt;&gt;" ",BR11))))))))</f>
        <v>Post-doctoral researcher</v>
      </c>
      <c r="BS12" s="1" t="str">
        <f t="shared" ref="BS12" si="50">IF(BS4="Yes","Undergraduate",IF(BS5="Yes","Postgraduate (MSc)",IF(BS6="Yes","Postgraduate (PhD)",IF(BS7="Yes","Post-doctoral researcher",IF(BS8="Yes","Lecturer/Assistant Professor",IF(BS9="Yes","Reader/Senior Lecturer/Associate Professor",IF(BS10="Yes","Professor",IF(BS11&lt;&gt;" ",BS11))))))))</f>
        <v>Lecturer/Assistant Professor</v>
      </c>
      <c r="BT12" s="1" t="str">
        <f t="shared" ref="BT12" si="51">IF(BT4="Yes","Undergraduate",IF(BT5="Yes","Postgraduate (MSc)",IF(BT6="Yes","Postgraduate (PhD)",IF(BT7="Yes","Post-doctoral researcher",IF(BT8="Yes","Lecturer/Assistant Professor",IF(BT9="Yes","Reader/Senior Lecturer/Associate Professor",IF(BT10="Yes","Professor",IF(BT11&lt;&gt;" ",BT11))))))))</f>
        <v>Lecturer/Assistant Professor</v>
      </c>
      <c r="BU12" s="1" t="str">
        <f t="shared" ref="BU12:BV12" si="52">IF(BU4="Yes","Undergraduate",IF(BU5="Yes","Postgraduate (MSc)",IF(BU6="Yes","Postgraduate (PhD)",IF(BU7="Yes","Post-doctoral researcher",IF(BU8="Yes","Lecturer/Assistant Professor",IF(BU9="Yes","Reader/Senior Lecturer/Associate Professor",IF(BU10="Yes","Professor",IF(BU11&lt;&gt;" ",BU11))))))))</f>
        <v>Postgraduate (PhD)</v>
      </c>
      <c r="BV12" s="1" t="str">
        <f t="shared" si="52"/>
        <v>Lecturer/Assistant Professor</v>
      </c>
      <c r="BW12" s="1" t="str">
        <f t="shared" ref="BW12" si="53">IF(BW4="Yes","Undergraduate",IF(BW5="Yes","Postgraduate (MSc)",IF(BW6="Yes","Postgraduate (PhD)",IF(BW7="Yes","Post-doctoral researcher",IF(BW8="Yes","Lecturer/Assistant Professor",IF(BW9="Yes","Reader/Senior Lecturer/Associate Professor",IF(BW10="Yes","Professor",IF(BW11&lt;&gt;" ",BW11))))))))</f>
        <v>Postgraduate (PhD)</v>
      </c>
      <c r="BX12" s="1" t="str">
        <f t="shared" ref="BX12" si="54">IF(BX4="Yes","Undergraduate",IF(BX5="Yes","Postgraduate (MSc)",IF(BX6="Yes","Postgraduate (PhD)",IF(BX7="Yes","Post-doctoral researcher",IF(BX8="Yes","Lecturer/Assistant Professor",IF(BX9="Yes","Reader/Senior Lecturer/Associate Professor",IF(BX10="Yes","Professor",IF(BX11&lt;&gt;" ",BX11))))))))</f>
        <v>Reader/Senior Lecturer/Associate Professor</v>
      </c>
      <c r="BY12" s="1" t="str">
        <f t="shared" ref="BY12" si="55">IF(BY4="Yes","Undergraduate",IF(BY5="Yes","Postgraduate (MSc)",IF(BY6="Yes","Postgraduate (PhD)",IF(BY7="Yes","Post-doctoral researcher",IF(BY8="Yes","Lecturer/Assistant Professor",IF(BY9="Yes","Reader/Senior Lecturer/Associate Professor",IF(BY10="Yes","Professor",IF(BY11&lt;&gt;" ",BY11))))))))</f>
        <v>Professor</v>
      </c>
      <c r="BZ12" s="1" t="str">
        <f t="shared" ref="BZ12" si="56">IF(BZ4="Yes","Undergraduate",IF(BZ5="Yes","Postgraduate (MSc)",IF(BZ6="Yes","Postgraduate (PhD)",IF(BZ7="Yes","Post-doctoral researcher",IF(BZ8="Yes","Lecturer/Assistant Professor",IF(BZ9="Yes","Reader/Senior Lecturer/Associate Professor",IF(BZ10="Yes","Professor",IF(BZ11&lt;&gt;" ",BZ11))))))))</f>
        <v>Lecturer/Assistant Professor</v>
      </c>
      <c r="CA12" s="1" t="str">
        <f t="shared" ref="CA12" si="57">IF(CA4="Yes","Undergraduate",IF(CA5="Yes","Postgraduate (MSc)",IF(CA6="Yes","Postgraduate (PhD)",IF(CA7="Yes","Post-doctoral researcher",IF(CA8="Yes","Lecturer/Assistant Professor",IF(CA9="Yes","Reader/Senior Lecturer/Associate Professor",IF(CA10="Yes","Professor",IF(CA11&lt;&gt;" ",CA11))))))))</f>
        <v>Postgraduate (PhD)</v>
      </c>
      <c r="CB12" s="1" t="str">
        <f t="shared" ref="CB12" si="58">IF(CB4="Yes","Undergraduate",IF(CB5="Yes","Postgraduate (MSc)",IF(CB6="Yes","Postgraduate (PhD)",IF(CB7="Yes","Post-doctoral researcher",IF(CB8="Yes","Lecturer/Assistant Professor",IF(CB9="Yes","Reader/Senior Lecturer/Associate Professor",IF(CB10="Yes","Professor",IF(CB11&lt;&gt;" ",CB11))))))))</f>
        <v>Lecturer/Assistant Professor</v>
      </c>
      <c r="CC12" s="1" t="str">
        <f t="shared" ref="CC12" si="59">IF(CC4="Yes","Undergraduate",IF(CC5="Yes","Postgraduate (MSc)",IF(CC6="Yes","Postgraduate (PhD)",IF(CC7="Yes","Post-doctoral researcher",IF(CC8="Yes","Lecturer/Assistant Professor",IF(CC9="Yes","Reader/Senior Lecturer/Associate Professor",IF(CC10="Yes","Professor",IF(CC11&lt;&gt;" ",CC11))))))))</f>
        <v>Lecturer/Assistant Professor</v>
      </c>
      <c r="CD12" s="1" t="str">
        <f t="shared" ref="CD12" si="60">IF(CD4="Yes","Undergraduate",IF(CD5="Yes","Postgraduate (MSc)",IF(CD6="Yes","Postgraduate (PhD)",IF(CD7="Yes","Post-doctoral researcher",IF(CD8="Yes","Lecturer/Assistant Professor",IF(CD9="Yes","Reader/Senior Lecturer/Associate Professor",IF(CD10="Yes","Professor",IF(CD11&lt;&gt;" ",CD11))))))))</f>
        <v>Post-doctoral researcher</v>
      </c>
      <c r="CE12" s="1" t="str">
        <f t="shared" ref="CE12" si="61">IF(CE4="Yes","Undergraduate",IF(CE5="Yes","Postgraduate (MSc)",IF(CE6="Yes","Postgraduate (PhD)",IF(CE7="Yes","Post-doctoral researcher",IF(CE8="Yes","Lecturer/Assistant Professor",IF(CE9="Yes","Reader/Senior Lecturer/Associate Professor",IF(CE10="Yes","Professor",IF(CE11&lt;&gt;" ",CE11))))))))</f>
        <v>Post-doctoral researcher</v>
      </c>
      <c r="CF12" s="1" t="str">
        <f t="shared" ref="CF12" si="62">IF(CF4="Yes","Undergraduate",IF(CF5="Yes","Postgraduate (MSc)",IF(CF6="Yes","Postgraduate (PhD)",IF(CF7="Yes","Post-doctoral researcher",IF(CF8="Yes","Lecturer/Assistant Professor",IF(CF9="Yes","Reader/Senior Lecturer/Associate Professor",IF(CF10="Yes","Professor",IF(CF11&lt;&gt;" ",CF11))))))))</f>
        <v>Postgraduate (PhD)</v>
      </c>
      <c r="CG12" s="1" t="str">
        <f t="shared" ref="CG12" si="63">IF(CG4="Yes","Undergraduate",IF(CG5="Yes","Postgraduate (MSc)",IF(CG6="Yes","Postgraduate (PhD)",IF(CG7="Yes","Post-doctoral researcher",IF(CG8="Yes","Lecturer/Assistant Professor",IF(CG9="Yes","Reader/Senior Lecturer/Associate Professor",IF(CG10="Yes","Professor",IF(CG11&lt;&gt;" ",CG11))))))))</f>
        <v>Postgraduate (PhD)</v>
      </c>
      <c r="CH12" s="1" t="str">
        <f t="shared" ref="CH12" si="64">IF(CH4="Yes","Undergraduate",IF(CH5="Yes","Postgraduate (MSc)",IF(CH6="Yes","Postgraduate (PhD)",IF(CH7="Yes","Post-doctoral researcher",IF(CH8="Yes","Lecturer/Assistant Professor",IF(CH9="Yes","Reader/Senior Lecturer/Associate Professor",IF(CH10="Yes","Professor",IF(CH11&lt;&gt;" ",CH11))))))))</f>
        <v>Postgraduate (PhD)</v>
      </c>
      <c r="CI12" s="1" t="str">
        <f t="shared" ref="CI12" si="65">IF(CI4="Yes","Undergraduate",IF(CI5="Yes","Postgraduate (MSc)",IF(CI6="Yes","Postgraduate (PhD)",IF(CI7="Yes","Post-doctoral researcher",IF(CI8="Yes","Lecturer/Assistant Professor",IF(CI9="Yes","Reader/Senior Lecturer/Associate Professor",IF(CI10="Yes","Professor",IF(CI11&lt;&gt;" ",CI11))))))))</f>
        <v>Postgraduate (PhD)</v>
      </c>
      <c r="CJ12" s="1" t="str">
        <f t="shared" ref="CJ12" si="66">IF(CJ4="Yes","Undergraduate",IF(CJ5="Yes","Postgraduate (MSc)",IF(CJ6="Yes","Postgraduate (PhD)",IF(CJ7="Yes","Post-doctoral researcher",IF(CJ8="Yes","Lecturer/Assistant Professor",IF(CJ9="Yes","Reader/Senior Lecturer/Associate Professor",IF(CJ10="Yes","Professor",IF(CJ11&lt;&gt;" ",CJ11))))))))</f>
        <v>Postgraduate (PhD)</v>
      </c>
      <c r="CK12" s="1" t="str">
        <f t="shared" ref="CK12" si="67">IF(CK4="Yes","Undergraduate",IF(CK5="Yes","Postgraduate (MSc)",IF(CK6="Yes","Postgraduate (PhD)",IF(CK7="Yes","Post-doctoral researcher",IF(CK8="Yes","Lecturer/Assistant Professor",IF(CK9="Yes","Reader/Senior Lecturer/Associate Professor",IF(CK10="Yes","Professor",IF(CK11&lt;&gt;" ",CK11))))))))</f>
        <v>Lecturer/Assistant Professor</v>
      </c>
      <c r="CL12" s="1" t="str">
        <f t="shared" ref="CL12" si="68">IF(CL4="Yes","Undergraduate",IF(CL5="Yes","Postgraduate (MSc)",IF(CL6="Yes","Postgraduate (PhD)",IF(CL7="Yes","Post-doctoral researcher",IF(CL8="Yes","Lecturer/Assistant Professor",IF(CL9="Yes","Reader/Senior Lecturer/Associate Professor",IF(CL10="Yes","Professor",IF(CL11&lt;&gt;" ",CL11))))))))</f>
        <v>Post-doctoral researcher</v>
      </c>
      <c r="CM12" s="1" t="str">
        <f t="shared" ref="CM12:CN12" si="69">IF(CM4="Yes","Undergraduate",IF(CM5="Yes","Postgraduate (MSc)",IF(CM6="Yes","Postgraduate (PhD)",IF(CM7="Yes","Post-doctoral researcher",IF(CM8="Yes","Lecturer/Assistant Professor",IF(CM9="Yes","Reader/Senior Lecturer/Associate Professor",IF(CM10="Yes","Professor",IF(CM11&lt;&gt;" ",CM11))))))))</f>
        <v>Lecturer/Assistant Professor</v>
      </c>
      <c r="CN12" s="1" t="str">
        <f t="shared" si="69"/>
        <v>Lecturer/Assistant Professor</v>
      </c>
      <c r="CO12" s="1" t="str">
        <f t="shared" ref="CO12" si="70">IF(CO4="Yes","Undergraduate",IF(CO5="Yes","Postgraduate (MSc)",IF(CO6="Yes","Postgraduate (PhD)",IF(CO7="Yes","Post-doctoral researcher",IF(CO8="Yes","Lecturer/Assistant Professor",IF(CO9="Yes","Reader/Senior Lecturer/Associate Professor",IF(CO10="Yes","Professor",IF(CO11&lt;&gt;" ",CO11))))))))</f>
        <v>Lecturer/Assistant Professor</v>
      </c>
      <c r="CP12" s="1" t="str">
        <f t="shared" ref="CP12" si="71">IF(CP4="Yes","Undergraduate",IF(CP5="Yes","Postgraduate (MSc)",IF(CP6="Yes","Postgraduate (PhD)",IF(CP7="Yes","Post-doctoral researcher",IF(CP8="Yes","Lecturer/Assistant Professor",IF(CP9="Yes","Reader/Senior Lecturer/Associate Professor",IF(CP10="Yes","Professor",IF(CP11&lt;&gt;" ",CP11))))))))</f>
        <v>Post-doctoral researcher</v>
      </c>
      <c r="CQ12" s="1" t="str">
        <f t="shared" ref="CQ12" si="72">IF(CQ4="Yes","Undergraduate",IF(CQ5="Yes","Postgraduate (MSc)",IF(CQ6="Yes","Postgraduate (PhD)",IF(CQ7="Yes","Post-doctoral researcher",IF(CQ8="Yes","Lecturer/Assistant Professor",IF(CQ9="Yes","Reader/Senior Lecturer/Associate Professor",IF(CQ10="Yes","Professor",IF(CQ11&lt;&gt;" ",CQ11))))))))</f>
        <v>Postgraduate (PhD)</v>
      </c>
      <c r="CR12" s="1" t="str">
        <f t="shared" ref="CR12" si="73">IF(CR4="Yes","Undergraduate",IF(CR5="Yes","Postgraduate (MSc)",IF(CR6="Yes","Postgraduate (PhD)",IF(CR7="Yes","Post-doctoral researcher",IF(CR8="Yes","Lecturer/Assistant Professor",IF(CR9="Yes","Reader/Senior Lecturer/Associate Professor",IF(CR10="Yes","Professor",IF(CR11&lt;&gt;" ",CR11))))))))</f>
        <v>Lecturer/Assistant Professor</v>
      </c>
      <c r="CS12" s="1" t="str">
        <f t="shared" ref="CS12" si="74">IF(CS4="Yes","Undergraduate",IF(CS5="Yes","Postgraduate (MSc)",IF(CS6="Yes","Postgraduate (PhD)",IF(CS7="Yes","Post-doctoral researcher",IF(CS8="Yes","Lecturer/Assistant Professor",IF(CS9="Yes","Reader/Senior Lecturer/Associate Professor",IF(CS10="Yes","Professor",IF(CS11&lt;&gt;" ",CS11))))))))</f>
        <v>Post-doctoral researcher</v>
      </c>
      <c r="CT12" s="1" t="str">
        <f t="shared" ref="CT12" si="75">IF(CT4="Yes","Undergraduate",IF(CT5="Yes","Postgraduate (MSc)",IF(CT6="Yes","Postgraduate (PhD)",IF(CT7="Yes","Post-doctoral researcher",IF(CT8="Yes","Lecturer/Assistant Professor",IF(CT9="Yes","Reader/Senior Lecturer/Associate Professor",IF(CT10="Yes","Professor",IF(CT11&lt;&gt;" ",CT11))))))))</f>
        <v>Reader/Senior Lecturer/Associate Professor</v>
      </c>
      <c r="CU12" s="1" t="str">
        <f t="shared" ref="CU12" si="76">IF(CU4="Yes","Undergraduate",IF(CU5="Yes","Postgraduate (MSc)",IF(CU6="Yes","Postgraduate (PhD)",IF(CU7="Yes","Post-doctoral researcher",IF(CU8="Yes","Lecturer/Assistant Professor",IF(CU9="Yes","Reader/Senior Lecturer/Associate Professor",IF(CU10="Yes","Professor",IF(CU11&lt;&gt;" ",CU11))))))))</f>
        <v>Post-doctoral researcher</v>
      </c>
      <c r="CV12" s="1" t="str">
        <f t="shared" ref="CV12" si="77">IF(CV4="Yes","Undergraduate",IF(CV5="Yes","Postgraduate (MSc)",IF(CV6="Yes","Postgraduate (PhD)",IF(CV7="Yes","Post-doctoral researcher",IF(CV8="Yes","Lecturer/Assistant Professor",IF(CV9="Yes","Reader/Senior Lecturer/Associate Professor",IF(CV10="Yes","Professor",IF(CV11&lt;&gt;" ",CV11))))))))</f>
        <v>Lecturer/Assistant Professor</v>
      </c>
      <c r="CW12" s="1" t="str">
        <f t="shared" ref="CW12" si="78">IF(CW4="Yes","Undergraduate",IF(CW5="Yes","Postgraduate (MSc)",IF(CW6="Yes","Postgraduate (PhD)",IF(CW7="Yes","Post-doctoral researcher",IF(CW8="Yes","Lecturer/Assistant Professor",IF(CW9="Yes","Reader/Senior Lecturer/Associate Professor",IF(CW10="Yes","Professor",IF(CW11&lt;&gt;" ",CW11))))))))</f>
        <v>Professor</v>
      </c>
      <c r="CX12" s="1" t="str">
        <f t="shared" ref="CX12" si="79">IF(CX4="Yes","Undergraduate",IF(CX5="Yes","Postgraduate (MSc)",IF(CX6="Yes","Postgraduate (PhD)",IF(CX7="Yes","Post-doctoral researcher",IF(CX8="Yes","Lecturer/Assistant Professor",IF(CX9="Yes","Reader/Senior Lecturer/Associate Professor",IF(CX10="Yes","Professor",IF(CX11&lt;&gt;" ",CX11))))))))</f>
        <v>Postgraduate (MSc)</v>
      </c>
      <c r="CY12" s="1" t="str">
        <f t="shared" ref="CY12" si="80">IF(CY4="Yes","Undergraduate",IF(CY5="Yes","Postgraduate (MSc)",IF(CY6="Yes","Postgraduate (PhD)",IF(CY7="Yes","Post-doctoral researcher",IF(CY8="Yes","Lecturer/Assistant Professor",IF(CY9="Yes","Reader/Senior Lecturer/Associate Professor",IF(CY10="Yes","Professor",IF(CY11&lt;&gt;" ",CY11))))))))</f>
        <v>Lecturer/Assistant Professor</v>
      </c>
      <c r="CZ12" s="1" t="str">
        <f t="shared" ref="CZ12" si="81">IF(CZ4="Yes","Undergraduate",IF(CZ5="Yes","Postgraduate (MSc)",IF(CZ6="Yes","Postgraduate (PhD)",IF(CZ7="Yes","Post-doctoral researcher",IF(CZ8="Yes","Lecturer/Assistant Professor",IF(CZ9="Yes","Reader/Senior Lecturer/Associate Professor",IF(CZ10="Yes","Professor",IF(CZ11&lt;&gt;" ",CZ11))))))))</f>
        <v>Postgraduate (PhD)</v>
      </c>
      <c r="DA12" s="1" t="str">
        <f t="shared" ref="DA12" si="82">IF(DA4="Yes","Undergraduate",IF(DA5="Yes","Postgraduate (MSc)",IF(DA6="Yes","Postgraduate (PhD)",IF(DA7="Yes","Post-doctoral researcher",IF(DA8="Yes","Lecturer/Assistant Professor",IF(DA9="Yes","Reader/Senior Lecturer/Associate Professor",IF(DA10="Yes","Professor",IF(DA11&lt;&gt;" ",DA11))))))))</f>
        <v>Reader/Senior Lecturer/Associate Professor</v>
      </c>
      <c r="DB12" s="1" t="str">
        <f t="shared" ref="DB12" si="83">IF(DB4="Yes","Undergraduate",IF(DB5="Yes","Postgraduate (MSc)",IF(DB6="Yes","Postgraduate (PhD)",IF(DB7="Yes","Post-doctoral researcher",IF(DB8="Yes","Lecturer/Assistant Professor",IF(DB9="Yes","Reader/Senior Lecturer/Associate Professor",IF(DB10="Yes","Professor",IF(DB11&lt;&gt;" ",DB11))))))))</f>
        <v>Lecturer/Assistant Professor</v>
      </c>
      <c r="DC12" s="1" t="str">
        <f t="shared" ref="DC12" si="84">IF(DC4="Yes","Undergraduate",IF(DC5="Yes","Postgraduate (MSc)",IF(DC6="Yes","Postgraduate (PhD)",IF(DC7="Yes","Post-doctoral researcher",IF(DC8="Yes","Lecturer/Assistant Professor",IF(DC9="Yes","Reader/Senior Lecturer/Associate Professor",IF(DC10="Yes","Professor",IF(DC11&lt;&gt;" ",DC11))))))))</f>
        <v>Postgraduate (PhD)</v>
      </c>
      <c r="DD12" s="1" t="str">
        <f t="shared" ref="DD12" si="85">IF(DD4="Yes","Undergraduate",IF(DD5="Yes","Postgraduate (MSc)",IF(DD6="Yes","Postgraduate (PhD)",IF(DD7="Yes","Post-doctoral researcher",IF(DD8="Yes","Lecturer/Assistant Professor",IF(DD9="Yes","Reader/Senior Lecturer/Associate Professor",IF(DD10="Yes","Professor",IF(DD11&lt;&gt;" ",DD11))))))))</f>
        <v>Reader/Senior Lecturer/Associate Professor</v>
      </c>
      <c r="DE12" s="1" t="str">
        <f t="shared" ref="DE12:DF12" si="86">IF(DE4="Yes","Undergraduate",IF(DE5="Yes","Postgraduate (MSc)",IF(DE6="Yes","Postgraduate (PhD)",IF(DE7="Yes","Post-doctoral researcher",IF(DE8="Yes","Lecturer/Assistant Professor",IF(DE9="Yes","Reader/Senior Lecturer/Associate Professor",IF(DE10="Yes","Professor",IF(DE11&lt;&gt;" ",DE11))))))))</f>
        <v>Postgraduate (PhD)</v>
      </c>
      <c r="DF12" s="1" t="str">
        <f t="shared" si="86"/>
        <v>Lecturer/Assistant Professor</v>
      </c>
      <c r="DG12" s="1" t="str">
        <f t="shared" ref="DG12" si="87">IF(DG4="Yes","Undergraduate",IF(DG5="Yes","Postgraduate (MSc)",IF(DG6="Yes","Postgraduate (PhD)",IF(DG7="Yes","Post-doctoral researcher",IF(DG8="Yes","Lecturer/Assistant Professor",IF(DG9="Yes","Reader/Senior Lecturer/Associate Professor",IF(DG10="Yes","Professor",IF(DG11&lt;&gt;" ",DG11))))))))</f>
        <v>Post-doctoral researcher</v>
      </c>
      <c r="DH12" s="1" t="str">
        <f t="shared" ref="DH12" si="88">IF(DH4="Yes","Undergraduate",IF(DH5="Yes","Postgraduate (MSc)",IF(DH6="Yes","Postgraduate (PhD)",IF(DH7="Yes","Post-doctoral researcher",IF(DH8="Yes","Lecturer/Assistant Professor",IF(DH9="Yes","Reader/Senior Lecturer/Associate Professor",IF(DH10="Yes","Professor",IF(DH11&lt;&gt;" ",DH11))))))))</f>
        <v>Professor</v>
      </c>
      <c r="DI12" s="1" t="str">
        <f t="shared" ref="DI12" si="89">IF(DI4="Yes","Undergraduate",IF(DI5="Yes","Postgraduate (MSc)",IF(DI6="Yes","Postgraduate (PhD)",IF(DI7="Yes","Post-doctoral researcher",IF(DI8="Yes","Lecturer/Assistant Professor",IF(DI9="Yes","Reader/Senior Lecturer/Associate Professor",IF(DI10="Yes","Professor",IF(DI11&lt;&gt;" ",DI11))))))))</f>
        <v>Postgraduate (PhD)</v>
      </c>
      <c r="DJ12" s="1" t="str">
        <f t="shared" ref="DJ12" si="90">IF(DJ4="Yes","Undergraduate",IF(DJ5="Yes","Postgraduate (MSc)",IF(DJ6="Yes","Postgraduate (PhD)",IF(DJ7="Yes","Post-doctoral researcher",IF(DJ8="Yes","Lecturer/Assistant Professor",IF(DJ9="Yes","Reader/Senior Lecturer/Associate Professor",IF(DJ10="Yes","Professor",IF(DJ11&lt;&gt;" ",DJ11))))))))</f>
        <v>Post-doctoral researcher</v>
      </c>
      <c r="DK12" s="1" t="str">
        <f t="shared" ref="DK12" si="91">IF(DK4="Yes","Undergraduate",IF(DK5="Yes","Postgraduate (MSc)",IF(DK6="Yes","Postgraduate (PhD)",IF(DK7="Yes","Post-doctoral researcher",IF(DK8="Yes","Lecturer/Assistant Professor",IF(DK9="Yes","Reader/Senior Lecturer/Associate Professor",IF(DK10="Yes","Professor",IF(DK11&lt;&gt;" ",DK11))))))))</f>
        <v>Post-doctoral researcher</v>
      </c>
      <c r="DL12" s="1" t="str">
        <f t="shared" ref="DL12" si="92">IF(DL4="Yes","Undergraduate",IF(DL5="Yes","Postgraduate (MSc)",IF(DL6="Yes","Postgraduate (PhD)",IF(DL7="Yes","Post-doctoral researcher",IF(DL8="Yes","Lecturer/Assistant Professor",IF(DL9="Yes","Reader/Senior Lecturer/Associate Professor",IF(DL10="Yes","Professor",IF(DL11&lt;&gt;" ",DL11))))))))</f>
        <v>Lecturer/Assistant Professor</v>
      </c>
      <c r="DM12" s="1" t="str">
        <f t="shared" ref="DM12" si="93">IF(DM4="Yes","Undergraduate",IF(DM5="Yes","Postgraduate (MSc)",IF(DM6="Yes","Postgraduate (PhD)",IF(DM7="Yes","Post-doctoral researcher",IF(DM8="Yes","Lecturer/Assistant Professor",IF(DM9="Yes","Reader/Senior Lecturer/Associate Professor",IF(DM10="Yes","Professor",IF(DM11&lt;&gt;" ",DM11))))))))</f>
        <v>Lecturer/Assistant Professor</v>
      </c>
      <c r="DN12" s="1" t="str">
        <f t="shared" ref="DN12" si="94">IF(DN4="Yes","Undergraduate",IF(DN5="Yes","Postgraduate (MSc)",IF(DN6="Yes","Postgraduate (PhD)",IF(DN7="Yes","Post-doctoral researcher",IF(DN8="Yes","Lecturer/Assistant Professor",IF(DN9="Yes","Reader/Senior Lecturer/Associate Professor",IF(DN10="Yes","Professor",IF(DN11&lt;&gt;" ",DN11))))))))</f>
        <v>Guest researcher</v>
      </c>
      <c r="DO12" s="1" t="str">
        <f t="shared" ref="DO12" si="95">IF(DO4="Yes","Undergraduate",IF(DO5="Yes","Postgraduate (MSc)",IF(DO6="Yes","Postgraduate (PhD)",IF(DO7="Yes","Post-doctoral researcher",IF(DO8="Yes","Lecturer/Assistant Professor",IF(DO9="Yes","Reader/Senior Lecturer/Associate Professor",IF(DO10="Yes","Professor",IF(DO11&lt;&gt;" ",DO11))))))))</f>
        <v>Postgraduate (PhD)</v>
      </c>
      <c r="DP12" s="1" t="str">
        <f t="shared" ref="DP12" si="96">IF(DP4="Yes","Undergraduate",IF(DP5="Yes","Postgraduate (MSc)",IF(DP6="Yes","Postgraduate (PhD)",IF(DP7="Yes","Post-doctoral researcher",IF(DP8="Yes","Lecturer/Assistant Professor",IF(DP9="Yes","Reader/Senior Lecturer/Associate Professor",IF(DP10="Yes","Professor",IF(DP11&lt;&gt;" ",DP11))))))))</f>
        <v>Post-doctoral researcher</v>
      </c>
      <c r="DQ12" s="1" t="str">
        <f t="shared" ref="DQ12" si="97">IF(DQ4="Yes","Undergraduate",IF(DQ5="Yes","Postgraduate (MSc)",IF(DQ6="Yes","Postgraduate (PhD)",IF(DQ7="Yes","Post-doctoral researcher",IF(DQ8="Yes","Lecturer/Assistant Professor",IF(DQ9="Yes","Reader/Senior Lecturer/Associate Professor",IF(DQ10="Yes","Professor",IF(DQ11&lt;&gt;" ",DQ11))))))))</f>
        <v>Post-doctoral researcher</v>
      </c>
      <c r="DR12" s="1" t="str">
        <f t="shared" ref="DR12" si="98">IF(DR4="Yes","Undergraduate",IF(DR5="Yes","Postgraduate (MSc)",IF(DR6="Yes","Postgraduate (PhD)",IF(DR7="Yes","Post-doctoral researcher",IF(DR8="Yes","Lecturer/Assistant Professor",IF(DR9="Yes","Reader/Senior Lecturer/Associate Professor",IF(DR10="Yes","Professor",IF(DR11&lt;&gt;" ",DR11))))))))</f>
        <v>Postgraduate (PhD)</v>
      </c>
      <c r="DS12" s="1" t="str">
        <f t="shared" ref="DS12" si="99">IF(DS4="Yes","Undergraduate",IF(DS5="Yes","Postgraduate (MSc)",IF(DS6="Yes","Postgraduate (PhD)",IF(DS7="Yes","Post-doctoral researcher",IF(DS8="Yes","Lecturer/Assistant Professor",IF(DS9="Yes","Reader/Senior Lecturer/Associate Professor",IF(DS10="Yes","Professor",IF(DS11&lt;&gt;" ",DS11))))))))</f>
        <v>MRC Programme Leader</v>
      </c>
      <c r="DT12" s="1" t="str">
        <f t="shared" ref="DT12" si="100">IF(DT4="Yes","Undergraduate",IF(DT5="Yes","Postgraduate (MSc)",IF(DT6="Yes","Postgraduate (PhD)",IF(DT7="Yes","Post-doctoral researcher",IF(DT8="Yes","Lecturer/Assistant Professor",IF(DT9="Yes","Reader/Senior Lecturer/Associate Professor",IF(DT10="Yes","Professor",IF(DT11&lt;&gt;" ",DT11))))))))</f>
        <v>Professor</v>
      </c>
      <c r="DU12" s="1" t="str">
        <f t="shared" ref="DU12" si="101">IF(DU4="Yes","Undergraduate",IF(DU5="Yes","Postgraduate (MSc)",IF(DU6="Yes","Postgraduate (PhD)",IF(DU7="Yes","Post-doctoral researcher",IF(DU8="Yes","Lecturer/Assistant Professor",IF(DU9="Yes","Reader/Senior Lecturer/Associate Professor",IF(DU10="Yes","Professor",IF(DU11&lt;&gt;" ",DU11))))))))</f>
        <v>Professor</v>
      </c>
      <c r="DV12" s="1" t="str">
        <f t="shared" ref="DV12" si="102">IF(DV4="Yes","Undergraduate",IF(DV5="Yes","Postgraduate (MSc)",IF(DV6="Yes","Postgraduate (PhD)",IF(DV7="Yes","Post-doctoral researcher",IF(DV8="Yes","Lecturer/Assistant Professor",IF(DV9="Yes","Reader/Senior Lecturer/Associate Professor",IF(DV10="Yes","Professor",IF(DV11&lt;&gt;" ",DV11))))))))</f>
        <v>Post-doctoral researcher</v>
      </c>
      <c r="DW12" s="1" t="str">
        <f t="shared" ref="DW12:DX12" si="103">IF(DW4="Yes","Undergraduate",IF(DW5="Yes","Postgraduate (MSc)",IF(DW6="Yes","Postgraduate (PhD)",IF(DW7="Yes","Post-doctoral researcher",IF(DW8="Yes","Lecturer/Assistant Professor",IF(DW9="Yes","Reader/Senior Lecturer/Associate Professor",IF(DW10="Yes","Professor",IF(DW11&lt;&gt;" ",DW11))))))))</f>
        <v>Reader/Senior Lecturer/Associate Professor</v>
      </c>
      <c r="DX12" s="1" t="str">
        <f t="shared" si="103"/>
        <v>Postgraduate (PhD)</v>
      </c>
      <c r="DY12" s="1" t="str">
        <f t="shared" ref="DY12" si="104">IF(DY4="Yes","Undergraduate",IF(DY5="Yes","Postgraduate (MSc)",IF(DY6="Yes","Postgraduate (PhD)",IF(DY7="Yes","Post-doctoral researcher",IF(DY8="Yes","Lecturer/Assistant Professor",IF(DY9="Yes","Reader/Senior Lecturer/Associate Professor",IF(DY10="Yes","Professor",IF(DY11&lt;&gt;" ",DY11))))))))</f>
        <v>Lecturer/Assistant Professor</v>
      </c>
      <c r="DZ12" s="1" t="str">
        <f t="shared" ref="DZ12" si="105">IF(DZ4="Yes","Undergraduate",IF(DZ5="Yes","Postgraduate (MSc)",IF(DZ6="Yes","Postgraduate (PhD)",IF(DZ7="Yes","Post-doctoral researcher",IF(DZ8="Yes","Lecturer/Assistant Professor",IF(DZ9="Yes","Reader/Senior Lecturer/Associate Professor",IF(DZ10="Yes","Professor",IF(DZ11&lt;&gt;" ",DZ11))))))))</f>
        <v>Lecturer/Assistant Professor</v>
      </c>
      <c r="EA12" s="1" t="str">
        <f t="shared" ref="EA12" si="106">IF(EA4="Yes","Undergraduate",IF(EA5="Yes","Postgraduate (MSc)",IF(EA6="Yes","Postgraduate (PhD)",IF(EA7="Yes","Post-doctoral researcher",IF(EA8="Yes","Lecturer/Assistant Professor",IF(EA9="Yes","Reader/Senior Lecturer/Associate Professor",IF(EA10="Yes","Professor",IF(EA11&lt;&gt;" ",EA11))))))))</f>
        <v>Post-doctoral researcher</v>
      </c>
      <c r="EB12" s="1" t="str">
        <f t="shared" ref="EB12" si="107">IF(EB4="Yes","Undergraduate",IF(EB5="Yes","Postgraduate (MSc)",IF(EB6="Yes","Postgraduate (PhD)",IF(EB7="Yes","Post-doctoral researcher",IF(EB8="Yes","Lecturer/Assistant Professor",IF(EB9="Yes","Reader/Senior Lecturer/Associate Professor",IF(EB10="Yes","Professor",IF(EB11&lt;&gt;" ",EB11))))))))</f>
        <v>Lecturer/Assistant Professor</v>
      </c>
      <c r="EC12" s="1" t="str">
        <f t="shared" ref="EC12" si="108">IF(EC4="Yes","Undergraduate",IF(EC5="Yes","Postgraduate (MSc)",IF(EC6="Yes","Postgraduate (PhD)",IF(EC7="Yes","Post-doctoral researcher",IF(EC8="Yes","Lecturer/Assistant Professor",IF(EC9="Yes","Reader/Senior Lecturer/Associate Professor",IF(EC10="Yes","Professor",IF(EC11&lt;&gt;" ",EC11))))))))</f>
        <v>Postgraduate (PhD)</v>
      </c>
      <c r="ED12" s="1" t="str">
        <f t="shared" ref="ED12" si="109">IF(ED4="Yes","Undergraduate",IF(ED5="Yes","Postgraduate (MSc)",IF(ED6="Yes","Postgraduate (PhD)",IF(ED7="Yes","Post-doctoral researcher",IF(ED8="Yes","Lecturer/Assistant Professor",IF(ED9="Yes","Reader/Senior Lecturer/Associate Professor",IF(ED10="Yes","Professor",IF(ED11&lt;&gt;" ",ED11))))))))</f>
        <v>Lecturer/Assistant Professor</v>
      </c>
      <c r="EE12" s="1" t="str">
        <f t="shared" ref="EE12" si="110">IF(EE4="Yes","Undergraduate",IF(EE5="Yes","Postgraduate (MSc)",IF(EE6="Yes","Postgraduate (PhD)",IF(EE7="Yes","Post-doctoral researcher",IF(EE8="Yes","Lecturer/Assistant Professor",IF(EE9="Yes","Reader/Senior Lecturer/Associate Professor",IF(EE10="Yes","Professor",IF(EE11&lt;&gt;" ",EE11))))))))</f>
        <v>professor emerita</v>
      </c>
      <c r="EF12" s="1" t="str">
        <f t="shared" ref="EF12" si="111">IF(EF4="Yes","Undergraduate",IF(EF5="Yes","Postgraduate (MSc)",IF(EF6="Yes","Postgraduate (PhD)",IF(EF7="Yes","Post-doctoral researcher",IF(EF8="Yes","Lecturer/Assistant Professor",IF(EF9="Yes","Reader/Senior Lecturer/Associate Professor",IF(EF10="Yes","Professor",IF(EF11&lt;&gt;" ",EF11))))))))</f>
        <v>Postgraduate (PhD)</v>
      </c>
      <c r="EG12" s="1" t="str">
        <f t="shared" ref="EG12" si="112">IF(EG4="Yes","Undergraduate",IF(EG5="Yes","Postgraduate (MSc)",IF(EG6="Yes","Postgraduate (PhD)",IF(EG7="Yes","Post-doctoral researcher",IF(EG8="Yes","Lecturer/Assistant Professor",IF(EG9="Yes","Reader/Senior Lecturer/Associate Professor",IF(EG10="Yes","Professor",IF(EG11&lt;&gt;" ",EG11))))))))</f>
        <v>Post-doctoral researcher</v>
      </c>
      <c r="EH12" s="1" t="str">
        <f t="shared" ref="EH12" si="113">IF(EH4="Yes","Undergraduate",IF(EH5="Yes","Postgraduate (MSc)",IF(EH6="Yes","Postgraduate (PhD)",IF(EH7="Yes","Post-doctoral researcher",IF(EH8="Yes","Lecturer/Assistant Professor",IF(EH9="Yes","Reader/Senior Lecturer/Associate Professor",IF(EH10="Yes","Professor",IF(EH11&lt;&gt;" ",EH11))))))))</f>
        <v>Post-doctoral researcher</v>
      </c>
      <c r="EI12" s="1" t="str">
        <f t="shared" ref="EI12" si="114">IF(EI4="Yes","Undergraduate",IF(EI5="Yes","Postgraduate (MSc)",IF(EI6="Yes","Postgraduate (PhD)",IF(EI7="Yes","Post-doctoral researcher",IF(EI8="Yes","Lecturer/Assistant Professor",IF(EI9="Yes","Reader/Senior Lecturer/Associate Professor",IF(EI10="Yes","Professor",IF(EI11&lt;&gt;" ",EI11))))))))</f>
        <v>Postgraduate (PhD)</v>
      </c>
      <c r="EJ12" s="1" t="str">
        <f t="shared" ref="EJ12" si="115">IF(EJ4="Yes","Undergraduate",IF(EJ5="Yes","Postgraduate (MSc)",IF(EJ6="Yes","Postgraduate (PhD)",IF(EJ7="Yes","Post-doctoral researcher",IF(EJ8="Yes","Lecturer/Assistant Professor",IF(EJ9="Yes","Reader/Senior Lecturer/Associate Professor",IF(EJ10="Yes","Professor",IF(EJ11&lt;&gt;" ",EJ11))))))))</f>
        <v>Postgraduate (PhD)</v>
      </c>
      <c r="EK12" s="1" t="str">
        <f t="shared" ref="EK12" si="116">IF(EK4="Yes","Undergraduate",IF(EK5="Yes","Postgraduate (MSc)",IF(EK6="Yes","Postgraduate (PhD)",IF(EK7="Yes","Post-doctoral researcher",IF(EK8="Yes","Lecturer/Assistant Professor",IF(EK9="Yes","Reader/Senior Lecturer/Associate Professor",IF(EK10="Yes","Professor",IF(EK11&lt;&gt;" ",EK11))))))))</f>
        <v>Post-doctoral researcher</v>
      </c>
      <c r="EL12" s="1" t="str">
        <f t="shared" ref="EL12" si="117">IF(EL4="Yes","Undergraduate",IF(EL5="Yes","Postgraduate (MSc)",IF(EL6="Yes","Postgraduate (PhD)",IF(EL7="Yes","Post-doctoral researcher",IF(EL8="Yes","Lecturer/Assistant Professor",IF(EL9="Yes","Reader/Senior Lecturer/Associate Professor",IF(EL10="Yes","Professor",IF(EL11&lt;&gt;" ",EL11))))))))</f>
        <v>Lecturer/Assistant Professor</v>
      </c>
      <c r="EM12" s="1" t="str">
        <f t="shared" ref="EM12" si="118">IF(EM4="Yes","Undergraduate",IF(EM5="Yes","Postgraduate (MSc)",IF(EM6="Yes","Postgraduate (PhD)",IF(EM7="Yes","Post-doctoral researcher",IF(EM8="Yes","Lecturer/Assistant Professor",IF(EM9="Yes","Reader/Senior Lecturer/Associate Professor",IF(EM10="Yes","Professor",IF(EM11&lt;&gt;" ",EM11))))))))</f>
        <v>Postgraduate (PhD)</v>
      </c>
      <c r="EN12" s="1" t="str">
        <f t="shared" ref="EN12" si="119">IF(EN4="Yes","Undergraduate",IF(EN5="Yes","Postgraduate (MSc)",IF(EN6="Yes","Postgraduate (PhD)",IF(EN7="Yes","Post-doctoral researcher",IF(EN8="Yes","Lecturer/Assistant Professor",IF(EN9="Yes","Reader/Senior Lecturer/Associate Professor",IF(EN10="Yes","Professor",IF(EN11&lt;&gt;" ",EN11))))))))</f>
        <v>Reader/Senior Lecturer/Associate Professor</v>
      </c>
      <c r="EO12" s="1" t="str">
        <f t="shared" ref="EO12:EP12" si="120">IF(EO4="Yes","Undergraduate",IF(EO5="Yes","Postgraduate (MSc)",IF(EO6="Yes","Postgraduate (PhD)",IF(EO7="Yes","Post-doctoral researcher",IF(EO8="Yes","Lecturer/Assistant Professor",IF(EO9="Yes","Reader/Senior Lecturer/Associate Professor",IF(EO10="Yes","Professor",IF(EO11&lt;&gt;" ",EO11))))))))</f>
        <v>Professor</v>
      </c>
      <c r="EP12" s="1" t="str">
        <f t="shared" si="120"/>
        <v>Lecturer/Assistant Professor</v>
      </c>
      <c r="EQ12" s="1" t="str">
        <f t="shared" ref="EQ12" si="121">IF(EQ4="Yes","Undergraduate",IF(EQ5="Yes","Postgraduate (MSc)",IF(EQ6="Yes","Postgraduate (PhD)",IF(EQ7="Yes","Post-doctoral researcher",IF(EQ8="Yes","Lecturer/Assistant Professor",IF(EQ9="Yes","Reader/Senior Lecturer/Associate Professor",IF(EQ10="Yes","Professor",IF(EQ11&lt;&gt;" ",EQ11))))))))</f>
        <v>Postgraduate (PhD)</v>
      </c>
      <c r="ER12" s="1" t="str">
        <f t="shared" ref="ER12" si="122">IF(ER4="Yes","Undergraduate",IF(ER5="Yes","Postgraduate (MSc)",IF(ER6="Yes","Postgraduate (PhD)",IF(ER7="Yes","Post-doctoral researcher",IF(ER8="Yes","Lecturer/Assistant Professor",IF(ER9="Yes","Reader/Senior Lecturer/Associate Professor",IF(ER10="Yes","Professor",IF(ER11&lt;&gt;" ",ER11))))))))</f>
        <v>Lecturer/Assistant Professor</v>
      </c>
      <c r="ES12" s="1" t="str">
        <f t="shared" ref="ES12" si="123">IF(ES4="Yes","Undergraduate",IF(ES5="Yes","Postgraduate (MSc)",IF(ES6="Yes","Postgraduate (PhD)",IF(ES7="Yes","Post-doctoral researcher",IF(ES8="Yes","Lecturer/Assistant Professor",IF(ES9="Yes","Reader/Senior Lecturer/Associate Professor",IF(ES10="Yes","Professor",IF(ES11&lt;&gt;" ",ES11))))))))</f>
        <v>Postgraduate (PhD)</v>
      </c>
      <c r="ET12" s="1" t="str">
        <f t="shared" ref="ET12" si="124">IF(ET4="Yes","Undergraduate",IF(ET5="Yes","Postgraduate (MSc)",IF(ET6="Yes","Postgraduate (PhD)",IF(ET7="Yes","Post-doctoral researcher",IF(ET8="Yes","Lecturer/Assistant Professor",IF(ET9="Yes","Reader/Senior Lecturer/Associate Professor",IF(ET10="Yes","Professor",IF(ET11&lt;&gt;" ",ET11))))))))</f>
        <v>Post-doctoral researcher</v>
      </c>
      <c r="EU12" s="1" t="str">
        <f t="shared" ref="EU12" si="125">IF(EU4="Yes","Undergraduate",IF(EU5="Yes","Postgraduate (MSc)",IF(EU6="Yes","Postgraduate (PhD)",IF(EU7="Yes","Post-doctoral researcher",IF(EU8="Yes","Lecturer/Assistant Professor",IF(EU9="Yes","Reader/Senior Lecturer/Associate Professor",IF(EU10="Yes","Professor",IF(EU11&lt;&gt;" ",EU11))))))))</f>
        <v>Lecturer/Assistant Professor</v>
      </c>
      <c r="EV12" s="1" t="str">
        <f t="shared" ref="EV12" si="126">IF(EV4="Yes","Undergraduate",IF(EV5="Yes","Postgraduate (MSc)",IF(EV6="Yes","Postgraduate (PhD)",IF(EV7="Yes","Post-doctoral researcher",IF(EV8="Yes","Lecturer/Assistant Professor",IF(EV9="Yes","Reader/Senior Lecturer/Associate Professor",IF(EV10="Yes","Professor",IF(EV11&lt;&gt;" ",EV11))))))))</f>
        <v>Postgraduate (PhD)</v>
      </c>
      <c r="EW12" s="1" t="str">
        <f t="shared" ref="EW12" si="127">IF(EW4="Yes","Undergraduate",IF(EW5="Yes","Postgraduate (MSc)",IF(EW6="Yes","Postgraduate (PhD)",IF(EW7="Yes","Post-doctoral researcher",IF(EW8="Yes","Lecturer/Assistant Professor",IF(EW9="Yes","Reader/Senior Lecturer/Associate Professor",IF(EW10="Yes","Professor",IF(EW11&lt;&gt;" ",EW11))))))))</f>
        <v>Postgraduate (PhD)</v>
      </c>
      <c r="EX12" s="1" t="str">
        <f t="shared" ref="EX12" si="128">IF(EX4="Yes","Undergraduate",IF(EX5="Yes","Postgraduate (MSc)",IF(EX6="Yes","Postgraduate (PhD)",IF(EX7="Yes","Post-doctoral researcher",IF(EX8="Yes","Lecturer/Assistant Professor",IF(EX9="Yes","Reader/Senior Lecturer/Associate Professor",IF(EX10="Yes","Professor",IF(EX11&lt;&gt;" ",EX11))))))))</f>
        <v>Researcher</v>
      </c>
      <c r="EY12" s="1" t="str">
        <f t="shared" ref="EY12" si="129">IF(EY4="Yes","Undergraduate",IF(EY5="Yes","Postgraduate (MSc)",IF(EY6="Yes","Postgraduate (PhD)",IF(EY7="Yes","Post-doctoral researcher",IF(EY8="Yes","Lecturer/Assistant Professor",IF(EY9="Yes","Reader/Senior Lecturer/Associate Professor",IF(EY10="Yes","Professor",IF(EY11&lt;&gt;" ",EY11))))))))</f>
        <v>Reader/Senior Lecturer/Associate Professor</v>
      </c>
      <c r="EZ12" s="1" t="str">
        <f t="shared" ref="EZ12" si="130">IF(EZ4="Yes","Undergraduate",IF(EZ5="Yes","Postgraduate (MSc)",IF(EZ6="Yes","Postgraduate (PhD)",IF(EZ7="Yes","Post-doctoral researcher",IF(EZ8="Yes","Lecturer/Assistant Professor",IF(EZ9="Yes","Reader/Senior Lecturer/Associate Professor",IF(EZ10="Yes","Professor",IF(EZ11&lt;&gt;" ",EZ11))))))))</f>
        <v>Postgraduate (PhD)</v>
      </c>
      <c r="FA12" s="1" t="str">
        <f t="shared" ref="FA12" si="131">IF(FA4="Yes","Undergraduate",IF(FA5="Yes","Postgraduate (MSc)",IF(FA6="Yes","Postgraduate (PhD)",IF(FA7="Yes","Post-doctoral researcher",IF(FA8="Yes","Lecturer/Assistant Professor",IF(FA9="Yes","Reader/Senior Lecturer/Associate Professor",IF(FA10="Yes","Professor",IF(FA11&lt;&gt;" ",FA11))))))))</f>
        <v>Postgraduate (PhD)</v>
      </c>
      <c r="FB12" s="1" t="str">
        <f t="shared" ref="FB12" si="132">IF(FB4="Yes","Undergraduate",IF(FB5="Yes","Postgraduate (MSc)",IF(FB6="Yes","Postgraduate (PhD)",IF(FB7="Yes","Post-doctoral researcher",IF(FB8="Yes","Lecturer/Assistant Professor",IF(FB9="Yes","Reader/Senior Lecturer/Associate Professor",IF(FB10="Yes","Professor",IF(FB11&lt;&gt;" ",FB11))))))))</f>
        <v>Post-doctoral researcher</v>
      </c>
      <c r="FC12" s="1" t="str">
        <f t="shared" ref="FC12:FH12" si="133">IF(FC4="Yes","Undergraduate",IF(FC5="Yes","Postgraduate (MSc)",IF(FC6="Yes","Postgraduate (PhD)",IF(FC7="Yes","Post-doctoral researcher",IF(FC8="Yes","Lecturer/Assistant Professor",IF(FC9="Yes","Reader/Senior Lecturer/Associate Professor",IF(FC10="Yes","Professor",IF(FC11&lt;&gt;" ",FC11))))))))</f>
        <v>Postgraduate (PhD)</v>
      </c>
      <c r="FD12" s="1" t="str">
        <f t="shared" si="133"/>
        <v>Post-doctoral researcher</v>
      </c>
      <c r="FE12" s="1" t="str">
        <f t="shared" si="133"/>
        <v>Post-doctoral researcher</v>
      </c>
      <c r="FF12" s="1" t="str">
        <f t="shared" si="133"/>
        <v>Lecturer/Assistant Professor</v>
      </c>
      <c r="FG12" s="1" t="str">
        <f t="shared" si="133"/>
        <v>Post-doctoral researcher</v>
      </c>
      <c r="FH12" s="1" t="str">
        <f t="shared" si="133"/>
        <v>Professor</v>
      </c>
    </row>
    <row r="13" spans="1:164" ht="20" customHeight="1" x14ac:dyDescent="0.2">
      <c r="A13" s="2" t="s">
        <v>11</v>
      </c>
      <c r="B13" s="1" t="s">
        <v>47</v>
      </c>
      <c r="C13" s="1" t="s">
        <v>47</v>
      </c>
      <c r="D13" s="1" t="s">
        <v>47</v>
      </c>
      <c r="E13" s="1" t="s">
        <v>47</v>
      </c>
      <c r="F13" s="1" t="s">
        <v>47</v>
      </c>
      <c r="G13" s="1" t="s">
        <v>47</v>
      </c>
      <c r="H13" s="1" t="s">
        <v>47</v>
      </c>
      <c r="I13" s="1" t="s">
        <v>47</v>
      </c>
      <c r="J13" s="1" t="s">
        <v>46</v>
      </c>
      <c r="K13" s="1" t="s">
        <v>46</v>
      </c>
      <c r="L13" s="1" t="s">
        <v>46</v>
      </c>
      <c r="M13" s="1" t="s">
        <v>46</v>
      </c>
      <c r="N13" s="1" t="s">
        <v>46</v>
      </c>
      <c r="O13" s="1" t="s">
        <v>47</v>
      </c>
      <c r="P13" s="1" t="s">
        <v>46</v>
      </c>
      <c r="Q13" s="1" t="s">
        <v>46</v>
      </c>
      <c r="R13" s="1" t="s">
        <v>46</v>
      </c>
      <c r="S13" s="1" t="s">
        <v>46</v>
      </c>
      <c r="T13" s="1" t="s">
        <v>47</v>
      </c>
      <c r="U13" s="1" t="s">
        <v>46</v>
      </c>
      <c r="V13" s="1" t="s">
        <v>46</v>
      </c>
      <c r="W13" s="1" t="s">
        <v>46</v>
      </c>
      <c r="X13" s="1" t="s">
        <v>46</v>
      </c>
      <c r="Y13" s="1" t="s">
        <v>46</v>
      </c>
      <c r="Z13" s="1" t="s">
        <v>46</v>
      </c>
      <c r="AA13" s="1" t="s">
        <v>46</v>
      </c>
      <c r="AB13" s="1" t="s">
        <v>46</v>
      </c>
      <c r="AC13" s="1" t="s">
        <v>46</v>
      </c>
      <c r="AD13" s="1" t="s">
        <v>46</v>
      </c>
      <c r="AE13" s="1" t="s">
        <v>47</v>
      </c>
      <c r="AF13" s="1" t="s">
        <v>46</v>
      </c>
      <c r="AG13" s="1" t="s">
        <v>46</v>
      </c>
      <c r="AH13" s="1" t="s">
        <v>46</v>
      </c>
      <c r="AI13" s="1" t="s">
        <v>46</v>
      </c>
      <c r="AJ13" s="1" t="s">
        <v>47</v>
      </c>
      <c r="AK13" s="1" t="s">
        <v>47</v>
      </c>
      <c r="AL13" s="1" t="s">
        <v>46</v>
      </c>
      <c r="AM13" s="1" t="s">
        <v>46</v>
      </c>
      <c r="AN13" s="1" t="s">
        <v>46</v>
      </c>
      <c r="AO13" s="1" t="s">
        <v>46</v>
      </c>
      <c r="AP13" s="1" t="s">
        <v>46</v>
      </c>
      <c r="AQ13" s="1" t="s">
        <v>46</v>
      </c>
      <c r="AR13" s="1" t="s">
        <v>47</v>
      </c>
      <c r="AS13" s="1" t="s">
        <v>47</v>
      </c>
      <c r="AT13" s="1" t="s">
        <v>46</v>
      </c>
      <c r="AU13" s="1" t="s">
        <v>46</v>
      </c>
      <c r="AV13" s="1" t="s">
        <v>46</v>
      </c>
      <c r="AW13" s="1" t="s">
        <v>46</v>
      </c>
      <c r="AX13" s="1" t="s">
        <v>46</v>
      </c>
      <c r="AY13" s="1" t="s">
        <v>46</v>
      </c>
      <c r="AZ13" s="1" t="s">
        <v>46</v>
      </c>
      <c r="BA13" s="1" t="s">
        <v>46</v>
      </c>
      <c r="BB13" s="1" t="s">
        <v>46</v>
      </c>
      <c r="BC13" s="1" t="s">
        <v>46</v>
      </c>
      <c r="BD13" s="1" t="s">
        <v>46</v>
      </c>
      <c r="BE13" s="1" t="s">
        <v>46</v>
      </c>
      <c r="BF13" s="1" t="s">
        <v>46</v>
      </c>
      <c r="BG13" s="1" t="s">
        <v>46</v>
      </c>
      <c r="BH13" s="1" t="s">
        <v>46</v>
      </c>
      <c r="BI13" s="1" t="s">
        <v>46</v>
      </c>
      <c r="BJ13" s="1" t="s">
        <v>46</v>
      </c>
      <c r="BK13" s="1" t="s">
        <v>46</v>
      </c>
      <c r="BL13" s="1" t="s">
        <v>47</v>
      </c>
      <c r="BM13" s="1" t="s">
        <v>47</v>
      </c>
      <c r="BN13" s="1" t="s">
        <v>46</v>
      </c>
      <c r="BO13" s="1" t="s">
        <v>47</v>
      </c>
      <c r="BP13" s="1" t="s">
        <v>47</v>
      </c>
      <c r="BQ13" s="1" t="s">
        <v>46</v>
      </c>
      <c r="BR13" s="1" t="s">
        <v>46</v>
      </c>
      <c r="BS13" s="1" t="s">
        <v>46</v>
      </c>
      <c r="BT13" s="1" t="s">
        <v>46</v>
      </c>
      <c r="BU13" s="1" t="s">
        <v>46</v>
      </c>
      <c r="BV13" s="1" t="s">
        <v>46</v>
      </c>
      <c r="BW13" s="1" t="s">
        <v>46</v>
      </c>
      <c r="BX13" s="1" t="s">
        <v>46</v>
      </c>
      <c r="BY13" s="1" t="s">
        <v>47</v>
      </c>
      <c r="BZ13" s="1" t="s">
        <v>46</v>
      </c>
      <c r="CA13" s="1" t="s">
        <v>46</v>
      </c>
      <c r="CB13" s="1" t="s">
        <v>46</v>
      </c>
      <c r="CC13" s="1" t="s">
        <v>46</v>
      </c>
      <c r="CD13" s="1" t="s">
        <v>46</v>
      </c>
      <c r="CE13" s="1" t="s">
        <v>46</v>
      </c>
      <c r="CF13" s="1" t="s">
        <v>46</v>
      </c>
      <c r="CG13" s="1" t="s">
        <v>46</v>
      </c>
      <c r="CH13" s="1" t="s">
        <v>47</v>
      </c>
      <c r="CI13" s="1" t="s">
        <v>46</v>
      </c>
      <c r="CJ13" s="1" t="s">
        <v>46</v>
      </c>
      <c r="CK13" s="1" t="s">
        <v>46</v>
      </c>
      <c r="CL13" s="1" t="s">
        <v>46</v>
      </c>
      <c r="CM13" s="1" t="s">
        <v>47</v>
      </c>
      <c r="CN13" s="1" t="s">
        <v>46</v>
      </c>
      <c r="CO13" s="1" t="s">
        <v>47</v>
      </c>
      <c r="CP13" s="1" t="s">
        <v>46</v>
      </c>
      <c r="CQ13" s="1" t="s">
        <v>46</v>
      </c>
      <c r="CR13" s="1" t="s">
        <v>46</v>
      </c>
      <c r="CS13" s="1" t="s">
        <v>46</v>
      </c>
      <c r="CT13" s="1" t="s">
        <v>47</v>
      </c>
      <c r="CU13" s="1" t="s">
        <v>46</v>
      </c>
      <c r="CV13" s="1" t="s">
        <v>47</v>
      </c>
      <c r="CW13" s="1" t="s">
        <v>47</v>
      </c>
      <c r="CX13" s="1" t="s">
        <v>46</v>
      </c>
      <c r="CY13" s="1" t="s">
        <v>47</v>
      </c>
      <c r="CZ13" s="1" t="s">
        <v>46</v>
      </c>
      <c r="DA13" s="1" t="s">
        <v>47</v>
      </c>
      <c r="DB13" s="1" t="s">
        <v>46</v>
      </c>
      <c r="DC13" s="1" t="s">
        <v>46</v>
      </c>
      <c r="DD13" s="1" t="s">
        <v>47</v>
      </c>
      <c r="DE13" s="1" t="s">
        <v>47</v>
      </c>
      <c r="DF13" s="1" t="s">
        <v>47</v>
      </c>
      <c r="DG13" s="1" t="s">
        <v>47</v>
      </c>
      <c r="DH13" s="1" t="s">
        <v>46</v>
      </c>
      <c r="DI13" s="1" t="s">
        <v>46</v>
      </c>
      <c r="DJ13" s="1" t="s">
        <v>47</v>
      </c>
      <c r="DK13" s="1" t="s">
        <v>46</v>
      </c>
      <c r="DL13" s="1" t="s">
        <v>46</v>
      </c>
      <c r="DM13" s="1" t="s">
        <v>47</v>
      </c>
      <c r="DN13" s="1" t="s">
        <v>46</v>
      </c>
      <c r="DO13" s="1" t="s">
        <v>46</v>
      </c>
      <c r="DP13" s="1" t="s">
        <v>46</v>
      </c>
      <c r="DQ13" s="1" t="s">
        <v>46</v>
      </c>
      <c r="DR13" s="1" t="s">
        <v>46</v>
      </c>
      <c r="DS13" s="1" t="s">
        <v>46</v>
      </c>
      <c r="DT13" s="1" t="s">
        <v>46</v>
      </c>
      <c r="DU13" s="1" t="s">
        <v>46</v>
      </c>
      <c r="DV13" s="1" t="s">
        <v>46</v>
      </c>
      <c r="DW13" s="1" t="s">
        <v>47</v>
      </c>
      <c r="DX13" s="1" t="s">
        <v>47</v>
      </c>
      <c r="DY13" s="1" t="s">
        <v>46</v>
      </c>
      <c r="DZ13" s="1" t="s">
        <v>47</v>
      </c>
      <c r="EA13" s="1" t="s">
        <v>46</v>
      </c>
      <c r="EB13" s="1" t="s">
        <v>47</v>
      </c>
      <c r="EC13" s="1" t="s">
        <v>46</v>
      </c>
      <c r="ED13" s="1" t="s">
        <v>46</v>
      </c>
      <c r="EE13" s="1" t="s">
        <v>46</v>
      </c>
      <c r="EF13" s="1" t="s">
        <v>46</v>
      </c>
      <c r="EG13" s="1" t="s">
        <v>46</v>
      </c>
      <c r="EH13" s="1" t="s">
        <v>46</v>
      </c>
      <c r="EI13" s="1" t="s">
        <v>46</v>
      </c>
      <c r="EJ13" s="1" t="s">
        <v>46</v>
      </c>
      <c r="EK13" s="1" t="s">
        <v>46</v>
      </c>
      <c r="EL13" s="40" t="s">
        <v>46</v>
      </c>
      <c r="EM13" s="1" t="s">
        <v>46</v>
      </c>
      <c r="EN13" s="1" t="s">
        <v>46</v>
      </c>
      <c r="EO13" s="1" t="s">
        <v>46</v>
      </c>
      <c r="EP13" s="1" t="s">
        <v>47</v>
      </c>
      <c r="EQ13" s="1" t="s">
        <v>46</v>
      </c>
      <c r="ER13" s="1" t="s">
        <v>46</v>
      </c>
      <c r="ES13" s="1" t="s">
        <v>47</v>
      </c>
      <c r="ET13" s="1" t="s">
        <v>46</v>
      </c>
      <c r="EU13" s="1" t="s">
        <v>46</v>
      </c>
      <c r="EV13" s="1" t="s">
        <v>47</v>
      </c>
      <c r="EW13" s="1" t="s">
        <v>47</v>
      </c>
      <c r="EX13" s="1" t="s">
        <v>46</v>
      </c>
      <c r="EY13" s="1" t="s">
        <v>46</v>
      </c>
      <c r="EZ13" s="1" t="s">
        <v>46</v>
      </c>
      <c r="FA13" s="1" t="s">
        <v>46</v>
      </c>
      <c r="FB13" s="1" t="s">
        <v>46</v>
      </c>
      <c r="FC13" s="1" t="s">
        <v>46</v>
      </c>
      <c r="FD13" s="1" t="s">
        <v>46</v>
      </c>
      <c r="FE13" s="1" t="s">
        <v>46</v>
      </c>
      <c r="FF13" s="1" t="s">
        <v>46</v>
      </c>
      <c r="FG13" s="1" t="s">
        <v>46</v>
      </c>
      <c r="FH13" s="1" t="s">
        <v>46</v>
      </c>
    </row>
    <row r="14" spans="1:164" ht="20" customHeight="1" x14ac:dyDescent="0.2">
      <c r="A14" s="2" t="s">
        <v>12</v>
      </c>
      <c r="B14" s="1" t="s">
        <v>46</v>
      </c>
      <c r="C14" s="1" t="s">
        <v>46</v>
      </c>
      <c r="D14" s="1" t="s">
        <v>46</v>
      </c>
      <c r="E14" s="1" t="s">
        <v>46</v>
      </c>
      <c r="F14" s="1" t="s">
        <v>46</v>
      </c>
      <c r="G14" s="1" t="s">
        <v>46</v>
      </c>
      <c r="H14" s="1" t="s">
        <v>46</v>
      </c>
      <c r="I14" s="1" t="s">
        <v>46</v>
      </c>
      <c r="J14" s="1" t="s">
        <v>47</v>
      </c>
      <c r="K14" s="1" t="s">
        <v>47</v>
      </c>
      <c r="L14" s="1" t="s">
        <v>47</v>
      </c>
      <c r="M14" s="1" t="s">
        <v>47</v>
      </c>
      <c r="N14" s="1" t="s">
        <v>46</v>
      </c>
      <c r="O14" s="1" t="s">
        <v>46</v>
      </c>
      <c r="P14" s="1" t="s">
        <v>47</v>
      </c>
      <c r="Q14" s="1" t="s">
        <v>46</v>
      </c>
      <c r="R14" s="1" t="s">
        <v>46</v>
      </c>
      <c r="S14" s="1" t="s">
        <v>47</v>
      </c>
      <c r="T14" s="1" t="s">
        <v>46</v>
      </c>
      <c r="U14" s="1" t="s">
        <v>47</v>
      </c>
      <c r="V14" s="1" t="s">
        <v>47</v>
      </c>
      <c r="W14" s="1" t="s">
        <v>46</v>
      </c>
      <c r="X14" s="1" t="s">
        <v>46</v>
      </c>
      <c r="Y14" s="1" t="s">
        <v>47</v>
      </c>
      <c r="Z14" s="1" t="s">
        <v>47</v>
      </c>
      <c r="AA14" s="1" t="s">
        <v>46</v>
      </c>
      <c r="AB14" s="1" t="s">
        <v>47</v>
      </c>
      <c r="AC14" s="1" t="s">
        <v>47</v>
      </c>
      <c r="AD14" s="1" t="s">
        <v>47</v>
      </c>
      <c r="AE14" s="1" t="s">
        <v>46</v>
      </c>
      <c r="AF14" s="1" t="s">
        <v>47</v>
      </c>
      <c r="AG14" s="1" t="s">
        <v>47</v>
      </c>
      <c r="AH14" s="1" t="s">
        <v>47</v>
      </c>
      <c r="AI14" s="1" t="s">
        <v>47</v>
      </c>
      <c r="AJ14" s="1" t="s">
        <v>46</v>
      </c>
      <c r="AK14" s="1" t="s">
        <v>46</v>
      </c>
      <c r="AL14" s="1" t="s">
        <v>47</v>
      </c>
      <c r="AM14" s="1" t="s">
        <v>47</v>
      </c>
      <c r="AN14" s="1" t="s">
        <v>47</v>
      </c>
      <c r="AO14" s="1" t="s">
        <v>47</v>
      </c>
      <c r="AP14" s="1" t="s">
        <v>47</v>
      </c>
      <c r="AQ14" s="1" t="s">
        <v>47</v>
      </c>
      <c r="AR14" s="1" t="s">
        <v>46</v>
      </c>
      <c r="AS14" s="1" t="s">
        <v>46</v>
      </c>
      <c r="AT14" s="1" t="s">
        <v>47</v>
      </c>
      <c r="AU14" s="1" t="s">
        <v>46</v>
      </c>
      <c r="AV14" s="1" t="s">
        <v>47</v>
      </c>
      <c r="AW14" s="1" t="s">
        <v>47</v>
      </c>
      <c r="AX14" s="1" t="s">
        <v>47</v>
      </c>
      <c r="AY14" s="1" t="s">
        <v>46</v>
      </c>
      <c r="AZ14" s="1" t="s">
        <v>47</v>
      </c>
      <c r="BA14" s="1" t="s">
        <v>47</v>
      </c>
      <c r="BB14" s="1" t="s">
        <v>47</v>
      </c>
      <c r="BC14" s="1" t="s">
        <v>47</v>
      </c>
      <c r="BD14" s="1" t="s">
        <v>47</v>
      </c>
      <c r="BE14" s="1" t="s">
        <v>47</v>
      </c>
      <c r="BF14" s="1" t="s">
        <v>47</v>
      </c>
      <c r="BG14" s="1" t="s">
        <v>47</v>
      </c>
      <c r="BH14" s="1" t="s">
        <v>47</v>
      </c>
      <c r="BI14" s="1" t="s">
        <v>47</v>
      </c>
      <c r="BJ14" s="1" t="s">
        <v>47</v>
      </c>
      <c r="BK14" s="1" t="s">
        <v>47</v>
      </c>
      <c r="BL14" s="1" t="s">
        <v>46</v>
      </c>
      <c r="BM14" s="1" t="s">
        <v>46</v>
      </c>
      <c r="BN14" s="1" t="s">
        <v>47</v>
      </c>
      <c r="BO14" s="1" t="s">
        <v>46</v>
      </c>
      <c r="BP14" s="1" t="s">
        <v>46</v>
      </c>
      <c r="BQ14" s="1" t="s">
        <v>47</v>
      </c>
      <c r="BR14" s="1" t="s">
        <v>46</v>
      </c>
      <c r="BS14" s="1" t="s">
        <v>47</v>
      </c>
      <c r="BT14" s="1" t="s">
        <v>47</v>
      </c>
      <c r="BU14" s="1" t="s">
        <v>47</v>
      </c>
      <c r="BV14" s="1" t="s">
        <v>46</v>
      </c>
      <c r="BW14" s="1" t="s">
        <v>47</v>
      </c>
      <c r="BX14" s="1" t="s">
        <v>47</v>
      </c>
      <c r="BY14" s="1" t="s">
        <v>46</v>
      </c>
      <c r="BZ14" s="1" t="s">
        <v>47</v>
      </c>
      <c r="CA14" s="1" t="s">
        <v>47</v>
      </c>
      <c r="CB14" s="1" t="s">
        <v>47</v>
      </c>
      <c r="CC14" s="1" t="s">
        <v>47</v>
      </c>
      <c r="CD14" s="1" t="s">
        <v>47</v>
      </c>
      <c r="CE14" s="1" t="s">
        <v>47</v>
      </c>
      <c r="CF14" s="1" t="s">
        <v>47</v>
      </c>
      <c r="CG14" s="1" t="s">
        <v>47</v>
      </c>
      <c r="CH14" s="1" t="s">
        <v>46</v>
      </c>
      <c r="CI14" s="1" t="s">
        <v>47</v>
      </c>
      <c r="CJ14" s="1" t="s">
        <v>46</v>
      </c>
      <c r="CK14" s="1" t="s">
        <v>47</v>
      </c>
      <c r="CL14" s="1" t="s">
        <v>47</v>
      </c>
      <c r="CM14" s="1" t="s">
        <v>46</v>
      </c>
      <c r="CN14" s="1" t="s">
        <v>46</v>
      </c>
      <c r="CO14" s="1" t="s">
        <v>46</v>
      </c>
      <c r="CP14" s="1" t="s">
        <v>47</v>
      </c>
      <c r="CQ14" s="1" t="s">
        <v>47</v>
      </c>
      <c r="CR14" s="1" t="s">
        <v>47</v>
      </c>
      <c r="CS14" s="1" t="s">
        <v>47</v>
      </c>
      <c r="CT14" s="1" t="s">
        <v>46</v>
      </c>
      <c r="CU14" s="1" t="s">
        <v>47</v>
      </c>
      <c r="CV14" s="1" t="s">
        <v>46</v>
      </c>
      <c r="CW14" s="1" t="s">
        <v>46</v>
      </c>
      <c r="CX14" s="1" t="s">
        <v>47</v>
      </c>
      <c r="CY14" s="1" t="s">
        <v>46</v>
      </c>
      <c r="CZ14" s="1" t="s">
        <v>46</v>
      </c>
      <c r="DA14" s="1" t="s">
        <v>46</v>
      </c>
      <c r="DB14" s="1" t="s">
        <v>47</v>
      </c>
      <c r="DC14" s="1" t="s">
        <v>47</v>
      </c>
      <c r="DD14" s="1" t="s">
        <v>46</v>
      </c>
      <c r="DE14" s="1" t="s">
        <v>46</v>
      </c>
      <c r="DF14" s="1" t="s">
        <v>46</v>
      </c>
      <c r="DG14" s="1" t="s">
        <v>46</v>
      </c>
      <c r="DH14" s="1" t="s">
        <v>47</v>
      </c>
      <c r="DI14" s="1" t="s">
        <v>47</v>
      </c>
      <c r="DJ14" s="1" t="s">
        <v>46</v>
      </c>
      <c r="DK14" s="1" t="s">
        <v>47</v>
      </c>
      <c r="DL14" s="1" t="s">
        <v>47</v>
      </c>
      <c r="DM14" s="1" t="s">
        <v>46</v>
      </c>
      <c r="DN14" s="1" t="s">
        <v>47</v>
      </c>
      <c r="DO14" s="1" t="s">
        <v>46</v>
      </c>
      <c r="DP14" s="1" t="s">
        <v>47</v>
      </c>
      <c r="DQ14" s="1" t="s">
        <v>47</v>
      </c>
      <c r="DR14" s="1" t="s">
        <v>47</v>
      </c>
      <c r="DS14" s="1" t="s">
        <v>46</v>
      </c>
      <c r="DT14" s="1" t="s">
        <v>47</v>
      </c>
      <c r="DU14" s="1" t="s">
        <v>47</v>
      </c>
      <c r="DV14" s="1" t="s">
        <v>46</v>
      </c>
      <c r="DW14" s="1" t="s">
        <v>46</v>
      </c>
      <c r="DX14" s="1" t="s">
        <v>46</v>
      </c>
      <c r="DY14" s="1" t="s">
        <v>46</v>
      </c>
      <c r="DZ14" s="1" t="s">
        <v>46</v>
      </c>
      <c r="EA14" s="1" t="s">
        <v>47</v>
      </c>
      <c r="EB14" s="1" t="s">
        <v>46</v>
      </c>
      <c r="EC14" s="1" t="s">
        <v>46</v>
      </c>
      <c r="ED14" s="1" t="s">
        <v>47</v>
      </c>
      <c r="EE14" s="1" t="s">
        <v>47</v>
      </c>
      <c r="EF14" s="1" t="s">
        <v>47</v>
      </c>
      <c r="EG14" s="1" t="s">
        <v>47</v>
      </c>
      <c r="EH14" s="1" t="s">
        <v>47</v>
      </c>
      <c r="EI14" s="1" t="s">
        <v>47</v>
      </c>
      <c r="EJ14" s="1" t="s">
        <v>47</v>
      </c>
      <c r="EK14" s="1" t="s">
        <v>47</v>
      </c>
      <c r="EL14" s="40" t="s">
        <v>46</v>
      </c>
      <c r="EM14" s="1" t="s">
        <v>47</v>
      </c>
      <c r="EN14" s="1" t="s">
        <v>47</v>
      </c>
      <c r="EO14" s="1" t="s">
        <v>47</v>
      </c>
      <c r="EP14" s="1" t="s">
        <v>46</v>
      </c>
      <c r="EQ14" s="1" t="s">
        <v>46</v>
      </c>
      <c r="ER14" s="1" t="s">
        <v>47</v>
      </c>
      <c r="ES14" s="1" t="s">
        <v>46</v>
      </c>
      <c r="ET14" s="1" t="s">
        <v>46</v>
      </c>
      <c r="EU14" s="1" t="s">
        <v>46</v>
      </c>
      <c r="EV14" s="1" t="s">
        <v>46</v>
      </c>
      <c r="EW14" s="1" t="s">
        <v>46</v>
      </c>
      <c r="EX14" s="1" t="s">
        <v>47</v>
      </c>
      <c r="EY14" s="1" t="s">
        <v>47</v>
      </c>
      <c r="EZ14" s="1" t="s">
        <v>47</v>
      </c>
      <c r="FA14" s="1" t="s">
        <v>47</v>
      </c>
      <c r="FB14" s="1" t="s">
        <v>47</v>
      </c>
      <c r="FC14" s="1" t="s">
        <v>46</v>
      </c>
      <c r="FD14" s="1" t="s">
        <v>47</v>
      </c>
      <c r="FE14" s="1" t="s">
        <v>47</v>
      </c>
      <c r="FF14" s="1" t="s">
        <v>47</v>
      </c>
      <c r="FG14" s="1" t="s">
        <v>46</v>
      </c>
      <c r="FH14" s="1" t="s">
        <v>47</v>
      </c>
    </row>
    <row r="15" spans="1:164" ht="20" customHeight="1" x14ac:dyDescent="0.2">
      <c r="A15" s="2" t="s">
        <v>13</v>
      </c>
      <c r="B15" s="1" t="s">
        <v>46</v>
      </c>
      <c r="C15" s="1" t="s">
        <v>46</v>
      </c>
      <c r="D15" s="1" t="s">
        <v>46</v>
      </c>
      <c r="E15" s="1" t="s">
        <v>46</v>
      </c>
      <c r="F15" s="1" t="s">
        <v>46</v>
      </c>
      <c r="G15" s="1" t="s">
        <v>46</v>
      </c>
      <c r="H15" s="1" t="s">
        <v>46</v>
      </c>
      <c r="I15" s="1" t="s">
        <v>46</v>
      </c>
      <c r="J15" s="1" t="s">
        <v>46</v>
      </c>
      <c r="K15" s="1" t="s">
        <v>46</v>
      </c>
      <c r="L15" s="1" t="s">
        <v>46</v>
      </c>
      <c r="M15" s="1" t="s">
        <v>46</v>
      </c>
      <c r="N15" s="1" t="s">
        <v>46</v>
      </c>
      <c r="O15" s="1" t="s">
        <v>46</v>
      </c>
      <c r="P15" s="1" t="s">
        <v>46</v>
      </c>
      <c r="Q15" s="1" t="s">
        <v>46</v>
      </c>
      <c r="R15" s="1" t="s">
        <v>46</v>
      </c>
      <c r="S15" s="1" t="s">
        <v>46</v>
      </c>
      <c r="T15" s="1" t="s">
        <v>46</v>
      </c>
      <c r="U15" s="1" t="s">
        <v>46</v>
      </c>
      <c r="V15" s="1" t="s">
        <v>46</v>
      </c>
      <c r="W15" s="1" t="s">
        <v>46</v>
      </c>
      <c r="X15" s="1" t="s">
        <v>46</v>
      </c>
      <c r="Y15" s="1" t="s">
        <v>46</v>
      </c>
      <c r="Z15" s="1" t="s">
        <v>46</v>
      </c>
      <c r="AA15" s="1" t="s">
        <v>46</v>
      </c>
      <c r="AB15" s="1" t="s">
        <v>46</v>
      </c>
      <c r="AC15" s="1" t="s">
        <v>46</v>
      </c>
      <c r="AD15" s="1" t="s">
        <v>46</v>
      </c>
      <c r="AE15" s="1" t="s">
        <v>46</v>
      </c>
      <c r="AF15" s="1" t="s">
        <v>46</v>
      </c>
      <c r="AG15" s="1" t="s">
        <v>46</v>
      </c>
      <c r="AH15" s="1" t="s">
        <v>46</v>
      </c>
      <c r="AI15" s="1" t="s">
        <v>46</v>
      </c>
      <c r="AJ15" s="1" t="s">
        <v>46</v>
      </c>
      <c r="AK15" s="1" t="s">
        <v>46</v>
      </c>
      <c r="AL15" s="1" t="s">
        <v>46</v>
      </c>
      <c r="AM15" s="1" t="s">
        <v>46</v>
      </c>
      <c r="AN15" s="1" t="s">
        <v>46</v>
      </c>
      <c r="AO15" s="1" t="s">
        <v>46</v>
      </c>
      <c r="AP15" s="1" t="s">
        <v>46</v>
      </c>
      <c r="AQ15" s="1" t="s">
        <v>46</v>
      </c>
      <c r="AR15" s="1" t="s">
        <v>46</v>
      </c>
      <c r="AS15" s="1" t="s">
        <v>46</v>
      </c>
      <c r="AT15" s="1" t="s">
        <v>46</v>
      </c>
      <c r="AU15" s="1" t="s">
        <v>46</v>
      </c>
      <c r="AV15" s="1" t="s">
        <v>46</v>
      </c>
      <c r="AW15" s="1" t="s">
        <v>46</v>
      </c>
      <c r="AX15" s="1" t="s">
        <v>46</v>
      </c>
      <c r="AY15" s="1" t="s">
        <v>46</v>
      </c>
      <c r="AZ15" s="1" t="s">
        <v>46</v>
      </c>
      <c r="BA15" s="1" t="s">
        <v>46</v>
      </c>
      <c r="BB15" s="1" t="s">
        <v>46</v>
      </c>
      <c r="BC15" s="1" t="s">
        <v>46</v>
      </c>
      <c r="BD15" s="1" t="s">
        <v>46</v>
      </c>
      <c r="BE15" s="1" t="s">
        <v>46</v>
      </c>
      <c r="BF15" s="1" t="s">
        <v>46</v>
      </c>
      <c r="BG15" s="1" t="s">
        <v>46</v>
      </c>
      <c r="BH15" s="1" t="s">
        <v>46</v>
      </c>
      <c r="BI15" s="1" t="s">
        <v>46</v>
      </c>
      <c r="BJ15" s="1" t="s">
        <v>46</v>
      </c>
      <c r="BK15" s="1" t="s">
        <v>46</v>
      </c>
      <c r="BL15" s="1" t="s">
        <v>46</v>
      </c>
      <c r="BM15" s="1" t="s">
        <v>46</v>
      </c>
      <c r="BN15" s="1" t="s">
        <v>46</v>
      </c>
      <c r="BO15" s="1" t="s">
        <v>46</v>
      </c>
      <c r="BP15" s="1" t="s">
        <v>46</v>
      </c>
      <c r="BQ15" s="1" t="s">
        <v>46</v>
      </c>
      <c r="BR15" s="1" t="s">
        <v>46</v>
      </c>
      <c r="BS15" s="1" t="s">
        <v>46</v>
      </c>
      <c r="BT15" s="1" t="s">
        <v>46</v>
      </c>
      <c r="BU15" s="1" t="s">
        <v>46</v>
      </c>
      <c r="BV15" s="1" t="s">
        <v>46</v>
      </c>
      <c r="BW15" s="1" t="s">
        <v>46</v>
      </c>
      <c r="BX15" s="1" t="s">
        <v>46</v>
      </c>
      <c r="BY15" s="1" t="s">
        <v>46</v>
      </c>
      <c r="BZ15" s="1" t="s">
        <v>46</v>
      </c>
      <c r="CA15" s="1" t="s">
        <v>46</v>
      </c>
      <c r="CB15" s="1" t="s">
        <v>46</v>
      </c>
      <c r="CC15" s="1" t="s">
        <v>46</v>
      </c>
      <c r="CD15" s="1" t="s">
        <v>46</v>
      </c>
      <c r="CE15" s="1" t="s">
        <v>46</v>
      </c>
      <c r="CF15" s="1" t="s">
        <v>46</v>
      </c>
      <c r="CG15" s="1" t="s">
        <v>46</v>
      </c>
      <c r="CH15" s="1" t="s">
        <v>46</v>
      </c>
      <c r="CI15" s="1" t="s">
        <v>46</v>
      </c>
      <c r="CJ15" s="1" t="s">
        <v>46</v>
      </c>
      <c r="CK15" s="1" t="s">
        <v>46</v>
      </c>
      <c r="CL15" s="1" t="s">
        <v>46</v>
      </c>
      <c r="CM15" s="1" t="s">
        <v>46</v>
      </c>
      <c r="CN15" s="1" t="s">
        <v>46</v>
      </c>
      <c r="CO15" s="1" t="s">
        <v>46</v>
      </c>
      <c r="CP15" s="1" t="s">
        <v>46</v>
      </c>
      <c r="CQ15" s="1" t="s">
        <v>46</v>
      </c>
      <c r="CR15" s="1" t="s">
        <v>46</v>
      </c>
      <c r="CS15" s="1" t="s">
        <v>46</v>
      </c>
      <c r="CT15" s="1" t="s">
        <v>46</v>
      </c>
      <c r="CU15" s="1" t="s">
        <v>46</v>
      </c>
      <c r="CV15" s="1" t="s">
        <v>46</v>
      </c>
      <c r="CW15" s="1" t="s">
        <v>46</v>
      </c>
      <c r="CX15" s="1" t="s">
        <v>46</v>
      </c>
      <c r="CY15" s="1" t="s">
        <v>46</v>
      </c>
      <c r="CZ15" s="1" t="s">
        <v>46</v>
      </c>
      <c r="DA15" s="1" t="s">
        <v>46</v>
      </c>
      <c r="DB15" s="1" t="s">
        <v>46</v>
      </c>
      <c r="DC15" s="1" t="s">
        <v>46</v>
      </c>
      <c r="DD15" s="1" t="s">
        <v>46</v>
      </c>
      <c r="DE15" s="1" t="s">
        <v>46</v>
      </c>
      <c r="DF15" s="1" t="s">
        <v>46</v>
      </c>
      <c r="DG15" s="1" t="s">
        <v>46</v>
      </c>
      <c r="DH15" s="1" t="s">
        <v>46</v>
      </c>
      <c r="DI15" s="1" t="s">
        <v>46</v>
      </c>
      <c r="DJ15" s="1" t="s">
        <v>46</v>
      </c>
      <c r="DK15" s="1" t="s">
        <v>46</v>
      </c>
      <c r="DL15" s="1" t="s">
        <v>46</v>
      </c>
      <c r="DM15" s="1" t="s">
        <v>46</v>
      </c>
      <c r="DN15" s="1" t="s">
        <v>46</v>
      </c>
      <c r="DO15" s="1" t="s">
        <v>46</v>
      </c>
      <c r="DP15" s="1" t="s">
        <v>46</v>
      </c>
      <c r="DQ15" s="1" t="s">
        <v>46</v>
      </c>
      <c r="DR15" s="1" t="s">
        <v>46</v>
      </c>
      <c r="DS15" s="1" t="s">
        <v>47</v>
      </c>
      <c r="DT15" s="1" t="s">
        <v>46</v>
      </c>
      <c r="DU15" s="1" t="s">
        <v>46</v>
      </c>
      <c r="DV15" s="1" t="s">
        <v>46</v>
      </c>
      <c r="DW15" s="1" t="s">
        <v>46</v>
      </c>
      <c r="DX15" s="1" t="s">
        <v>46</v>
      </c>
      <c r="DY15" s="1" t="s">
        <v>46</v>
      </c>
      <c r="DZ15" s="1" t="s">
        <v>46</v>
      </c>
      <c r="EA15" s="1" t="s">
        <v>46</v>
      </c>
      <c r="EB15" s="1" t="s">
        <v>46</v>
      </c>
      <c r="EC15" s="1" t="s">
        <v>46</v>
      </c>
      <c r="ED15" s="1" t="s">
        <v>46</v>
      </c>
      <c r="EE15" s="1" t="s">
        <v>46</v>
      </c>
      <c r="EF15" s="1" t="s">
        <v>46</v>
      </c>
      <c r="EG15" s="1" t="s">
        <v>46</v>
      </c>
      <c r="EH15" s="1" t="s">
        <v>46</v>
      </c>
      <c r="EI15" s="1" t="s">
        <v>46</v>
      </c>
      <c r="EJ15" s="1" t="s">
        <v>46</v>
      </c>
      <c r="EK15" s="1" t="s">
        <v>46</v>
      </c>
      <c r="EL15" s="40" t="s">
        <v>46</v>
      </c>
      <c r="EM15" s="1" t="s">
        <v>46</v>
      </c>
      <c r="EN15" s="1" t="s">
        <v>46</v>
      </c>
      <c r="EO15" s="1" t="s">
        <v>46</v>
      </c>
      <c r="EP15" s="1" t="s">
        <v>46</v>
      </c>
      <c r="EQ15" s="1" t="s">
        <v>46</v>
      </c>
      <c r="ER15" s="1" t="s">
        <v>46</v>
      </c>
      <c r="ES15" s="1" t="s">
        <v>46</v>
      </c>
      <c r="ET15" s="1" t="s">
        <v>46</v>
      </c>
      <c r="EU15" s="1" t="s">
        <v>46</v>
      </c>
      <c r="EV15" s="1" t="s">
        <v>46</v>
      </c>
      <c r="EW15" s="1" t="s">
        <v>46</v>
      </c>
      <c r="EX15" s="1" t="s">
        <v>46</v>
      </c>
      <c r="EY15" s="1" t="s">
        <v>46</v>
      </c>
      <c r="EZ15" s="1" t="s">
        <v>46</v>
      </c>
      <c r="FA15" s="1" t="s">
        <v>46</v>
      </c>
      <c r="FB15" s="1" t="s">
        <v>46</v>
      </c>
      <c r="FC15" s="1" t="s">
        <v>46</v>
      </c>
      <c r="FD15" s="1" t="s">
        <v>46</v>
      </c>
      <c r="FE15" s="1" t="s">
        <v>46</v>
      </c>
      <c r="FF15" s="1" t="s">
        <v>46</v>
      </c>
      <c r="FG15" s="1" t="s">
        <v>46</v>
      </c>
      <c r="FH15" s="1" t="s">
        <v>46</v>
      </c>
    </row>
    <row r="16" spans="1:164" ht="20" customHeight="1" x14ac:dyDescent="0.2">
      <c r="A16" s="2" t="s">
        <v>14</v>
      </c>
      <c r="B16" s="1" t="s">
        <v>46</v>
      </c>
      <c r="C16" s="1" t="s">
        <v>46</v>
      </c>
      <c r="D16" s="1" t="s">
        <v>46</v>
      </c>
      <c r="E16" s="1" t="s">
        <v>46</v>
      </c>
      <c r="F16" s="1" t="s">
        <v>46</v>
      </c>
      <c r="G16" s="1" t="s">
        <v>46</v>
      </c>
      <c r="H16" s="1" t="s">
        <v>46</v>
      </c>
      <c r="I16" s="1" t="s">
        <v>46</v>
      </c>
      <c r="J16" s="1" t="s">
        <v>46</v>
      </c>
      <c r="K16" s="1" t="s">
        <v>46</v>
      </c>
      <c r="L16" s="1" t="s">
        <v>46</v>
      </c>
      <c r="M16" s="1" t="s">
        <v>46</v>
      </c>
      <c r="N16" s="1" t="s">
        <v>46</v>
      </c>
      <c r="O16" s="1" t="s">
        <v>46</v>
      </c>
      <c r="P16" s="1" t="s">
        <v>46</v>
      </c>
      <c r="Q16" s="1" t="s">
        <v>47</v>
      </c>
      <c r="R16" s="1" t="s">
        <v>47</v>
      </c>
      <c r="S16" s="1" t="s">
        <v>46</v>
      </c>
      <c r="T16" s="1" t="s">
        <v>46</v>
      </c>
      <c r="U16" s="1" t="s">
        <v>46</v>
      </c>
      <c r="V16" s="1" t="s">
        <v>46</v>
      </c>
      <c r="W16" s="1" t="s">
        <v>47</v>
      </c>
      <c r="X16" s="1" t="s">
        <v>46</v>
      </c>
      <c r="Y16" s="1" t="s">
        <v>46</v>
      </c>
      <c r="Z16" s="1" t="s">
        <v>46</v>
      </c>
      <c r="AA16" s="1" t="s">
        <v>47</v>
      </c>
      <c r="AB16" s="1" t="s">
        <v>46</v>
      </c>
      <c r="AC16" s="1" t="s">
        <v>46</v>
      </c>
      <c r="AD16" s="1" t="s">
        <v>46</v>
      </c>
      <c r="AE16" s="1" t="s">
        <v>46</v>
      </c>
      <c r="AF16" s="1" t="s">
        <v>46</v>
      </c>
      <c r="AG16" s="1" t="s">
        <v>46</v>
      </c>
      <c r="AH16" s="1" t="s">
        <v>46</v>
      </c>
      <c r="AI16" s="1" t="s">
        <v>46</v>
      </c>
      <c r="AJ16" s="1" t="s">
        <v>46</v>
      </c>
      <c r="AK16" s="1" t="s">
        <v>46</v>
      </c>
      <c r="AL16" s="1" t="s">
        <v>46</v>
      </c>
      <c r="AM16" s="1" t="s">
        <v>46</v>
      </c>
      <c r="AN16" s="1" t="s">
        <v>46</v>
      </c>
      <c r="AO16" s="1" t="s">
        <v>46</v>
      </c>
      <c r="AP16" s="1" t="s">
        <v>46</v>
      </c>
      <c r="AQ16" s="1" t="s">
        <v>46</v>
      </c>
      <c r="AR16" s="1" t="s">
        <v>46</v>
      </c>
      <c r="AS16" s="1" t="s">
        <v>46</v>
      </c>
      <c r="AT16" s="1" t="s">
        <v>46</v>
      </c>
      <c r="AU16" s="1" t="s">
        <v>47</v>
      </c>
      <c r="AV16" s="1" t="s">
        <v>46</v>
      </c>
      <c r="AW16" s="1" t="s">
        <v>46</v>
      </c>
      <c r="AX16" s="1" t="s">
        <v>46</v>
      </c>
      <c r="AY16" s="1" t="s">
        <v>47</v>
      </c>
      <c r="AZ16" s="1" t="s">
        <v>46</v>
      </c>
      <c r="BA16" s="1" t="s">
        <v>46</v>
      </c>
      <c r="BB16" s="1" t="s">
        <v>46</v>
      </c>
      <c r="BC16" s="1" t="s">
        <v>46</v>
      </c>
      <c r="BD16" s="1" t="s">
        <v>46</v>
      </c>
      <c r="BE16" s="1" t="s">
        <v>46</v>
      </c>
      <c r="BF16" s="1" t="s">
        <v>46</v>
      </c>
      <c r="BG16" s="1" t="s">
        <v>46</v>
      </c>
      <c r="BH16" s="1" t="s">
        <v>46</v>
      </c>
      <c r="BI16" s="1" t="s">
        <v>46</v>
      </c>
      <c r="BJ16" s="1" t="s">
        <v>46</v>
      </c>
      <c r="BK16" s="1" t="s">
        <v>46</v>
      </c>
      <c r="BL16" s="1" t="s">
        <v>46</v>
      </c>
      <c r="BM16" s="1" t="s">
        <v>46</v>
      </c>
      <c r="BN16" s="1" t="s">
        <v>46</v>
      </c>
      <c r="BO16" s="1" t="s">
        <v>46</v>
      </c>
      <c r="BP16" s="1" t="s">
        <v>46</v>
      </c>
      <c r="BQ16" s="1" t="s">
        <v>46</v>
      </c>
      <c r="BR16" s="1" t="s">
        <v>47</v>
      </c>
      <c r="BS16" s="1" t="s">
        <v>46</v>
      </c>
      <c r="BT16" s="1" t="s">
        <v>46</v>
      </c>
      <c r="BU16" s="1" t="s">
        <v>46</v>
      </c>
      <c r="BV16" s="1" t="s">
        <v>46</v>
      </c>
      <c r="BW16" s="1" t="s">
        <v>46</v>
      </c>
      <c r="BX16" s="1" t="s">
        <v>46</v>
      </c>
      <c r="BY16" s="1" t="s">
        <v>46</v>
      </c>
      <c r="BZ16" s="1" t="s">
        <v>46</v>
      </c>
      <c r="CA16" s="1" t="s">
        <v>46</v>
      </c>
      <c r="CB16" s="1" t="s">
        <v>46</v>
      </c>
      <c r="CC16" s="1" t="s">
        <v>46</v>
      </c>
      <c r="CD16" s="1" t="s">
        <v>46</v>
      </c>
      <c r="CE16" s="1" t="s">
        <v>46</v>
      </c>
      <c r="CF16" s="1" t="s">
        <v>46</v>
      </c>
      <c r="CG16" s="1" t="s">
        <v>46</v>
      </c>
      <c r="CH16" s="1" t="s">
        <v>46</v>
      </c>
      <c r="CI16" s="1" t="s">
        <v>46</v>
      </c>
      <c r="CJ16" s="1" t="s">
        <v>47</v>
      </c>
      <c r="CK16" s="1" t="s">
        <v>46</v>
      </c>
      <c r="CL16" s="1" t="s">
        <v>46</v>
      </c>
      <c r="CM16" s="1" t="s">
        <v>46</v>
      </c>
      <c r="CN16" s="1" t="s">
        <v>46</v>
      </c>
      <c r="CO16" s="1" t="s">
        <v>46</v>
      </c>
      <c r="CP16" s="1" t="s">
        <v>46</v>
      </c>
      <c r="CQ16" s="1" t="s">
        <v>46</v>
      </c>
      <c r="CR16" s="1" t="s">
        <v>46</v>
      </c>
      <c r="CS16" s="1" t="s">
        <v>46</v>
      </c>
      <c r="CT16" s="1" t="s">
        <v>46</v>
      </c>
      <c r="CU16" s="1" t="s">
        <v>46</v>
      </c>
      <c r="CV16" s="1" t="s">
        <v>46</v>
      </c>
      <c r="CW16" s="1" t="s">
        <v>46</v>
      </c>
      <c r="CX16" s="1" t="s">
        <v>46</v>
      </c>
      <c r="CY16" s="1" t="s">
        <v>46</v>
      </c>
      <c r="CZ16" s="1" t="s">
        <v>47</v>
      </c>
      <c r="DA16" s="1" t="s">
        <v>46</v>
      </c>
      <c r="DB16" s="1" t="s">
        <v>46</v>
      </c>
      <c r="DC16" s="1" t="s">
        <v>46</v>
      </c>
      <c r="DD16" s="1" t="s">
        <v>46</v>
      </c>
      <c r="DE16" s="1" t="s">
        <v>46</v>
      </c>
      <c r="DF16" s="1" t="s">
        <v>46</v>
      </c>
      <c r="DG16" s="1" t="s">
        <v>46</v>
      </c>
      <c r="DH16" s="1" t="s">
        <v>46</v>
      </c>
      <c r="DI16" s="1" t="s">
        <v>46</v>
      </c>
      <c r="DJ16" s="1" t="s">
        <v>46</v>
      </c>
      <c r="DK16" s="1" t="s">
        <v>46</v>
      </c>
      <c r="DL16" s="1" t="s">
        <v>46</v>
      </c>
      <c r="DM16" s="1" t="s">
        <v>46</v>
      </c>
      <c r="DN16" s="1" t="s">
        <v>46</v>
      </c>
      <c r="DO16" s="1" t="s">
        <v>47</v>
      </c>
      <c r="DP16" s="1" t="s">
        <v>46</v>
      </c>
      <c r="DQ16" s="1" t="s">
        <v>46</v>
      </c>
      <c r="DR16" s="1" t="s">
        <v>46</v>
      </c>
      <c r="DS16" s="1" t="s">
        <v>46</v>
      </c>
      <c r="DT16" s="1" t="s">
        <v>46</v>
      </c>
      <c r="DU16" s="1" t="s">
        <v>46</v>
      </c>
      <c r="DV16" s="1" t="s">
        <v>47</v>
      </c>
      <c r="DW16" s="1" t="s">
        <v>46</v>
      </c>
      <c r="DX16" s="1" t="s">
        <v>46</v>
      </c>
      <c r="DY16" s="1" t="s">
        <v>47</v>
      </c>
      <c r="DZ16" s="1" t="s">
        <v>46</v>
      </c>
      <c r="EA16" s="1" t="s">
        <v>46</v>
      </c>
      <c r="EB16" s="1" t="s">
        <v>46</v>
      </c>
      <c r="EC16" s="1" t="s">
        <v>46</v>
      </c>
      <c r="ED16" s="1" t="s">
        <v>46</v>
      </c>
      <c r="EE16" s="1" t="s">
        <v>46</v>
      </c>
      <c r="EF16" s="1" t="s">
        <v>46</v>
      </c>
      <c r="EG16" s="1" t="s">
        <v>46</v>
      </c>
      <c r="EH16" s="1" t="s">
        <v>46</v>
      </c>
      <c r="EI16" s="1" t="s">
        <v>46</v>
      </c>
      <c r="EJ16" s="1" t="s">
        <v>46</v>
      </c>
      <c r="EK16" s="1" t="s">
        <v>46</v>
      </c>
      <c r="EL16" s="40" t="s">
        <v>47</v>
      </c>
      <c r="EM16" s="1" t="s">
        <v>46</v>
      </c>
      <c r="EN16" s="1" t="s">
        <v>46</v>
      </c>
      <c r="EO16" s="1" t="s">
        <v>46</v>
      </c>
      <c r="EP16" s="1" t="s">
        <v>46</v>
      </c>
      <c r="EQ16" s="1" t="s">
        <v>46</v>
      </c>
      <c r="ER16" s="1" t="s">
        <v>46</v>
      </c>
      <c r="ES16" s="1" t="s">
        <v>46</v>
      </c>
      <c r="ET16" s="1" t="s">
        <v>46</v>
      </c>
      <c r="EU16" s="1" t="s">
        <v>47</v>
      </c>
      <c r="EV16" s="1" t="s">
        <v>46</v>
      </c>
      <c r="EW16" s="1" t="s">
        <v>46</v>
      </c>
      <c r="EX16" s="1" t="s">
        <v>46</v>
      </c>
      <c r="EY16" s="1" t="s">
        <v>46</v>
      </c>
      <c r="EZ16" s="1" t="s">
        <v>46</v>
      </c>
      <c r="FA16" s="1" t="s">
        <v>46</v>
      </c>
      <c r="FB16" s="1" t="s">
        <v>46</v>
      </c>
      <c r="FC16" s="1" t="s">
        <v>47</v>
      </c>
      <c r="FD16" s="1" t="s">
        <v>46</v>
      </c>
      <c r="FE16" s="1" t="s">
        <v>46</v>
      </c>
      <c r="FF16" s="1" t="s">
        <v>46</v>
      </c>
      <c r="FG16" s="1" t="s">
        <v>47</v>
      </c>
      <c r="FH16" s="1" t="s">
        <v>46</v>
      </c>
    </row>
    <row r="17" spans="1:164" ht="20" customHeight="1" x14ac:dyDescent="0.2">
      <c r="A17" s="2" t="s">
        <v>15</v>
      </c>
      <c r="B17" s="1"/>
      <c r="C17" s="1"/>
      <c r="D17" s="1"/>
      <c r="E17" s="1"/>
      <c r="F17" s="1"/>
      <c r="G17" s="1"/>
      <c r="H17" s="1"/>
      <c r="I17" s="1"/>
      <c r="J17" s="1"/>
      <c r="K17" s="1"/>
      <c r="L17" s="1"/>
      <c r="M17" s="1"/>
      <c r="N17" s="1" t="s">
        <v>166</v>
      </c>
      <c r="O17" s="1"/>
      <c r="P17" s="1"/>
      <c r="Q17" s="1"/>
      <c r="R17" s="1"/>
      <c r="S17" s="1"/>
      <c r="T17" s="1"/>
      <c r="U17" s="1"/>
      <c r="V17" s="1"/>
      <c r="W17" s="1"/>
      <c r="X17" s="1" t="s">
        <v>267</v>
      </c>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t="s">
        <v>722</v>
      </c>
      <c r="BW17" s="1"/>
      <c r="BX17" s="1"/>
      <c r="BY17" s="1"/>
      <c r="BZ17" s="1"/>
      <c r="CA17" s="1"/>
      <c r="CB17" s="1"/>
      <c r="CC17" s="1"/>
      <c r="CD17" s="1"/>
      <c r="CE17" s="1"/>
      <c r="CF17" s="1"/>
      <c r="CG17" s="1"/>
      <c r="CH17" s="1"/>
      <c r="CI17" s="1"/>
      <c r="CJ17" s="1"/>
      <c r="CK17" s="1"/>
      <c r="CL17" s="1"/>
      <c r="CM17" s="1"/>
      <c r="CN17" s="1" t="s">
        <v>880</v>
      </c>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t="s">
        <v>1238</v>
      </c>
      <c r="ED17" s="1"/>
      <c r="EE17" s="1"/>
      <c r="EF17" s="1"/>
      <c r="EG17" s="1"/>
      <c r="EH17" s="1"/>
      <c r="EI17" s="1"/>
      <c r="EJ17" s="1"/>
      <c r="EK17" s="1"/>
      <c r="EL17" s="40"/>
      <c r="EM17" s="1"/>
      <c r="EN17" s="1"/>
      <c r="EO17" s="1"/>
      <c r="EP17" s="1"/>
      <c r="EQ17" s="1" t="s">
        <v>1390</v>
      </c>
      <c r="ER17" s="1"/>
      <c r="ES17" s="1"/>
      <c r="ET17" s="1" t="s">
        <v>1391</v>
      </c>
      <c r="EU17" s="1"/>
      <c r="EV17" s="1"/>
      <c r="EW17" s="1"/>
      <c r="EX17" s="1"/>
      <c r="EY17" s="1"/>
      <c r="EZ17" s="1"/>
      <c r="FA17" s="1"/>
      <c r="FB17" s="1"/>
      <c r="FC17" s="1"/>
      <c r="FD17" s="1"/>
      <c r="FE17" s="1"/>
      <c r="FF17" s="1"/>
      <c r="FG17" s="1"/>
      <c r="FH17" s="1"/>
    </row>
    <row r="18" spans="1:164" ht="20" customHeight="1" x14ac:dyDescent="0.2">
      <c r="A18" s="2" t="s">
        <v>1358</v>
      </c>
      <c r="B18" s="1" t="str">
        <f t="shared" ref="B18:BM18" si="134">IF(B13="Yes","University UK",IF(B14="Yes","University Other",IF(B15="Yes","Research Institute UK",IF(B16="Yes","Research Institute Other",IF(B17&lt;&gt;" ",B17)))))</f>
        <v>University UK</v>
      </c>
      <c r="C18" s="1" t="str">
        <f t="shared" si="134"/>
        <v>University UK</v>
      </c>
      <c r="D18" s="1" t="str">
        <f t="shared" si="134"/>
        <v>University UK</v>
      </c>
      <c r="E18" s="1" t="str">
        <f t="shared" si="134"/>
        <v>University UK</v>
      </c>
      <c r="F18" s="1" t="str">
        <f t="shared" si="134"/>
        <v>University UK</v>
      </c>
      <c r="G18" s="1" t="str">
        <f t="shared" si="134"/>
        <v>University UK</v>
      </c>
      <c r="H18" s="1" t="str">
        <f t="shared" si="134"/>
        <v>University UK</v>
      </c>
      <c r="I18" s="1" t="str">
        <f t="shared" si="134"/>
        <v>University UK</v>
      </c>
      <c r="J18" s="1" t="str">
        <f t="shared" si="134"/>
        <v>University Other</v>
      </c>
      <c r="K18" s="1" t="str">
        <f t="shared" si="134"/>
        <v>University Other</v>
      </c>
      <c r="L18" s="1" t="str">
        <f t="shared" si="134"/>
        <v>University Other</v>
      </c>
      <c r="M18" s="1" t="str">
        <f t="shared" si="134"/>
        <v>University Other</v>
      </c>
      <c r="N18" s="1" t="str">
        <f t="shared" si="134"/>
        <v>Corporation</v>
      </c>
      <c r="O18" s="1" t="str">
        <f t="shared" si="134"/>
        <v>University UK</v>
      </c>
      <c r="P18" s="1" t="str">
        <f t="shared" si="134"/>
        <v>University Other</v>
      </c>
      <c r="Q18" s="1" t="str">
        <f t="shared" si="134"/>
        <v>Research Institute Other</v>
      </c>
      <c r="R18" s="1" t="str">
        <f t="shared" si="134"/>
        <v>Research Institute Other</v>
      </c>
      <c r="S18" s="1" t="str">
        <f t="shared" si="134"/>
        <v>University Other</v>
      </c>
      <c r="T18" s="1" t="str">
        <f t="shared" si="134"/>
        <v>University UK</v>
      </c>
      <c r="U18" s="1" t="str">
        <f t="shared" si="134"/>
        <v>University Other</v>
      </c>
      <c r="V18" s="1" t="str">
        <f t="shared" si="134"/>
        <v>University Other</v>
      </c>
      <c r="W18" s="1" t="str">
        <f t="shared" si="134"/>
        <v>Research Institute Other</v>
      </c>
      <c r="X18" s="1" t="str">
        <f t="shared" si="134"/>
        <v>Cal State University</v>
      </c>
      <c r="Y18" s="1" t="str">
        <f t="shared" si="134"/>
        <v>University Other</v>
      </c>
      <c r="Z18" s="1" t="str">
        <f t="shared" si="134"/>
        <v>University Other</v>
      </c>
      <c r="AA18" s="1" t="str">
        <f t="shared" si="134"/>
        <v>Research Institute Other</v>
      </c>
      <c r="AB18" s="1" t="str">
        <f t="shared" si="134"/>
        <v>University Other</v>
      </c>
      <c r="AC18" s="1" t="str">
        <f t="shared" si="134"/>
        <v>University Other</v>
      </c>
      <c r="AD18" s="1" t="str">
        <f t="shared" si="134"/>
        <v>University Other</v>
      </c>
      <c r="AE18" s="1" t="str">
        <f t="shared" si="134"/>
        <v>University UK</v>
      </c>
      <c r="AF18" s="1" t="str">
        <f t="shared" si="134"/>
        <v>University Other</v>
      </c>
      <c r="AG18" s="1" t="str">
        <f t="shared" si="134"/>
        <v>University Other</v>
      </c>
      <c r="AH18" s="1" t="str">
        <f t="shared" si="134"/>
        <v>University Other</v>
      </c>
      <c r="AI18" s="1" t="str">
        <f t="shared" si="134"/>
        <v>University Other</v>
      </c>
      <c r="AJ18" s="1" t="str">
        <f t="shared" si="134"/>
        <v>University UK</v>
      </c>
      <c r="AK18" s="1" t="str">
        <f t="shared" si="134"/>
        <v>University UK</v>
      </c>
      <c r="AL18" s="1" t="str">
        <f t="shared" si="134"/>
        <v>University Other</v>
      </c>
      <c r="AM18" s="1" t="str">
        <f t="shared" si="134"/>
        <v>University Other</v>
      </c>
      <c r="AN18" s="1" t="str">
        <f t="shared" si="134"/>
        <v>University Other</v>
      </c>
      <c r="AO18" s="1" t="str">
        <f t="shared" si="134"/>
        <v>University Other</v>
      </c>
      <c r="AP18" s="1" t="str">
        <f t="shared" si="134"/>
        <v>University Other</v>
      </c>
      <c r="AQ18" s="1" t="str">
        <f t="shared" si="134"/>
        <v>University Other</v>
      </c>
      <c r="AR18" s="1" t="str">
        <f t="shared" si="134"/>
        <v>University UK</v>
      </c>
      <c r="AS18" s="1" t="str">
        <f t="shared" si="134"/>
        <v>University UK</v>
      </c>
      <c r="AT18" s="1" t="str">
        <f t="shared" si="134"/>
        <v>University Other</v>
      </c>
      <c r="AU18" s="1" t="str">
        <f t="shared" si="134"/>
        <v>Research Institute Other</v>
      </c>
      <c r="AV18" s="1" t="str">
        <f t="shared" si="134"/>
        <v>University Other</v>
      </c>
      <c r="AW18" s="1" t="str">
        <f t="shared" si="134"/>
        <v>University Other</v>
      </c>
      <c r="AX18" s="1" t="str">
        <f t="shared" si="134"/>
        <v>University Other</v>
      </c>
      <c r="AY18" s="1" t="str">
        <f t="shared" si="134"/>
        <v>Research Institute Other</v>
      </c>
      <c r="AZ18" s="1" t="str">
        <f t="shared" si="134"/>
        <v>University Other</v>
      </c>
      <c r="BA18" s="1" t="str">
        <f t="shared" si="134"/>
        <v>University Other</v>
      </c>
      <c r="BB18" s="1" t="str">
        <f t="shared" si="134"/>
        <v>University Other</v>
      </c>
      <c r="BC18" s="1" t="str">
        <f t="shared" si="134"/>
        <v>University Other</v>
      </c>
      <c r="BD18" s="1" t="str">
        <f t="shared" si="134"/>
        <v>University Other</v>
      </c>
      <c r="BE18" s="1" t="str">
        <f t="shared" si="134"/>
        <v>University Other</v>
      </c>
      <c r="BF18" s="1" t="str">
        <f t="shared" si="134"/>
        <v>University Other</v>
      </c>
      <c r="BG18" s="1" t="str">
        <f t="shared" si="134"/>
        <v>University Other</v>
      </c>
      <c r="BH18" s="1" t="str">
        <f t="shared" si="134"/>
        <v>University Other</v>
      </c>
      <c r="BI18" s="1" t="str">
        <f t="shared" si="134"/>
        <v>University Other</v>
      </c>
      <c r="BJ18" s="1" t="str">
        <f t="shared" si="134"/>
        <v>University Other</v>
      </c>
      <c r="BK18" s="1" t="str">
        <f t="shared" si="134"/>
        <v>University Other</v>
      </c>
      <c r="BL18" s="1" t="str">
        <f t="shared" si="134"/>
        <v>University UK</v>
      </c>
      <c r="BM18" s="1" t="str">
        <f t="shared" si="134"/>
        <v>University UK</v>
      </c>
      <c r="BN18" s="1" t="str">
        <f t="shared" ref="BN18:DY18" si="135">IF(BN13="Yes","University UK",IF(BN14="Yes","University Other",IF(BN15="Yes","Research Institute UK",IF(BN16="Yes","Research Institute Other",IF(BN17&lt;&gt;" ",BN17)))))</f>
        <v>University Other</v>
      </c>
      <c r="BO18" s="1" t="str">
        <f t="shared" si="135"/>
        <v>University UK</v>
      </c>
      <c r="BP18" s="1" t="str">
        <f t="shared" si="135"/>
        <v>University UK</v>
      </c>
      <c r="BQ18" s="1" t="str">
        <f t="shared" si="135"/>
        <v>University Other</v>
      </c>
      <c r="BR18" s="1" t="str">
        <f t="shared" si="135"/>
        <v>Research Institute Other</v>
      </c>
      <c r="BS18" s="1" t="str">
        <f t="shared" si="135"/>
        <v>University Other</v>
      </c>
      <c r="BT18" s="1" t="str">
        <f t="shared" si="135"/>
        <v>University Other</v>
      </c>
      <c r="BU18" s="1" t="str">
        <f t="shared" si="135"/>
        <v>University Other</v>
      </c>
      <c r="BV18" s="1" t="str">
        <f t="shared" si="135"/>
        <v>small teaching college</v>
      </c>
      <c r="BW18" s="1" t="str">
        <f t="shared" si="135"/>
        <v>University Other</v>
      </c>
      <c r="BX18" s="1" t="str">
        <f t="shared" si="135"/>
        <v>University Other</v>
      </c>
      <c r="BY18" s="1" t="str">
        <f t="shared" si="135"/>
        <v>University UK</v>
      </c>
      <c r="BZ18" s="1" t="str">
        <f t="shared" si="135"/>
        <v>University Other</v>
      </c>
      <c r="CA18" s="1" t="str">
        <f t="shared" si="135"/>
        <v>University Other</v>
      </c>
      <c r="CB18" s="1" t="str">
        <f t="shared" si="135"/>
        <v>University Other</v>
      </c>
      <c r="CC18" s="1" t="str">
        <f t="shared" si="135"/>
        <v>University Other</v>
      </c>
      <c r="CD18" s="1" t="str">
        <f t="shared" si="135"/>
        <v>University Other</v>
      </c>
      <c r="CE18" s="1" t="str">
        <f t="shared" si="135"/>
        <v>University Other</v>
      </c>
      <c r="CF18" s="1" t="str">
        <f t="shared" si="135"/>
        <v>University Other</v>
      </c>
      <c r="CG18" s="1" t="str">
        <f t="shared" si="135"/>
        <v>University Other</v>
      </c>
      <c r="CH18" s="1" t="str">
        <f t="shared" si="135"/>
        <v>University UK</v>
      </c>
      <c r="CI18" s="1" t="str">
        <f t="shared" si="135"/>
        <v>University Other</v>
      </c>
      <c r="CJ18" s="1" t="str">
        <f t="shared" si="135"/>
        <v>Research Institute Other</v>
      </c>
      <c r="CK18" s="1" t="str">
        <f t="shared" si="135"/>
        <v>University Other</v>
      </c>
      <c r="CL18" s="1" t="str">
        <f t="shared" si="135"/>
        <v>University Other</v>
      </c>
      <c r="CM18" s="1" t="str">
        <f t="shared" si="135"/>
        <v>University UK</v>
      </c>
      <c r="CN18" s="1" t="str">
        <f t="shared" si="135"/>
        <v>Tilbburg University, the Netherlands</v>
      </c>
      <c r="CO18" s="1" t="str">
        <f t="shared" si="135"/>
        <v>University UK</v>
      </c>
      <c r="CP18" s="1" t="str">
        <f t="shared" si="135"/>
        <v>University Other</v>
      </c>
      <c r="CQ18" s="1" t="str">
        <f t="shared" si="135"/>
        <v>University Other</v>
      </c>
      <c r="CR18" s="1" t="str">
        <f t="shared" si="135"/>
        <v>University Other</v>
      </c>
      <c r="CS18" s="1" t="str">
        <f t="shared" si="135"/>
        <v>University Other</v>
      </c>
      <c r="CT18" s="1" t="str">
        <f t="shared" si="135"/>
        <v>University UK</v>
      </c>
      <c r="CU18" s="1" t="str">
        <f t="shared" si="135"/>
        <v>University Other</v>
      </c>
      <c r="CV18" s="1" t="str">
        <f t="shared" si="135"/>
        <v>University UK</v>
      </c>
      <c r="CW18" s="1" t="str">
        <f t="shared" si="135"/>
        <v>University UK</v>
      </c>
      <c r="CX18" s="1" t="str">
        <f t="shared" si="135"/>
        <v>University Other</v>
      </c>
      <c r="CY18" s="1" t="str">
        <f t="shared" si="135"/>
        <v>University UK</v>
      </c>
      <c r="CZ18" s="1" t="str">
        <f t="shared" si="135"/>
        <v>Research Institute Other</v>
      </c>
      <c r="DA18" s="1" t="str">
        <f t="shared" si="135"/>
        <v>University UK</v>
      </c>
      <c r="DB18" s="1" t="str">
        <f t="shared" si="135"/>
        <v>University Other</v>
      </c>
      <c r="DC18" s="1" t="str">
        <f t="shared" si="135"/>
        <v>University Other</v>
      </c>
      <c r="DD18" s="1" t="str">
        <f t="shared" si="135"/>
        <v>University UK</v>
      </c>
      <c r="DE18" s="1" t="str">
        <f t="shared" si="135"/>
        <v>University UK</v>
      </c>
      <c r="DF18" s="1" t="str">
        <f t="shared" si="135"/>
        <v>University UK</v>
      </c>
      <c r="DG18" s="1" t="str">
        <f t="shared" si="135"/>
        <v>University UK</v>
      </c>
      <c r="DH18" s="1" t="str">
        <f t="shared" si="135"/>
        <v>University Other</v>
      </c>
      <c r="DI18" s="1" t="str">
        <f t="shared" si="135"/>
        <v>University Other</v>
      </c>
      <c r="DJ18" s="1" t="str">
        <f t="shared" si="135"/>
        <v>University UK</v>
      </c>
      <c r="DK18" s="1" t="str">
        <f t="shared" si="135"/>
        <v>University Other</v>
      </c>
      <c r="DL18" s="1" t="str">
        <f t="shared" si="135"/>
        <v>University Other</v>
      </c>
      <c r="DM18" s="1" t="str">
        <f t="shared" si="135"/>
        <v>University UK</v>
      </c>
      <c r="DN18" s="1" t="str">
        <f t="shared" si="135"/>
        <v>University Other</v>
      </c>
      <c r="DO18" s="1" t="str">
        <f t="shared" si="135"/>
        <v>Research Institute Other</v>
      </c>
      <c r="DP18" s="1" t="str">
        <f t="shared" si="135"/>
        <v>University Other</v>
      </c>
      <c r="DQ18" s="1" t="str">
        <f t="shared" si="135"/>
        <v>University Other</v>
      </c>
      <c r="DR18" s="1" t="str">
        <f t="shared" si="135"/>
        <v>University Other</v>
      </c>
      <c r="DS18" s="1" t="str">
        <f t="shared" si="135"/>
        <v>Research Institute UK</v>
      </c>
      <c r="DT18" s="1" t="str">
        <f t="shared" si="135"/>
        <v>University Other</v>
      </c>
      <c r="DU18" s="1" t="str">
        <f t="shared" si="135"/>
        <v>University Other</v>
      </c>
      <c r="DV18" s="1" t="str">
        <f t="shared" si="135"/>
        <v>Research Institute Other</v>
      </c>
      <c r="DW18" s="1" t="str">
        <f t="shared" si="135"/>
        <v>University UK</v>
      </c>
      <c r="DX18" s="1" t="str">
        <f t="shared" si="135"/>
        <v>University UK</v>
      </c>
      <c r="DY18" s="1" t="str">
        <f t="shared" si="135"/>
        <v>Research Institute Other</v>
      </c>
      <c r="DZ18" s="1" t="str">
        <f t="shared" ref="DZ18:EO18" si="136">IF(DZ13="Yes","University UK",IF(DZ14="Yes","University Other",IF(DZ15="Yes","Research Institute UK",IF(DZ16="Yes","Research Institute Other",IF(DZ17&lt;&gt;" ",DZ17)))))</f>
        <v>University UK</v>
      </c>
      <c r="EA18" s="1" t="str">
        <f t="shared" si="136"/>
        <v>University Other</v>
      </c>
      <c r="EB18" s="1" t="str">
        <f t="shared" si="136"/>
        <v>University UK</v>
      </c>
      <c r="EC18" s="1" t="str">
        <f t="shared" si="136"/>
        <v>University of Toronto</v>
      </c>
      <c r="ED18" s="1" t="str">
        <f t="shared" si="136"/>
        <v>University Other</v>
      </c>
      <c r="EE18" s="1" t="str">
        <f t="shared" si="136"/>
        <v>University Other</v>
      </c>
      <c r="EF18" s="1" t="str">
        <f t="shared" si="136"/>
        <v>University Other</v>
      </c>
      <c r="EG18" s="1" t="str">
        <f t="shared" si="136"/>
        <v>University Other</v>
      </c>
      <c r="EH18" s="1" t="str">
        <f t="shared" si="136"/>
        <v>University Other</v>
      </c>
      <c r="EI18" s="1" t="str">
        <f t="shared" si="136"/>
        <v>University Other</v>
      </c>
      <c r="EJ18" s="1" t="str">
        <f t="shared" si="136"/>
        <v>University Other</v>
      </c>
      <c r="EK18" s="1" t="str">
        <f t="shared" si="136"/>
        <v>University Other</v>
      </c>
      <c r="EL18" s="1" t="str">
        <f t="shared" si="136"/>
        <v>Research Institute Other</v>
      </c>
      <c r="EM18" s="1" t="str">
        <f t="shared" si="136"/>
        <v>University Other</v>
      </c>
      <c r="EN18" s="1" t="str">
        <f t="shared" si="136"/>
        <v>University Other</v>
      </c>
      <c r="EO18" s="1" t="str">
        <f t="shared" si="136"/>
        <v>University Other</v>
      </c>
      <c r="EP18" s="1" t="str">
        <f>IF(EP13="Yes","University UK",IF(EP14="Yes","University Other",IF(EP15="Yes","Research Institute UK",IF(EP16="Yes","Research Institute Other",IF(EP17&lt;&gt;" ",EP17)))))</f>
        <v>University UK</v>
      </c>
      <c r="EQ18" s="1" t="str">
        <f>IF(EQ13="Yes","University UK",IF(EQ14="Yes","University Other",IF(EQ15="Yes","Research Institute UK",IF(EQ16="Yes","Research Institute Other",IF(EQ17&lt;&gt;" ",EQ17)))))</f>
        <v>Leiden University</v>
      </c>
      <c r="ER18" s="1" t="str">
        <f t="shared" ref="ER18:FH18" si="137">IF(ER13="Yes","University UK",IF(ER14="Yes","University Other",IF(ER15="Yes","Research Institute UK",IF(ER16="Yes","Research Institute Other",IF(ER17&lt;&gt;" ",ER17)))))</f>
        <v>University Other</v>
      </c>
      <c r="ES18" s="1" t="str">
        <f t="shared" si="137"/>
        <v>University UK</v>
      </c>
      <c r="ET18" s="1" t="str">
        <f t="shared" si="137"/>
        <v>University Germany</v>
      </c>
      <c r="EU18" s="1" t="str">
        <f t="shared" si="137"/>
        <v>Research Institute Other</v>
      </c>
      <c r="EV18" s="1" t="str">
        <f t="shared" si="137"/>
        <v>University UK</v>
      </c>
      <c r="EW18" s="1" t="str">
        <f t="shared" si="137"/>
        <v>University UK</v>
      </c>
      <c r="EX18" s="1" t="str">
        <f t="shared" si="137"/>
        <v>University Other</v>
      </c>
      <c r="EY18" s="1" t="str">
        <f t="shared" si="137"/>
        <v>University Other</v>
      </c>
      <c r="EZ18" s="1" t="str">
        <f t="shared" si="137"/>
        <v>University Other</v>
      </c>
      <c r="FA18" s="1" t="str">
        <f t="shared" si="137"/>
        <v>University Other</v>
      </c>
      <c r="FB18" s="1" t="str">
        <f t="shared" si="137"/>
        <v>University Other</v>
      </c>
      <c r="FC18" s="1" t="str">
        <f t="shared" si="137"/>
        <v>Research Institute Other</v>
      </c>
      <c r="FD18" s="1" t="str">
        <f t="shared" si="137"/>
        <v>University Other</v>
      </c>
      <c r="FE18" s="1" t="str">
        <f t="shared" si="137"/>
        <v>University Other</v>
      </c>
      <c r="FF18" s="1" t="str">
        <f t="shared" si="137"/>
        <v>University Other</v>
      </c>
      <c r="FG18" s="1" t="str">
        <f t="shared" si="137"/>
        <v>Research Institute Other</v>
      </c>
      <c r="FH18" s="1" t="str">
        <f t="shared" si="137"/>
        <v>University Other</v>
      </c>
    </row>
    <row r="19" spans="1:164" ht="20" customHeight="1" x14ac:dyDescent="0.2">
      <c r="A19" s="2" t="s">
        <v>16</v>
      </c>
      <c r="B19" s="1"/>
      <c r="C19" s="1"/>
      <c r="D19" s="1"/>
      <c r="E19" s="1"/>
      <c r="F19" s="1"/>
      <c r="G19" s="1"/>
      <c r="H19" s="1"/>
      <c r="I19" s="1"/>
      <c r="J19" s="1" t="s">
        <v>123</v>
      </c>
      <c r="K19" s="1" t="s">
        <v>133</v>
      </c>
      <c r="L19" s="1" t="s">
        <v>143</v>
      </c>
      <c r="M19" s="1" t="s">
        <v>133</v>
      </c>
      <c r="N19" s="1"/>
      <c r="O19" s="1"/>
      <c r="P19" s="1" t="s">
        <v>187</v>
      </c>
      <c r="Q19" s="1"/>
      <c r="R19" s="1"/>
      <c r="S19" s="1" t="s">
        <v>198</v>
      </c>
      <c r="T19" s="1"/>
      <c r="U19" s="1" t="s">
        <v>133</v>
      </c>
      <c r="V19" s="1" t="s">
        <v>245</v>
      </c>
      <c r="W19" s="1"/>
      <c r="X19" s="1"/>
      <c r="Y19" s="1" t="s">
        <v>256</v>
      </c>
      <c r="Z19" s="1" t="s">
        <v>256</v>
      </c>
      <c r="AA19" s="1"/>
      <c r="AB19" s="1" t="s">
        <v>207</v>
      </c>
      <c r="AC19" s="1" t="s">
        <v>133</v>
      </c>
      <c r="AD19" s="1" t="s">
        <v>245</v>
      </c>
      <c r="AE19" s="1"/>
      <c r="AF19" s="1" t="s">
        <v>341</v>
      </c>
      <c r="AG19" s="1" t="s">
        <v>256</v>
      </c>
      <c r="AH19" s="1" t="s">
        <v>359</v>
      </c>
      <c r="AI19" s="1" t="s">
        <v>245</v>
      </c>
      <c r="AJ19" s="1"/>
      <c r="AK19" s="1"/>
      <c r="AL19" s="1" t="s">
        <v>399</v>
      </c>
      <c r="AM19" s="1" t="s">
        <v>256</v>
      </c>
      <c r="AN19" s="1" t="s">
        <v>415</v>
      </c>
      <c r="AO19" s="1" t="s">
        <v>426</v>
      </c>
      <c r="AP19" s="1" t="s">
        <v>133</v>
      </c>
      <c r="AQ19" s="1" t="s">
        <v>399</v>
      </c>
      <c r="AR19" s="1"/>
      <c r="AS19" s="1"/>
      <c r="AT19" s="1" t="s">
        <v>133</v>
      </c>
      <c r="AU19" s="1"/>
      <c r="AV19" s="1" t="s">
        <v>415</v>
      </c>
      <c r="AW19" s="1" t="s">
        <v>245</v>
      </c>
      <c r="AX19" s="1" t="s">
        <v>245</v>
      </c>
      <c r="AY19" s="1"/>
      <c r="AZ19" s="1" t="s">
        <v>245</v>
      </c>
      <c r="BA19" s="1" t="s">
        <v>537</v>
      </c>
      <c r="BB19" s="1" t="s">
        <v>187</v>
      </c>
      <c r="BC19" s="1" t="s">
        <v>256</v>
      </c>
      <c r="BD19" s="1" t="s">
        <v>399</v>
      </c>
      <c r="BE19" s="1" t="s">
        <v>256</v>
      </c>
      <c r="BF19" s="1" t="s">
        <v>207</v>
      </c>
      <c r="BG19" s="1" t="s">
        <v>586</v>
      </c>
      <c r="BH19" s="1" t="s">
        <v>256</v>
      </c>
      <c r="BI19" s="1" t="s">
        <v>133</v>
      </c>
      <c r="BJ19" s="1" t="s">
        <v>133</v>
      </c>
      <c r="BK19" s="1" t="s">
        <v>133</v>
      </c>
      <c r="BL19" s="1"/>
      <c r="BM19" s="1"/>
      <c r="BN19" s="1" t="s">
        <v>245</v>
      </c>
      <c r="BO19" s="1"/>
      <c r="BP19" s="1"/>
      <c r="BQ19" s="1" t="s">
        <v>133</v>
      </c>
      <c r="BR19" s="1"/>
      <c r="BS19" s="1" t="s">
        <v>133</v>
      </c>
      <c r="BT19" s="1" t="s">
        <v>701</v>
      </c>
      <c r="BU19" s="1" t="s">
        <v>133</v>
      </c>
      <c r="BV19" s="1"/>
      <c r="BW19" s="1" t="s">
        <v>133</v>
      </c>
      <c r="BX19" s="1" t="s">
        <v>741</v>
      </c>
      <c r="BY19" s="1"/>
      <c r="BZ19" s="1" t="s">
        <v>762</v>
      </c>
      <c r="CA19" s="1" t="s">
        <v>415</v>
      </c>
      <c r="CB19" s="1" t="s">
        <v>774</v>
      </c>
      <c r="CC19" s="1" t="s">
        <v>784</v>
      </c>
      <c r="CD19" s="1" t="s">
        <v>256</v>
      </c>
      <c r="CE19" s="1" t="s">
        <v>256</v>
      </c>
      <c r="CF19" s="1" t="s">
        <v>415</v>
      </c>
      <c r="CG19" s="1" t="s">
        <v>481</v>
      </c>
      <c r="CH19" s="1"/>
      <c r="CI19" s="1" t="s">
        <v>415</v>
      </c>
      <c r="CJ19" s="1"/>
      <c r="CK19" s="1" t="s">
        <v>855</v>
      </c>
      <c r="CL19" s="1" t="s">
        <v>586</v>
      </c>
      <c r="CM19" s="1"/>
      <c r="CN19" s="1"/>
      <c r="CO19" s="1"/>
      <c r="CP19" s="1" t="s">
        <v>256</v>
      </c>
      <c r="CQ19" s="1" t="s">
        <v>903</v>
      </c>
      <c r="CR19" s="1" t="s">
        <v>415</v>
      </c>
      <c r="CS19" s="1" t="s">
        <v>256</v>
      </c>
      <c r="CT19" s="1"/>
      <c r="CU19" s="1" t="s">
        <v>187</v>
      </c>
      <c r="CV19" s="1"/>
      <c r="CW19" s="1"/>
      <c r="CX19" s="1" t="s">
        <v>256</v>
      </c>
      <c r="CY19" s="1"/>
      <c r="CZ19" s="1"/>
      <c r="DA19" s="1"/>
      <c r="DB19" s="1" t="s">
        <v>133</v>
      </c>
      <c r="DC19" s="1" t="s">
        <v>415</v>
      </c>
      <c r="DD19" s="1"/>
      <c r="DE19" s="1"/>
      <c r="DF19" s="1"/>
      <c r="DG19" s="1"/>
      <c r="DH19" s="1" t="s">
        <v>762</v>
      </c>
      <c r="DI19" s="1" t="s">
        <v>256</v>
      </c>
      <c r="DJ19" s="1"/>
      <c r="DK19" s="1" t="s">
        <v>855</v>
      </c>
      <c r="DL19" s="1" t="s">
        <v>256</v>
      </c>
      <c r="DM19" s="1"/>
      <c r="DN19" s="1" t="s">
        <v>1099</v>
      </c>
      <c r="DO19" s="1"/>
      <c r="DP19" s="1" t="s">
        <v>1116</v>
      </c>
      <c r="DQ19" s="1" t="s">
        <v>399</v>
      </c>
      <c r="DR19" s="1" t="s">
        <v>143</v>
      </c>
      <c r="DS19" s="1"/>
      <c r="DT19" s="1" t="s">
        <v>245</v>
      </c>
      <c r="DU19" s="1" t="s">
        <v>133</v>
      </c>
      <c r="DV19" s="1"/>
      <c r="DW19" s="1"/>
      <c r="DX19" s="1"/>
      <c r="DY19" s="1"/>
      <c r="DZ19" s="1"/>
      <c r="EA19" s="1" t="s">
        <v>198</v>
      </c>
      <c r="EB19" s="1"/>
      <c r="EC19" s="1"/>
      <c r="ED19" s="1" t="s">
        <v>399</v>
      </c>
      <c r="EE19" s="1" t="s">
        <v>701</v>
      </c>
      <c r="EF19" s="1" t="s">
        <v>133</v>
      </c>
      <c r="EG19" s="1" t="s">
        <v>187</v>
      </c>
      <c r="EH19" s="1" t="s">
        <v>256</v>
      </c>
      <c r="EI19" s="1" t="s">
        <v>762</v>
      </c>
      <c r="EJ19" s="1" t="s">
        <v>1300</v>
      </c>
      <c r="EK19" s="1" t="s">
        <v>256</v>
      </c>
      <c r="EL19" s="40"/>
      <c r="EM19" s="1" t="s">
        <v>256</v>
      </c>
      <c r="EN19" s="1" t="s">
        <v>1332</v>
      </c>
      <c r="EO19" s="1" t="s">
        <v>187</v>
      </c>
      <c r="EP19" s="1"/>
      <c r="EQ19" s="1"/>
      <c r="ER19" s="1" t="s">
        <v>256</v>
      </c>
      <c r="ES19" s="1"/>
      <c r="ET19" s="1"/>
      <c r="EU19" s="1"/>
      <c r="EV19" s="1"/>
      <c r="EW19" s="1"/>
      <c r="EX19" s="1" t="s">
        <v>256</v>
      </c>
      <c r="EY19" s="1" t="s">
        <v>415</v>
      </c>
      <c r="EZ19" s="1" t="s">
        <v>256</v>
      </c>
      <c r="FA19" s="1" t="s">
        <v>256</v>
      </c>
      <c r="FB19" s="1" t="s">
        <v>1300</v>
      </c>
      <c r="FC19" s="1"/>
      <c r="FD19" s="1" t="s">
        <v>133</v>
      </c>
      <c r="FE19" s="1" t="s">
        <v>256</v>
      </c>
      <c r="FF19" s="1" t="s">
        <v>1499</v>
      </c>
      <c r="FG19" s="1"/>
      <c r="FH19" s="1" t="s">
        <v>399</v>
      </c>
    </row>
    <row r="20" spans="1:164" ht="27" customHeight="1" x14ac:dyDescent="0.2">
      <c r="A20" s="2" t="s">
        <v>17</v>
      </c>
      <c r="B20" s="1"/>
      <c r="C20" s="1"/>
      <c r="D20" s="1"/>
      <c r="E20" s="1"/>
      <c r="F20" s="1"/>
      <c r="G20" s="1"/>
      <c r="H20" s="1"/>
      <c r="I20" s="1"/>
      <c r="J20" s="1"/>
      <c r="K20" s="1"/>
      <c r="L20" s="1"/>
      <c r="M20" s="1"/>
      <c r="N20" s="1"/>
      <c r="O20" s="1"/>
      <c r="P20" s="1"/>
      <c r="Q20" s="1" t="s">
        <v>198</v>
      </c>
      <c r="R20" s="1" t="s">
        <v>207</v>
      </c>
      <c r="S20" s="1"/>
      <c r="T20" s="1"/>
      <c r="U20" s="1"/>
      <c r="V20" s="1"/>
      <c r="W20" s="1" t="s">
        <v>256</v>
      </c>
      <c r="X20" s="1"/>
      <c r="Y20" s="1"/>
      <c r="Z20" s="1"/>
      <c r="AA20" s="1" t="s">
        <v>133</v>
      </c>
      <c r="AB20" s="1"/>
      <c r="AC20" s="1"/>
      <c r="AD20" s="1"/>
      <c r="AE20" s="1"/>
      <c r="AF20" s="1"/>
      <c r="AG20" s="1"/>
      <c r="AH20" s="1"/>
      <c r="AI20" s="1"/>
      <c r="AJ20" s="1"/>
      <c r="AK20" s="1"/>
      <c r="AL20" s="1"/>
      <c r="AM20" s="1"/>
      <c r="AN20" s="1"/>
      <c r="AO20" s="1"/>
      <c r="AP20" s="1"/>
      <c r="AQ20" s="1"/>
      <c r="AR20" s="1"/>
      <c r="AS20" s="1"/>
      <c r="AT20" s="1"/>
      <c r="AU20" s="1" t="s">
        <v>481</v>
      </c>
      <c r="AV20" s="1"/>
      <c r="AW20" s="1"/>
      <c r="AX20" s="1"/>
      <c r="AY20" s="1" t="s">
        <v>415</v>
      </c>
      <c r="AZ20" s="1"/>
      <c r="BA20" s="1"/>
      <c r="BB20" s="1"/>
      <c r="BC20" s="1"/>
      <c r="BD20" s="1"/>
      <c r="BE20" s="1"/>
      <c r="BF20" s="1"/>
      <c r="BG20" s="1"/>
      <c r="BH20" s="1"/>
      <c r="BI20" s="1"/>
      <c r="BJ20" s="1"/>
      <c r="BK20" s="1"/>
      <c r="BL20" s="1"/>
      <c r="BM20" s="1"/>
      <c r="BN20" s="1"/>
      <c r="BO20" s="1"/>
      <c r="BP20" s="1"/>
      <c r="BQ20" s="1"/>
      <c r="BR20" s="1" t="s">
        <v>133</v>
      </c>
      <c r="BS20" s="1"/>
      <c r="BT20" s="1"/>
      <c r="BU20" s="1"/>
      <c r="BV20" s="1"/>
      <c r="BW20" s="1"/>
      <c r="BX20" s="1"/>
      <c r="BY20" s="1"/>
      <c r="BZ20" s="1"/>
      <c r="CA20" s="1"/>
      <c r="CB20" s="1"/>
      <c r="CC20" s="1"/>
      <c r="CD20" s="1"/>
      <c r="CE20" s="1"/>
      <c r="CF20" s="1"/>
      <c r="CG20" s="1"/>
      <c r="CH20" s="1"/>
      <c r="CI20" s="1"/>
      <c r="CJ20" s="1" t="s">
        <v>256</v>
      </c>
      <c r="CK20" s="1"/>
      <c r="CL20" s="1"/>
      <c r="CM20" s="1"/>
      <c r="CN20" s="1"/>
      <c r="CO20" s="1"/>
      <c r="CP20" s="1"/>
      <c r="CQ20" s="1"/>
      <c r="CR20" s="1"/>
      <c r="CS20" s="1"/>
      <c r="CT20" s="1"/>
      <c r="CU20" s="1"/>
      <c r="CV20" s="1"/>
      <c r="CW20" s="1"/>
      <c r="CX20" s="1"/>
      <c r="CY20" s="1"/>
      <c r="CZ20" s="1" t="s">
        <v>198</v>
      </c>
      <c r="DA20" s="1"/>
      <c r="DB20" s="1"/>
      <c r="DC20" s="1"/>
      <c r="DD20" s="1"/>
      <c r="DE20" s="1"/>
      <c r="DF20" s="1"/>
      <c r="DG20" s="1"/>
      <c r="DH20" s="1"/>
      <c r="DI20" s="1"/>
      <c r="DJ20" s="1"/>
      <c r="DK20" s="1"/>
      <c r="DL20" s="1"/>
      <c r="DM20" s="1"/>
      <c r="DN20" s="1"/>
      <c r="DO20" s="1" t="s">
        <v>256</v>
      </c>
      <c r="DP20" s="1"/>
      <c r="DQ20" s="1"/>
      <c r="DR20" s="1"/>
      <c r="DS20" s="1"/>
      <c r="DT20" s="1"/>
      <c r="DU20" s="1"/>
      <c r="DV20" s="1" t="s">
        <v>245</v>
      </c>
      <c r="DW20" s="1"/>
      <c r="DX20" s="1"/>
      <c r="DY20" s="1" t="s">
        <v>1205</v>
      </c>
      <c r="DZ20" s="1"/>
      <c r="EA20" s="1"/>
      <c r="EB20" s="1"/>
      <c r="EC20" s="1"/>
      <c r="ED20" s="1"/>
      <c r="EE20" s="1"/>
      <c r="EF20" s="1"/>
      <c r="EG20" s="1"/>
      <c r="EH20" s="1"/>
      <c r="EI20" s="1"/>
      <c r="EJ20" s="1"/>
      <c r="EK20" s="1"/>
      <c r="EL20" s="40" t="s">
        <v>415</v>
      </c>
      <c r="EM20" s="1"/>
      <c r="EN20" s="1"/>
      <c r="EO20" s="1"/>
      <c r="EP20" s="1"/>
      <c r="EQ20" s="1"/>
      <c r="ER20" s="1"/>
      <c r="ES20" s="1"/>
      <c r="ET20" s="1"/>
      <c r="EU20" s="1" t="s">
        <v>256</v>
      </c>
      <c r="EV20" s="1"/>
      <c r="EW20" s="1"/>
      <c r="EX20" s="1"/>
      <c r="EY20" s="1"/>
      <c r="EZ20" s="1"/>
      <c r="FA20" s="1"/>
      <c r="FB20" s="1"/>
      <c r="FC20" s="1" t="s">
        <v>1392</v>
      </c>
      <c r="FD20" s="1"/>
      <c r="FE20" s="1"/>
      <c r="FF20" s="1"/>
      <c r="FG20" s="1" t="s">
        <v>123</v>
      </c>
      <c r="FH20" s="1"/>
    </row>
    <row r="21" spans="1:164" ht="31.5" customHeight="1" x14ac:dyDescent="0.2">
      <c r="A21" s="2" t="s">
        <v>18</v>
      </c>
      <c r="B21" s="1" t="s">
        <v>48</v>
      </c>
      <c r="C21" s="1" t="s">
        <v>61</v>
      </c>
      <c r="D21" s="1" t="s">
        <v>72</v>
      </c>
      <c r="E21" s="1" t="s">
        <v>82</v>
      </c>
      <c r="F21" s="1" t="s">
        <v>82</v>
      </c>
      <c r="G21" s="1" t="s">
        <v>61</v>
      </c>
      <c r="H21" s="1" t="s">
        <v>82</v>
      </c>
      <c r="I21" s="1" t="s">
        <v>113</v>
      </c>
      <c r="J21" s="1" t="s">
        <v>61</v>
      </c>
      <c r="K21" s="1" t="s">
        <v>134</v>
      </c>
      <c r="L21" s="1" t="s">
        <v>144</v>
      </c>
      <c r="M21" s="1" t="s">
        <v>61</v>
      </c>
      <c r="N21" s="1" t="s">
        <v>61</v>
      </c>
      <c r="O21" s="1" t="s">
        <v>176</v>
      </c>
      <c r="P21" s="1" t="s">
        <v>188</v>
      </c>
      <c r="Q21" s="1" t="s">
        <v>82</v>
      </c>
      <c r="R21" s="1" t="s">
        <v>134</v>
      </c>
      <c r="S21" s="1" t="s">
        <v>217</v>
      </c>
      <c r="T21" s="1" t="s">
        <v>82</v>
      </c>
      <c r="U21" s="1" t="s">
        <v>61</v>
      </c>
      <c r="V21" s="1" t="s">
        <v>246</v>
      </c>
      <c r="W21" s="1" t="s">
        <v>61</v>
      </c>
      <c r="X21" s="1" t="s">
        <v>268</v>
      </c>
      <c r="Y21" s="1" t="s">
        <v>61</v>
      </c>
      <c r="Z21" s="1" t="s">
        <v>61</v>
      </c>
      <c r="AA21" s="1" t="s">
        <v>290</v>
      </c>
      <c r="AB21" s="1" t="s">
        <v>300</v>
      </c>
      <c r="AC21" s="1" t="s">
        <v>310</v>
      </c>
      <c r="AD21" s="1" t="s">
        <v>320</v>
      </c>
      <c r="AE21" s="1" t="s">
        <v>331</v>
      </c>
      <c r="AF21" s="1" t="s">
        <v>61</v>
      </c>
      <c r="AG21" s="1" t="s">
        <v>82</v>
      </c>
      <c r="AH21" s="1" t="s">
        <v>134</v>
      </c>
      <c r="AI21" s="1" t="s">
        <v>61</v>
      </c>
      <c r="AJ21" s="1" t="s">
        <v>379</v>
      </c>
      <c r="AK21" s="1" t="s">
        <v>61</v>
      </c>
      <c r="AL21" s="1" t="s">
        <v>400</v>
      </c>
      <c r="AM21" s="1" t="s">
        <v>61</v>
      </c>
      <c r="AN21" s="1" t="s">
        <v>416</v>
      </c>
      <c r="AO21" s="1" t="s">
        <v>134</v>
      </c>
      <c r="AP21" s="1" t="s">
        <v>134</v>
      </c>
      <c r="AQ21" s="1" t="s">
        <v>444</v>
      </c>
      <c r="AR21" s="1" t="s">
        <v>456</v>
      </c>
      <c r="AS21" s="1" t="s">
        <v>217</v>
      </c>
      <c r="AT21" s="1" t="s">
        <v>331</v>
      </c>
      <c r="AU21" s="1" t="s">
        <v>320</v>
      </c>
      <c r="AV21" s="1" t="s">
        <v>491</v>
      </c>
      <c r="AW21" s="1" t="s">
        <v>61</v>
      </c>
      <c r="AX21" s="1" t="s">
        <v>134</v>
      </c>
      <c r="AY21" s="1" t="s">
        <v>61</v>
      </c>
      <c r="AZ21" s="1" t="s">
        <v>61</v>
      </c>
      <c r="BA21" s="1" t="s">
        <v>538</v>
      </c>
      <c r="BB21" s="1" t="s">
        <v>134</v>
      </c>
      <c r="BC21" s="1" t="s">
        <v>61</v>
      </c>
      <c r="BD21" s="1" t="s">
        <v>565</v>
      </c>
      <c r="BE21" s="1" t="s">
        <v>217</v>
      </c>
      <c r="BF21" s="1" t="s">
        <v>400</v>
      </c>
      <c r="BG21" s="1" t="s">
        <v>587</v>
      </c>
      <c r="BH21" s="1" t="s">
        <v>597</v>
      </c>
      <c r="BI21" s="1" t="s">
        <v>603</v>
      </c>
      <c r="BJ21" s="1" t="s">
        <v>217</v>
      </c>
      <c r="BK21" s="1" t="s">
        <v>217</v>
      </c>
      <c r="BL21" s="1" t="s">
        <v>82</v>
      </c>
      <c r="BM21" s="1" t="s">
        <v>61</v>
      </c>
      <c r="BN21" s="1" t="s">
        <v>217</v>
      </c>
      <c r="BO21" s="1" t="s">
        <v>82</v>
      </c>
      <c r="BP21" s="1" t="s">
        <v>667</v>
      </c>
      <c r="BQ21" s="1" t="s">
        <v>134</v>
      </c>
      <c r="BR21" s="1" t="s">
        <v>134</v>
      </c>
      <c r="BS21" s="1" t="s">
        <v>217</v>
      </c>
      <c r="BT21" s="1" t="s">
        <v>702</v>
      </c>
      <c r="BU21" s="1" t="s">
        <v>217</v>
      </c>
      <c r="BV21" s="1" t="s">
        <v>723</v>
      </c>
      <c r="BW21" s="1" t="s">
        <v>731</v>
      </c>
      <c r="BX21" s="1" t="s">
        <v>742</v>
      </c>
      <c r="BY21" s="1" t="s">
        <v>751</v>
      </c>
      <c r="BZ21" s="1" t="s">
        <v>763</v>
      </c>
      <c r="CA21" s="1" t="s">
        <v>217</v>
      </c>
      <c r="CB21" s="1" t="s">
        <v>134</v>
      </c>
      <c r="CC21" s="1" t="s">
        <v>785</v>
      </c>
      <c r="CD21" s="1" t="s">
        <v>796</v>
      </c>
      <c r="CE21" s="1" t="s">
        <v>61</v>
      </c>
      <c r="CF21" s="1" t="s">
        <v>217</v>
      </c>
      <c r="CG21" s="1" t="s">
        <v>217</v>
      </c>
      <c r="CH21" s="1" t="s">
        <v>833</v>
      </c>
      <c r="CI21" s="1" t="s">
        <v>217</v>
      </c>
      <c r="CJ21" s="1" t="s">
        <v>61</v>
      </c>
      <c r="CK21" s="1" t="s">
        <v>856</v>
      </c>
      <c r="CL21" s="1" t="s">
        <v>61</v>
      </c>
      <c r="CM21" s="1" t="s">
        <v>875</v>
      </c>
      <c r="CN21" s="1" t="s">
        <v>881</v>
      </c>
      <c r="CO21" s="1" t="s">
        <v>61</v>
      </c>
      <c r="CP21" s="1" t="s">
        <v>320</v>
      </c>
      <c r="CQ21" s="1" t="s">
        <v>61</v>
      </c>
      <c r="CR21" s="1" t="s">
        <v>217</v>
      </c>
      <c r="CS21" s="1" t="s">
        <v>491</v>
      </c>
      <c r="CT21" s="1" t="s">
        <v>134</v>
      </c>
      <c r="CU21" s="1" t="s">
        <v>82</v>
      </c>
      <c r="CV21" s="1" t="s">
        <v>134</v>
      </c>
      <c r="CW21" s="1" t="s">
        <v>268</v>
      </c>
      <c r="CX21" s="1" t="s">
        <v>61</v>
      </c>
      <c r="CY21" s="1" t="s">
        <v>972</v>
      </c>
      <c r="CZ21" s="1" t="s">
        <v>217</v>
      </c>
      <c r="DA21" s="1" t="s">
        <v>134</v>
      </c>
      <c r="DB21" s="1" t="s">
        <v>61</v>
      </c>
      <c r="DC21" s="1" t="s">
        <v>1001</v>
      </c>
      <c r="DD21" s="1" t="s">
        <v>134</v>
      </c>
      <c r="DE21" s="1" t="s">
        <v>1020</v>
      </c>
      <c r="DF21" s="1" t="s">
        <v>82</v>
      </c>
      <c r="DG21" s="1" t="s">
        <v>1038</v>
      </c>
      <c r="DH21" s="1" t="s">
        <v>1049</v>
      </c>
      <c r="DI21" s="1" t="s">
        <v>1057</v>
      </c>
      <c r="DJ21" s="1" t="s">
        <v>82</v>
      </c>
      <c r="DK21" s="1" t="s">
        <v>61</v>
      </c>
      <c r="DL21" s="1" t="s">
        <v>1080</v>
      </c>
      <c r="DM21" s="1" t="s">
        <v>82</v>
      </c>
      <c r="DN21" s="1" t="s">
        <v>217</v>
      </c>
      <c r="DO21" s="1" t="s">
        <v>61</v>
      </c>
      <c r="DP21" s="1" t="s">
        <v>61</v>
      </c>
      <c r="DQ21" s="1" t="s">
        <v>1127</v>
      </c>
      <c r="DR21" s="1" t="s">
        <v>217</v>
      </c>
      <c r="DS21" s="1" t="s">
        <v>1147</v>
      </c>
      <c r="DT21" s="1" t="s">
        <v>751</v>
      </c>
      <c r="DU21" s="1" t="s">
        <v>72</v>
      </c>
      <c r="DV21" s="1" t="s">
        <v>61</v>
      </c>
      <c r="DW21" s="1" t="s">
        <v>1185</v>
      </c>
      <c r="DX21" s="1" t="s">
        <v>61</v>
      </c>
      <c r="DY21" s="1" t="s">
        <v>1206</v>
      </c>
      <c r="DZ21" s="1" t="s">
        <v>1215</v>
      </c>
      <c r="EA21" s="1" t="s">
        <v>61</v>
      </c>
      <c r="EB21" s="1" t="s">
        <v>1230</v>
      </c>
      <c r="EC21" s="1" t="s">
        <v>217</v>
      </c>
      <c r="ED21" s="1" t="s">
        <v>61</v>
      </c>
      <c r="EE21" s="1" t="s">
        <v>400</v>
      </c>
      <c r="EF21" s="1" t="s">
        <v>1265</v>
      </c>
      <c r="EG21" s="1" t="s">
        <v>134</v>
      </c>
      <c r="EH21" s="1" t="s">
        <v>134</v>
      </c>
      <c r="EI21" s="1" t="s">
        <v>61</v>
      </c>
      <c r="EJ21" s="1" t="s">
        <v>320</v>
      </c>
      <c r="EK21" s="1" t="s">
        <v>1307</v>
      </c>
      <c r="EL21" s="40" t="s">
        <v>82</v>
      </c>
      <c r="EM21" s="1" t="s">
        <v>61</v>
      </c>
      <c r="EN21" s="1" t="s">
        <v>61</v>
      </c>
      <c r="EO21" s="1" t="s">
        <v>134</v>
      </c>
      <c r="EP21" s="1" t="s">
        <v>1347</v>
      </c>
      <c r="EQ21" s="1" t="s">
        <v>61</v>
      </c>
      <c r="ER21" s="1" t="s">
        <v>134</v>
      </c>
      <c r="ES21" s="1" t="s">
        <v>1393</v>
      </c>
      <c r="ET21" s="1" t="s">
        <v>82</v>
      </c>
      <c r="EU21" s="1" t="s">
        <v>702</v>
      </c>
      <c r="EV21" s="1" t="s">
        <v>82</v>
      </c>
      <c r="EW21" s="1" t="s">
        <v>1394</v>
      </c>
      <c r="EX21" s="1" t="s">
        <v>61</v>
      </c>
      <c r="EY21" s="1" t="s">
        <v>61</v>
      </c>
      <c r="EZ21" s="1" t="s">
        <v>217</v>
      </c>
      <c r="FA21" s="1" t="s">
        <v>1395</v>
      </c>
      <c r="FB21" s="1" t="s">
        <v>61</v>
      </c>
      <c r="FC21" s="1" t="s">
        <v>1396</v>
      </c>
      <c r="FD21" s="1" t="s">
        <v>61</v>
      </c>
      <c r="FE21" s="1" t="s">
        <v>1265</v>
      </c>
      <c r="FF21" s="1" t="s">
        <v>1500</v>
      </c>
      <c r="FG21" s="1" t="s">
        <v>1501</v>
      </c>
      <c r="FH21" s="1" t="s">
        <v>61</v>
      </c>
    </row>
    <row r="22" spans="1:164" ht="30.75" customHeight="1" x14ac:dyDescent="0.2">
      <c r="A22" s="2" t="s">
        <v>19</v>
      </c>
      <c r="B22" s="1" t="s">
        <v>49</v>
      </c>
      <c r="C22" s="1" t="s">
        <v>62</v>
      </c>
      <c r="D22" s="1" t="s">
        <v>73</v>
      </c>
      <c r="E22" s="1" t="s">
        <v>83</v>
      </c>
      <c r="F22" s="1" t="s">
        <v>93</v>
      </c>
      <c r="G22" s="1" t="s">
        <v>100</v>
      </c>
      <c r="H22" s="1" t="s">
        <v>62</v>
      </c>
      <c r="I22" s="1" t="s">
        <v>114</v>
      </c>
      <c r="J22" s="1" t="s">
        <v>124</v>
      </c>
      <c r="K22" s="1" t="s">
        <v>62</v>
      </c>
      <c r="L22" s="1" t="s">
        <v>145</v>
      </c>
      <c r="M22" s="1" t="s">
        <v>124</v>
      </c>
      <c r="N22" s="1" t="s">
        <v>167</v>
      </c>
      <c r="O22" s="1">
        <v>10</v>
      </c>
      <c r="P22" s="1" t="s">
        <v>145</v>
      </c>
      <c r="Q22" s="1" t="s">
        <v>124</v>
      </c>
      <c r="R22" s="1" t="s">
        <v>208</v>
      </c>
      <c r="S22" s="1" t="s">
        <v>93</v>
      </c>
      <c r="T22" s="1" t="s">
        <v>73</v>
      </c>
      <c r="U22" s="1">
        <v>8</v>
      </c>
      <c r="V22" s="1" t="s">
        <v>62</v>
      </c>
      <c r="W22" s="1">
        <v>12</v>
      </c>
      <c r="X22" s="1" t="s">
        <v>49</v>
      </c>
      <c r="Y22" s="1" t="s">
        <v>276</v>
      </c>
      <c r="Z22" s="1" t="s">
        <v>285</v>
      </c>
      <c r="AA22" s="1" t="s">
        <v>291</v>
      </c>
      <c r="AB22" s="1" t="s">
        <v>301</v>
      </c>
      <c r="AC22" s="1" t="s">
        <v>301</v>
      </c>
      <c r="AD22" s="1" t="s">
        <v>321</v>
      </c>
      <c r="AE22" s="1" t="s">
        <v>73</v>
      </c>
      <c r="AF22" s="1" t="s">
        <v>342</v>
      </c>
      <c r="AG22" s="1" t="s">
        <v>49</v>
      </c>
      <c r="AH22" s="1" t="s">
        <v>114</v>
      </c>
      <c r="AI22" s="1" t="s">
        <v>49</v>
      </c>
      <c r="AJ22" s="1" t="s">
        <v>380</v>
      </c>
      <c r="AK22" s="1" t="s">
        <v>388</v>
      </c>
      <c r="AL22" s="1" t="s">
        <v>62</v>
      </c>
      <c r="AM22" s="1" t="s">
        <v>124</v>
      </c>
      <c r="AN22" s="1">
        <v>11</v>
      </c>
      <c r="AO22" s="1" t="s">
        <v>427</v>
      </c>
      <c r="AP22" s="1" t="s">
        <v>434</v>
      </c>
      <c r="AQ22" s="1" t="s">
        <v>445</v>
      </c>
      <c r="AR22" s="1" t="s">
        <v>388</v>
      </c>
      <c r="AS22" s="1" t="s">
        <v>167</v>
      </c>
      <c r="AT22" s="1" t="s">
        <v>62</v>
      </c>
      <c r="AU22" s="1">
        <v>5</v>
      </c>
      <c r="AV22" s="1" t="s">
        <v>492</v>
      </c>
      <c r="AW22" s="1" t="s">
        <v>502</v>
      </c>
      <c r="AX22" s="1" t="s">
        <v>145</v>
      </c>
      <c r="AY22" s="1">
        <v>4</v>
      </c>
      <c r="AZ22" s="1" t="s">
        <v>208</v>
      </c>
      <c r="BA22" s="1" t="s">
        <v>321</v>
      </c>
      <c r="BB22" s="1" t="s">
        <v>62</v>
      </c>
      <c r="BC22" s="1" t="s">
        <v>124</v>
      </c>
      <c r="BD22" s="1" t="s">
        <v>342</v>
      </c>
      <c r="BE22" s="1" t="s">
        <v>575</v>
      </c>
      <c r="BF22" s="1">
        <v>10</v>
      </c>
      <c r="BG22" s="1">
        <v>5</v>
      </c>
      <c r="BH22" s="1">
        <v>10</v>
      </c>
      <c r="BI22" s="1" t="s">
        <v>114</v>
      </c>
      <c r="BJ22" s="1" t="s">
        <v>49</v>
      </c>
      <c r="BK22" s="1" t="s">
        <v>145</v>
      </c>
      <c r="BL22" s="1" t="s">
        <v>62</v>
      </c>
      <c r="BM22" s="1" t="s">
        <v>124</v>
      </c>
      <c r="BN22" s="1" t="s">
        <v>167</v>
      </c>
      <c r="BO22" s="1" t="s">
        <v>656</v>
      </c>
      <c r="BP22" s="1" t="s">
        <v>668</v>
      </c>
      <c r="BQ22" s="1" t="s">
        <v>167</v>
      </c>
      <c r="BR22" s="1" t="s">
        <v>301</v>
      </c>
      <c r="BS22" s="1" t="s">
        <v>167</v>
      </c>
      <c r="BT22" s="1" t="s">
        <v>703</v>
      </c>
      <c r="BU22" s="1" t="s">
        <v>342</v>
      </c>
      <c r="BV22" s="1" t="s">
        <v>342</v>
      </c>
      <c r="BW22" s="1" t="s">
        <v>49</v>
      </c>
      <c r="BX22" s="1" t="s">
        <v>434</v>
      </c>
      <c r="BY22" s="1" t="s">
        <v>752</v>
      </c>
      <c r="BZ22" s="1" t="s">
        <v>62</v>
      </c>
      <c r="CA22" s="1" t="s">
        <v>208</v>
      </c>
      <c r="CB22" s="1" t="s">
        <v>775</v>
      </c>
      <c r="CC22" s="1" t="s">
        <v>786</v>
      </c>
      <c r="CD22" s="1" t="s">
        <v>301</v>
      </c>
      <c r="CE22" s="1" t="s">
        <v>49</v>
      </c>
      <c r="CF22" s="1">
        <v>5</v>
      </c>
      <c r="CG22" s="1" t="s">
        <v>823</v>
      </c>
      <c r="CH22" s="1" t="s">
        <v>823</v>
      </c>
      <c r="CI22" s="1" t="s">
        <v>208</v>
      </c>
      <c r="CJ22" s="1" t="s">
        <v>823</v>
      </c>
      <c r="CK22" s="1" t="s">
        <v>857</v>
      </c>
      <c r="CL22" s="1" t="s">
        <v>62</v>
      </c>
      <c r="CM22" s="1" t="s">
        <v>73</v>
      </c>
      <c r="CN22" s="1" t="s">
        <v>114</v>
      </c>
      <c r="CO22" s="1" t="s">
        <v>291</v>
      </c>
      <c r="CP22" s="1">
        <v>6</v>
      </c>
      <c r="CQ22" s="1" t="s">
        <v>904</v>
      </c>
      <c r="CR22" s="1" t="s">
        <v>167</v>
      </c>
      <c r="CS22" s="1">
        <v>7</v>
      </c>
      <c r="CT22" s="1" t="s">
        <v>62</v>
      </c>
      <c r="CU22" s="1" t="s">
        <v>49</v>
      </c>
      <c r="CV22" s="1" t="s">
        <v>946</v>
      </c>
      <c r="CW22" s="1" t="s">
        <v>956</v>
      </c>
      <c r="CX22" s="1" t="s">
        <v>49</v>
      </c>
      <c r="CY22" s="1" t="s">
        <v>321</v>
      </c>
      <c r="CZ22" s="1" t="s">
        <v>145</v>
      </c>
      <c r="DA22" s="1">
        <v>20</v>
      </c>
      <c r="DB22" s="1" t="s">
        <v>73</v>
      </c>
      <c r="DC22" s="1" t="s">
        <v>208</v>
      </c>
      <c r="DD22" s="1" t="s">
        <v>388</v>
      </c>
      <c r="DE22" s="1" t="s">
        <v>208</v>
      </c>
      <c r="DF22" s="1" t="s">
        <v>114</v>
      </c>
      <c r="DG22" s="1" t="s">
        <v>1039</v>
      </c>
      <c r="DH22" s="1">
        <v>25</v>
      </c>
      <c r="DI22" s="1" t="s">
        <v>823</v>
      </c>
      <c r="DJ22" s="1" t="s">
        <v>342</v>
      </c>
      <c r="DK22" s="1" t="s">
        <v>301</v>
      </c>
      <c r="DL22" s="1" t="s">
        <v>167</v>
      </c>
      <c r="DM22" s="1" t="s">
        <v>752</v>
      </c>
      <c r="DN22" s="1" t="s">
        <v>752</v>
      </c>
      <c r="DO22" s="1" t="s">
        <v>1107</v>
      </c>
      <c r="DP22" s="1" t="s">
        <v>342</v>
      </c>
      <c r="DQ22" s="1" t="s">
        <v>786</v>
      </c>
      <c r="DR22" s="1" t="s">
        <v>208</v>
      </c>
      <c r="DS22" s="1" t="s">
        <v>1148</v>
      </c>
      <c r="DT22" s="1" t="s">
        <v>1157</v>
      </c>
      <c r="DU22" s="1" t="s">
        <v>752</v>
      </c>
      <c r="DV22" s="1" t="s">
        <v>301</v>
      </c>
      <c r="DW22" s="1" t="s">
        <v>114</v>
      </c>
      <c r="DX22" s="1" t="s">
        <v>1195</v>
      </c>
      <c r="DY22" s="1" t="s">
        <v>1207</v>
      </c>
      <c r="DZ22" s="1" t="s">
        <v>62</v>
      </c>
      <c r="EA22" s="1" t="s">
        <v>1224</v>
      </c>
      <c r="EB22" s="1">
        <v>5</v>
      </c>
      <c r="EC22" s="1" t="s">
        <v>49</v>
      </c>
      <c r="ED22" s="1" t="s">
        <v>752</v>
      </c>
      <c r="EE22" s="1" t="s">
        <v>1257</v>
      </c>
      <c r="EF22" s="1" t="s">
        <v>823</v>
      </c>
      <c r="EG22" s="1" t="s">
        <v>167</v>
      </c>
      <c r="EH22" s="1" t="s">
        <v>301</v>
      </c>
      <c r="EI22" s="1" t="s">
        <v>208</v>
      </c>
      <c r="EJ22" s="1" t="s">
        <v>208</v>
      </c>
      <c r="EK22" s="1" t="s">
        <v>62</v>
      </c>
      <c r="EL22" s="40" t="s">
        <v>93</v>
      </c>
      <c r="EM22" s="1" t="s">
        <v>823</v>
      </c>
      <c r="EN22" s="1" t="s">
        <v>1333</v>
      </c>
      <c r="EO22" s="1">
        <v>30</v>
      </c>
      <c r="EP22" s="1" t="s">
        <v>62</v>
      </c>
      <c r="EQ22" s="1" t="s">
        <v>100</v>
      </c>
      <c r="ER22" s="1" t="s">
        <v>93</v>
      </c>
      <c r="ES22" s="1">
        <v>4</v>
      </c>
      <c r="ET22" s="1" t="s">
        <v>49</v>
      </c>
      <c r="EU22" s="1" t="s">
        <v>1397</v>
      </c>
      <c r="EV22" s="1" t="s">
        <v>49</v>
      </c>
      <c r="EW22" s="1" t="s">
        <v>823</v>
      </c>
      <c r="EX22" s="1" t="s">
        <v>114</v>
      </c>
      <c r="EY22" s="1" t="s">
        <v>208</v>
      </c>
      <c r="EZ22" s="1" t="s">
        <v>208</v>
      </c>
      <c r="FA22" s="1" t="s">
        <v>668</v>
      </c>
      <c r="FB22" s="1" t="s">
        <v>62</v>
      </c>
      <c r="FC22" s="1" t="s">
        <v>124</v>
      </c>
      <c r="FD22" s="1" t="s">
        <v>62</v>
      </c>
      <c r="FE22" s="1" t="s">
        <v>301</v>
      </c>
      <c r="FF22" s="1" t="s">
        <v>62</v>
      </c>
      <c r="FG22" s="1" t="s">
        <v>1502</v>
      </c>
      <c r="FH22" s="1" t="s">
        <v>73</v>
      </c>
    </row>
    <row r="23" spans="1:164" ht="34.5" customHeight="1" x14ac:dyDescent="0.2">
      <c r="A23" s="5" t="s">
        <v>20</v>
      </c>
      <c r="B23" s="1" t="s">
        <v>50</v>
      </c>
      <c r="C23" s="1" t="s">
        <v>63</v>
      </c>
      <c r="D23" s="1" t="s">
        <v>74</v>
      </c>
      <c r="E23" s="1" t="s">
        <v>84</v>
      </c>
      <c r="F23" s="1" t="s">
        <v>94</v>
      </c>
      <c r="G23" s="1" t="s">
        <v>101</v>
      </c>
      <c r="H23" s="1" t="s">
        <v>105</v>
      </c>
      <c r="I23" s="1" t="s">
        <v>115</v>
      </c>
      <c r="J23" s="1" t="s">
        <v>125</v>
      </c>
      <c r="K23" s="1" t="s">
        <v>135</v>
      </c>
      <c r="L23" s="1" t="s">
        <v>146</v>
      </c>
      <c r="M23" s="1" t="s">
        <v>155</v>
      </c>
      <c r="N23" s="1" t="s">
        <v>168</v>
      </c>
      <c r="O23" s="1" t="s">
        <v>177</v>
      </c>
      <c r="P23" s="1" t="s">
        <v>189</v>
      </c>
      <c r="Q23" s="1" t="s">
        <v>199</v>
      </c>
      <c r="R23" s="1" t="s">
        <v>209</v>
      </c>
      <c r="S23" s="1" t="s">
        <v>218</v>
      </c>
      <c r="T23" s="1" t="s">
        <v>226</v>
      </c>
      <c r="U23" s="1" t="s">
        <v>236</v>
      </c>
      <c r="V23" s="1" t="s">
        <v>247</v>
      </c>
      <c r="W23" s="1" t="s">
        <v>257</v>
      </c>
      <c r="X23" s="1" t="s">
        <v>269</v>
      </c>
      <c r="Y23" s="1" t="s">
        <v>277</v>
      </c>
      <c r="Z23" s="1" t="s">
        <v>286</v>
      </c>
      <c r="AA23" s="1" t="s">
        <v>292</v>
      </c>
      <c r="AB23" s="1" t="s">
        <v>302</v>
      </c>
      <c r="AC23" s="1" t="s">
        <v>311</v>
      </c>
      <c r="AD23" s="1" t="s">
        <v>322</v>
      </c>
      <c r="AE23" s="1" t="s">
        <v>332</v>
      </c>
      <c r="AF23" s="1" t="s">
        <v>343</v>
      </c>
      <c r="AG23" s="1" t="s">
        <v>351</v>
      </c>
      <c r="AH23" s="1" t="s">
        <v>360</v>
      </c>
      <c r="AI23" s="1" t="s">
        <v>370</v>
      </c>
      <c r="AJ23" s="1" t="s">
        <v>381</v>
      </c>
      <c r="AK23" s="1" t="s">
        <v>389</v>
      </c>
      <c r="AL23" s="1" t="s">
        <v>401</v>
      </c>
      <c r="AM23" s="1" t="s">
        <v>1547</v>
      </c>
      <c r="AN23" s="1" t="s">
        <v>417</v>
      </c>
      <c r="AO23" s="1" t="s">
        <v>428</v>
      </c>
      <c r="AP23" s="1" t="s">
        <v>435</v>
      </c>
      <c r="AQ23" s="1" t="s">
        <v>446</v>
      </c>
      <c r="AR23" s="1" t="s">
        <v>457</v>
      </c>
      <c r="AS23" s="1" t="s">
        <v>466</v>
      </c>
      <c r="AT23" s="1" t="s">
        <v>473</v>
      </c>
      <c r="AU23" s="1" t="s">
        <v>482</v>
      </c>
      <c r="AV23" s="1" t="s">
        <v>493</v>
      </c>
      <c r="AW23" s="1" t="s">
        <v>503</v>
      </c>
      <c r="AX23" s="1" t="s">
        <v>512</v>
      </c>
      <c r="AY23" s="1" t="s">
        <v>1546</v>
      </c>
      <c r="AZ23" s="1" t="s">
        <v>528</v>
      </c>
      <c r="BA23" s="1" t="s">
        <v>539</v>
      </c>
      <c r="BB23" s="1" t="s">
        <v>548</v>
      </c>
      <c r="BC23" s="1" t="s">
        <v>556</v>
      </c>
      <c r="BD23" s="1" t="s">
        <v>566</v>
      </c>
      <c r="BE23" s="1" t="s">
        <v>576</v>
      </c>
      <c r="BF23" s="1" t="s">
        <v>581</v>
      </c>
      <c r="BG23" s="1" t="s">
        <v>588</v>
      </c>
      <c r="BH23" s="1" t="s">
        <v>598</v>
      </c>
      <c r="BI23" s="1" t="s">
        <v>604</v>
      </c>
      <c r="BJ23" s="1" t="s">
        <v>614</v>
      </c>
      <c r="BK23" s="1" t="s">
        <v>621</v>
      </c>
      <c r="BL23" s="1" t="s">
        <v>630</v>
      </c>
      <c r="BM23" s="1" t="s">
        <v>640</v>
      </c>
      <c r="BN23" s="1" t="s">
        <v>649</v>
      </c>
      <c r="BO23" s="1" t="s">
        <v>657</v>
      </c>
      <c r="BP23" s="1" t="s">
        <v>1545</v>
      </c>
      <c r="BQ23" s="1" t="s">
        <v>677</v>
      </c>
      <c r="BR23" s="1" t="s">
        <v>686</v>
      </c>
      <c r="BS23" s="1" t="s">
        <v>692</v>
      </c>
      <c r="BT23" s="1" t="s">
        <v>704</v>
      </c>
      <c r="BU23" s="1" t="s">
        <v>713</v>
      </c>
      <c r="BV23" s="1" t="s">
        <v>724</v>
      </c>
      <c r="BW23" s="1" t="s">
        <v>732</v>
      </c>
      <c r="BX23" s="1" t="s">
        <v>743</v>
      </c>
      <c r="BY23" s="1" t="s">
        <v>753</v>
      </c>
      <c r="BZ23" s="1" t="s">
        <v>764</v>
      </c>
      <c r="CA23" s="1" t="s">
        <v>770</v>
      </c>
      <c r="CB23" s="1" t="s">
        <v>776</v>
      </c>
      <c r="CC23" s="1" t="s">
        <v>787</v>
      </c>
      <c r="CD23" s="1" t="s">
        <v>1544</v>
      </c>
      <c r="CE23" s="1" t="s">
        <v>805</v>
      </c>
      <c r="CF23" s="1" t="s">
        <v>814</v>
      </c>
      <c r="CG23" s="1" t="s">
        <v>824</v>
      </c>
      <c r="CH23" s="1" t="s">
        <v>834</v>
      </c>
      <c r="CI23" s="1" t="s">
        <v>840</v>
      </c>
      <c r="CJ23" s="1" t="s">
        <v>846</v>
      </c>
      <c r="CK23" s="1" t="s">
        <v>858</v>
      </c>
      <c r="CL23" s="1" t="s">
        <v>867</v>
      </c>
      <c r="CM23" s="1" t="s">
        <v>876</v>
      </c>
      <c r="CN23" s="1" t="s">
        <v>882</v>
      </c>
      <c r="CO23" s="1" t="s">
        <v>891</v>
      </c>
      <c r="CP23" s="1" t="s">
        <v>895</v>
      </c>
      <c r="CQ23" s="1" t="s">
        <v>905</v>
      </c>
      <c r="CR23" s="1" t="s">
        <v>1543</v>
      </c>
      <c r="CS23" s="1" t="s">
        <v>919</v>
      </c>
      <c r="CT23" s="1" t="s">
        <v>927</v>
      </c>
      <c r="CU23" s="1" t="s">
        <v>936</v>
      </c>
      <c r="CV23" s="1" t="s">
        <v>947</v>
      </c>
      <c r="CW23" s="1" t="s">
        <v>957</v>
      </c>
      <c r="CX23" s="1" t="s">
        <v>963</v>
      </c>
      <c r="CY23" s="1" t="s">
        <v>1542</v>
      </c>
      <c r="CZ23" s="1" t="s">
        <v>980</v>
      </c>
      <c r="DA23" s="1" t="s">
        <v>987</v>
      </c>
      <c r="DB23" s="1" t="s">
        <v>992</v>
      </c>
      <c r="DC23" s="1" t="s">
        <v>1002</v>
      </c>
      <c r="DD23" s="1" t="s">
        <v>1011</v>
      </c>
      <c r="DE23" s="1" t="s">
        <v>1021</v>
      </c>
      <c r="DF23" s="1" t="s">
        <v>1029</v>
      </c>
      <c r="DG23" s="1" t="s">
        <v>1040</v>
      </c>
      <c r="DH23" s="1" t="s">
        <v>1050</v>
      </c>
      <c r="DI23" s="1" t="s">
        <v>1058</v>
      </c>
      <c r="DJ23" s="1" t="s">
        <v>1062</v>
      </c>
      <c r="DK23" s="1" t="s">
        <v>1071</v>
      </c>
      <c r="DL23" s="1" t="s">
        <v>1081</v>
      </c>
      <c r="DM23" s="1" t="s">
        <v>1541</v>
      </c>
      <c r="DN23" s="1" t="s">
        <v>1100</v>
      </c>
      <c r="DO23" s="1" t="s">
        <v>1108</v>
      </c>
      <c r="DP23" s="1" t="s">
        <v>1117</v>
      </c>
      <c r="DQ23" s="1" t="s">
        <v>1128</v>
      </c>
      <c r="DR23" s="1" t="s">
        <v>1137</v>
      </c>
      <c r="DS23" s="1" t="s">
        <v>1540</v>
      </c>
      <c r="DT23" s="1" t="s">
        <v>1158</v>
      </c>
      <c r="DU23" s="1" t="s">
        <v>1166</v>
      </c>
      <c r="DV23" s="1" t="s">
        <v>1175</v>
      </c>
      <c r="DW23" s="1" t="s">
        <v>1186</v>
      </c>
      <c r="DX23" s="1" t="s">
        <v>1196</v>
      </c>
      <c r="DY23" s="1" t="s">
        <v>1208</v>
      </c>
      <c r="DZ23" s="1" t="s">
        <v>1216</v>
      </c>
      <c r="EA23" s="1" t="s">
        <v>1225</v>
      </c>
      <c r="EB23" s="1" t="s">
        <v>1231</v>
      </c>
      <c r="EC23" s="1" t="s">
        <v>1239</v>
      </c>
      <c r="ED23" s="1" t="s">
        <v>1247</v>
      </c>
      <c r="EE23" s="1" t="s">
        <v>1258</v>
      </c>
      <c r="EF23" s="1" t="s">
        <v>1266</v>
      </c>
      <c r="EG23" s="1" t="s">
        <v>1275</v>
      </c>
      <c r="EH23" s="1" t="s">
        <v>1285</v>
      </c>
      <c r="EI23" s="1" t="s">
        <v>1293</v>
      </c>
      <c r="EJ23" s="1" t="s">
        <v>1301</v>
      </c>
      <c r="EK23" s="1" t="s">
        <v>1539</v>
      </c>
      <c r="EL23" s="40" t="s">
        <v>1316</v>
      </c>
      <c r="EM23" s="1" t="s">
        <v>1323</v>
      </c>
      <c r="EN23" s="1" t="s">
        <v>1334</v>
      </c>
      <c r="EO23" s="1" t="s">
        <v>1341</v>
      </c>
      <c r="EP23" s="1" t="s">
        <v>1348</v>
      </c>
      <c r="EQ23" s="1" t="s">
        <v>1398</v>
      </c>
      <c r="ER23" s="1" t="s">
        <v>1399</v>
      </c>
      <c r="ES23" s="1" t="s">
        <v>1400</v>
      </c>
      <c r="ET23" s="1" t="s">
        <v>1493</v>
      </c>
      <c r="EU23" s="1" t="s">
        <v>1401</v>
      </c>
      <c r="EV23" s="1" t="s">
        <v>1402</v>
      </c>
      <c r="EW23" s="1" t="s">
        <v>1403</v>
      </c>
      <c r="EX23" s="1" t="s">
        <v>1404</v>
      </c>
      <c r="EY23" s="1" t="e">
        <f>- which interactions to include/exclude, and The number of factors in each interaction
- whether or not to include random slopes
- interpretation of higher-order interactions
- lots of factors can be included, but not all of them make sense to include. Where to draw The line?</f>
        <v>#NAME?</v>
      </c>
      <c r="EZ23" s="1" t="s">
        <v>1405</v>
      </c>
      <c r="FA23" s="1" t="s">
        <v>1406</v>
      </c>
      <c r="FB23" s="1" t="s">
        <v>1407</v>
      </c>
      <c r="FC23" s="1" t="s">
        <v>1408</v>
      </c>
      <c r="FD23" s="1" t="s">
        <v>1503</v>
      </c>
      <c r="FE23" s="1" t="s">
        <v>1504</v>
      </c>
      <c r="FF23" s="1" t="s">
        <v>1505</v>
      </c>
      <c r="FG23" s="1" t="s">
        <v>1502</v>
      </c>
      <c r="FH23" s="1" t="s">
        <v>1536</v>
      </c>
    </row>
    <row r="24" spans="1:164" ht="60" customHeight="1" x14ac:dyDescent="0.2">
      <c r="A24" s="2" t="s">
        <v>21</v>
      </c>
      <c r="B24" s="1" t="s">
        <v>51</v>
      </c>
      <c r="C24" s="1" t="s">
        <v>64</v>
      </c>
      <c r="D24" s="1" t="s">
        <v>46</v>
      </c>
      <c r="E24" s="1" t="s">
        <v>85</v>
      </c>
      <c r="F24" s="1" t="s">
        <v>95</v>
      </c>
      <c r="G24" s="1" t="s">
        <v>102</v>
      </c>
      <c r="H24" s="1" t="s">
        <v>46</v>
      </c>
      <c r="I24" s="1" t="s">
        <v>116</v>
      </c>
      <c r="J24" s="1" t="s">
        <v>126</v>
      </c>
      <c r="K24" s="1" t="s">
        <v>136</v>
      </c>
      <c r="L24" s="1" t="s">
        <v>147</v>
      </c>
      <c r="M24" s="1" t="s">
        <v>156</v>
      </c>
      <c r="N24" s="1" t="s">
        <v>169</v>
      </c>
      <c r="O24" s="1" t="s">
        <v>178</v>
      </c>
      <c r="P24" s="1" t="s">
        <v>190</v>
      </c>
      <c r="Q24" s="1" t="s">
        <v>200</v>
      </c>
      <c r="R24" s="1" t="s">
        <v>210</v>
      </c>
      <c r="S24" s="1" t="s">
        <v>219</v>
      </c>
      <c r="T24" s="1" t="s">
        <v>227</v>
      </c>
      <c r="U24" s="1" t="s">
        <v>237</v>
      </c>
      <c r="V24" s="1" t="s">
        <v>248</v>
      </c>
      <c r="W24" s="1" t="s">
        <v>258</v>
      </c>
      <c r="X24" s="1" t="s">
        <v>270</v>
      </c>
      <c r="Y24" s="1" t="s">
        <v>278</v>
      </c>
      <c r="Z24" s="1" t="s">
        <v>270</v>
      </c>
      <c r="AA24" s="1" t="s">
        <v>293</v>
      </c>
      <c r="AB24" s="1" t="s">
        <v>303</v>
      </c>
      <c r="AC24" s="1" t="s">
        <v>312</v>
      </c>
      <c r="AD24" s="1" t="s">
        <v>323</v>
      </c>
      <c r="AE24" s="1" t="s">
        <v>333</v>
      </c>
      <c r="AF24" s="1" t="s">
        <v>344</v>
      </c>
      <c r="AG24" s="1" t="s">
        <v>352</v>
      </c>
      <c r="AH24" s="1" t="s">
        <v>361</v>
      </c>
      <c r="AI24" s="1" t="s">
        <v>371</v>
      </c>
      <c r="AJ24" s="1" t="s">
        <v>382</v>
      </c>
      <c r="AK24" s="1" t="s">
        <v>390</v>
      </c>
      <c r="AL24" s="1" t="s">
        <v>270</v>
      </c>
      <c r="AM24" s="1" t="s">
        <v>270</v>
      </c>
      <c r="AN24" s="1" t="s">
        <v>418</v>
      </c>
      <c r="AO24" s="1" t="s">
        <v>270</v>
      </c>
      <c r="AP24" s="1" t="s">
        <v>436</v>
      </c>
      <c r="AQ24" s="1" t="s">
        <v>447</v>
      </c>
      <c r="AR24" s="1" t="s">
        <v>458</v>
      </c>
      <c r="AS24" s="1" t="s">
        <v>467</v>
      </c>
      <c r="AT24" s="1" t="s">
        <v>474</v>
      </c>
      <c r="AU24" s="1" t="s">
        <v>483</v>
      </c>
      <c r="AV24" s="1" t="s">
        <v>494</v>
      </c>
      <c r="AW24" s="1" t="s">
        <v>46</v>
      </c>
      <c r="AX24" s="1" t="s">
        <v>513</v>
      </c>
      <c r="AY24" s="1" t="s">
        <v>521</v>
      </c>
      <c r="AZ24" s="1" t="s">
        <v>529</v>
      </c>
      <c r="BA24" s="1" t="s">
        <v>540</v>
      </c>
      <c r="BB24" s="1" t="s">
        <v>549</v>
      </c>
      <c r="BC24" s="1" t="s">
        <v>557</v>
      </c>
      <c r="BD24" s="1" t="s">
        <v>567</v>
      </c>
      <c r="BE24" s="1" t="s">
        <v>577</v>
      </c>
      <c r="BF24" s="1" t="s">
        <v>582</v>
      </c>
      <c r="BG24" s="1" t="s">
        <v>589</v>
      </c>
      <c r="BH24" s="1" t="s">
        <v>270</v>
      </c>
      <c r="BI24" s="1" t="s">
        <v>605</v>
      </c>
      <c r="BJ24" s="1" t="s">
        <v>615</v>
      </c>
      <c r="BK24" s="1" t="s">
        <v>622</v>
      </c>
      <c r="BL24" s="1" t="s">
        <v>631</v>
      </c>
      <c r="BM24" s="1" t="s">
        <v>641</v>
      </c>
      <c r="BN24" s="1" t="s">
        <v>650</v>
      </c>
      <c r="BO24" s="1" t="s">
        <v>658</v>
      </c>
      <c r="BP24" s="1" t="s">
        <v>669</v>
      </c>
      <c r="BQ24" s="1" t="s">
        <v>678</v>
      </c>
      <c r="BR24" s="1" t="s">
        <v>687</v>
      </c>
      <c r="BS24" s="1" t="s">
        <v>693</v>
      </c>
      <c r="BT24" s="1" t="s">
        <v>705</v>
      </c>
      <c r="BU24" s="1" t="s">
        <v>714</v>
      </c>
      <c r="BV24" s="1" t="s">
        <v>725</v>
      </c>
      <c r="BW24" s="1" t="s">
        <v>733</v>
      </c>
      <c r="BX24" s="1" t="s">
        <v>744</v>
      </c>
      <c r="BY24" s="1" t="s">
        <v>754</v>
      </c>
      <c r="BZ24" s="1" t="s">
        <v>765</v>
      </c>
      <c r="CA24" s="1" t="s">
        <v>771</v>
      </c>
      <c r="CB24" s="1" t="s">
        <v>777</v>
      </c>
      <c r="CC24" s="1" t="s">
        <v>788</v>
      </c>
      <c r="CD24" s="1" t="s">
        <v>797</v>
      </c>
      <c r="CE24" s="1" t="s">
        <v>806</v>
      </c>
      <c r="CF24" s="1" t="s">
        <v>815</v>
      </c>
      <c r="CG24" s="1" t="s">
        <v>825</v>
      </c>
      <c r="CH24" s="1" t="s">
        <v>200</v>
      </c>
      <c r="CI24" s="1" t="s">
        <v>841</v>
      </c>
      <c r="CJ24" s="1" t="s">
        <v>847</v>
      </c>
      <c r="CK24" s="1" t="s">
        <v>859</v>
      </c>
      <c r="CL24" s="1" t="s">
        <v>868</v>
      </c>
      <c r="CM24" s="1" t="s">
        <v>877</v>
      </c>
      <c r="CN24" s="1" t="s">
        <v>883</v>
      </c>
      <c r="CO24" s="1" t="s">
        <v>46</v>
      </c>
      <c r="CP24" s="1" t="s">
        <v>896</v>
      </c>
      <c r="CQ24" s="1" t="s">
        <v>906</v>
      </c>
      <c r="CR24" s="1" t="s">
        <v>913</v>
      </c>
      <c r="CS24" s="1" t="s">
        <v>270</v>
      </c>
      <c r="CT24" s="1" t="s">
        <v>928</v>
      </c>
      <c r="CU24" s="1" t="s">
        <v>937</v>
      </c>
      <c r="CV24" s="1" t="s">
        <v>948</v>
      </c>
      <c r="CW24" s="1" t="s">
        <v>650</v>
      </c>
      <c r="CX24" s="1" t="s">
        <v>964</v>
      </c>
      <c r="CY24" s="1" t="s">
        <v>973</v>
      </c>
      <c r="CZ24" s="1" t="s">
        <v>981</v>
      </c>
      <c r="DA24" s="1" t="s">
        <v>987</v>
      </c>
      <c r="DB24" s="1" t="s">
        <v>993</v>
      </c>
      <c r="DC24" s="1" t="s">
        <v>1003</v>
      </c>
      <c r="DD24" s="1" t="s">
        <v>1012</v>
      </c>
      <c r="DE24" s="1" t="s">
        <v>1022</v>
      </c>
      <c r="DF24" s="1" t="s">
        <v>1030</v>
      </c>
      <c r="DG24" s="1" t="s">
        <v>1041</v>
      </c>
      <c r="DH24" s="1" t="s">
        <v>1051</v>
      </c>
      <c r="DI24" s="1" t="s">
        <v>1059</v>
      </c>
      <c r="DJ24" s="1" t="s">
        <v>1063</v>
      </c>
      <c r="DK24" s="1" t="s">
        <v>1072</v>
      </c>
      <c r="DL24" s="1" t="s">
        <v>1082</v>
      </c>
      <c r="DM24" s="1" t="s">
        <v>1548</v>
      </c>
      <c r="DN24" s="1" t="s">
        <v>1101</v>
      </c>
      <c r="DO24" s="1" t="s">
        <v>1109</v>
      </c>
      <c r="DP24" s="1" t="s">
        <v>1118</v>
      </c>
      <c r="DQ24" s="1" t="s">
        <v>1129</v>
      </c>
      <c r="DR24" s="1" t="s">
        <v>1138</v>
      </c>
      <c r="DS24" s="1" t="s">
        <v>1149</v>
      </c>
      <c r="DT24" s="1" t="s">
        <v>1159</v>
      </c>
      <c r="DU24" s="1" t="s">
        <v>1167</v>
      </c>
      <c r="DV24" s="1" t="s">
        <v>1176</v>
      </c>
      <c r="DW24" s="1" t="s">
        <v>1187</v>
      </c>
      <c r="DX24" s="1" t="s">
        <v>1197</v>
      </c>
      <c r="DY24" s="1" t="s">
        <v>1209</v>
      </c>
      <c r="DZ24" s="1" t="s">
        <v>1217</v>
      </c>
      <c r="EA24" s="1" t="s">
        <v>1226</v>
      </c>
      <c r="EB24" s="1" t="s">
        <v>1232</v>
      </c>
      <c r="EC24" s="1" t="s">
        <v>1240</v>
      </c>
      <c r="ED24" s="1" t="s">
        <v>1248</v>
      </c>
      <c r="EE24" s="1" t="s">
        <v>270</v>
      </c>
      <c r="EF24" s="1" t="s">
        <v>1267</v>
      </c>
      <c r="EG24" s="1" t="s">
        <v>1276</v>
      </c>
      <c r="EH24" s="1" t="s">
        <v>1286</v>
      </c>
      <c r="EI24" s="1" t="s">
        <v>1294</v>
      </c>
      <c r="EJ24" s="1" t="s">
        <v>270</v>
      </c>
      <c r="EK24" s="1" t="s">
        <v>1308</v>
      </c>
      <c r="EL24" s="40" t="s">
        <v>270</v>
      </c>
      <c r="EM24" s="1" t="s">
        <v>1324</v>
      </c>
      <c r="EN24" s="1" t="s">
        <v>650</v>
      </c>
      <c r="EO24" s="1" t="s">
        <v>270</v>
      </c>
      <c r="EP24" s="1" t="s">
        <v>1349</v>
      </c>
      <c r="EQ24" s="1" t="s">
        <v>1409</v>
      </c>
      <c r="ER24" s="1" t="s">
        <v>650</v>
      </c>
      <c r="ES24" s="1" t="s">
        <v>1410</v>
      </c>
      <c r="ET24" s="1" t="s">
        <v>1411</v>
      </c>
      <c r="EU24" s="1" t="s">
        <v>1412</v>
      </c>
      <c r="EV24" s="1" t="s">
        <v>1413</v>
      </c>
      <c r="EW24" s="1" t="s">
        <v>1414</v>
      </c>
      <c r="EX24" s="1" t="s">
        <v>1415</v>
      </c>
      <c r="EY24" s="1" t="s">
        <v>1416</v>
      </c>
      <c r="EZ24" s="1" t="s">
        <v>1417</v>
      </c>
      <c r="FA24" s="1" t="s">
        <v>1418</v>
      </c>
      <c r="FB24" s="1" t="s">
        <v>46</v>
      </c>
      <c r="FC24" s="1" t="s">
        <v>270</v>
      </c>
      <c r="FD24" s="1" t="s">
        <v>1506</v>
      </c>
      <c r="FE24" s="1" t="s">
        <v>1507</v>
      </c>
      <c r="FF24" s="1" t="s">
        <v>1508</v>
      </c>
      <c r="FG24" s="1" t="s">
        <v>1502</v>
      </c>
      <c r="FH24" s="1" t="s">
        <v>1509</v>
      </c>
    </row>
    <row r="25" spans="1:164" ht="65.25" customHeight="1" x14ac:dyDescent="0.2">
      <c r="A25" s="2" t="s">
        <v>22</v>
      </c>
      <c r="B25" s="1" t="s">
        <v>52</v>
      </c>
      <c r="C25" s="1" t="s">
        <v>65</v>
      </c>
      <c r="D25" s="1" t="s">
        <v>46</v>
      </c>
      <c r="E25" s="1" t="s">
        <v>86</v>
      </c>
      <c r="F25" s="1" t="s">
        <v>96</v>
      </c>
      <c r="G25" s="1" t="s">
        <v>46</v>
      </c>
      <c r="H25" s="1" t="s">
        <v>46</v>
      </c>
      <c r="I25" s="1" t="s">
        <v>117</v>
      </c>
      <c r="J25" s="1" t="s">
        <v>125</v>
      </c>
      <c r="K25" s="1" t="s">
        <v>137</v>
      </c>
      <c r="L25" s="1" t="s">
        <v>148</v>
      </c>
      <c r="M25" s="1" t="s">
        <v>157</v>
      </c>
      <c r="N25" s="1" t="s">
        <v>170</v>
      </c>
      <c r="O25" s="1" t="s">
        <v>179</v>
      </c>
      <c r="P25" s="1" t="s">
        <v>191</v>
      </c>
      <c r="Q25" s="1" t="s">
        <v>201</v>
      </c>
      <c r="R25" s="1" t="s">
        <v>211</v>
      </c>
      <c r="S25" s="1" t="s">
        <v>220</v>
      </c>
      <c r="T25" s="1" t="s">
        <v>228</v>
      </c>
      <c r="U25" s="1" t="s">
        <v>238</v>
      </c>
      <c r="V25" s="1" t="s">
        <v>249</v>
      </c>
      <c r="W25" s="1" t="s">
        <v>259</v>
      </c>
      <c r="X25" s="1" t="s">
        <v>270</v>
      </c>
      <c r="Y25" s="1" t="s">
        <v>279</v>
      </c>
      <c r="Z25" s="1" t="s">
        <v>270</v>
      </c>
      <c r="AA25" s="1" t="s">
        <v>294</v>
      </c>
      <c r="AB25" s="1" t="s">
        <v>304</v>
      </c>
      <c r="AC25" s="1" t="s">
        <v>313</v>
      </c>
      <c r="AD25" s="1" t="s">
        <v>324</v>
      </c>
      <c r="AE25" s="1" t="s">
        <v>334</v>
      </c>
      <c r="AF25" s="1" t="s">
        <v>345</v>
      </c>
      <c r="AG25" s="1" t="s">
        <v>353</v>
      </c>
      <c r="AH25" s="1" t="s">
        <v>362</v>
      </c>
      <c r="AI25" s="1" t="s">
        <v>372</v>
      </c>
      <c r="AJ25" s="1" t="s">
        <v>383</v>
      </c>
      <c r="AK25" s="1" t="s">
        <v>391</v>
      </c>
      <c r="AL25" s="1" t="s">
        <v>402</v>
      </c>
      <c r="AM25" s="1" t="s">
        <v>270</v>
      </c>
      <c r="AN25" s="1" t="s">
        <v>419</v>
      </c>
      <c r="AO25" s="1" t="s">
        <v>270</v>
      </c>
      <c r="AP25" s="1" t="s">
        <v>437</v>
      </c>
      <c r="AQ25" s="1" t="s">
        <v>448</v>
      </c>
      <c r="AR25" s="1" t="s">
        <v>459</v>
      </c>
      <c r="AS25" s="1" t="s">
        <v>270</v>
      </c>
      <c r="AT25" s="1" t="s">
        <v>475</v>
      </c>
      <c r="AU25" s="1" t="s">
        <v>484</v>
      </c>
      <c r="AV25" s="1" t="s">
        <v>494</v>
      </c>
      <c r="AW25" s="1" t="s">
        <v>504</v>
      </c>
      <c r="AX25" s="1" t="s">
        <v>514</v>
      </c>
      <c r="AY25" s="1" t="s">
        <v>522</v>
      </c>
      <c r="AZ25" s="1" t="s">
        <v>530</v>
      </c>
      <c r="BA25" s="1" t="s">
        <v>541</v>
      </c>
      <c r="BB25" s="1" t="s">
        <v>550</v>
      </c>
      <c r="BC25" s="1" t="s">
        <v>558</v>
      </c>
      <c r="BD25" s="1" t="s">
        <v>568</v>
      </c>
      <c r="BE25" s="1" t="s">
        <v>577</v>
      </c>
      <c r="BF25" s="1" t="s">
        <v>582</v>
      </c>
      <c r="BG25" s="1" t="s">
        <v>590</v>
      </c>
      <c r="BH25" s="1" t="s">
        <v>270</v>
      </c>
      <c r="BI25" s="1" t="s">
        <v>606</v>
      </c>
      <c r="BJ25" s="1" t="s">
        <v>56</v>
      </c>
      <c r="BK25" s="1" t="s">
        <v>623</v>
      </c>
      <c r="BL25" s="1" t="s">
        <v>632</v>
      </c>
      <c r="BM25" s="1" t="s">
        <v>642</v>
      </c>
      <c r="BN25" s="1" t="s">
        <v>650</v>
      </c>
      <c r="BO25" s="1" t="s">
        <v>659</v>
      </c>
      <c r="BP25" s="1" t="s">
        <v>1551</v>
      </c>
      <c r="BQ25" s="1" t="s">
        <v>679</v>
      </c>
      <c r="BR25" s="1" t="s">
        <v>46</v>
      </c>
      <c r="BS25" s="1" t="s">
        <v>694</v>
      </c>
      <c r="BT25" s="1" t="s">
        <v>706</v>
      </c>
      <c r="BU25" s="1" t="s">
        <v>715</v>
      </c>
      <c r="BV25" s="1" t="s">
        <v>46</v>
      </c>
      <c r="BW25" s="1" t="s">
        <v>734</v>
      </c>
      <c r="BX25" s="1" t="s">
        <v>745</v>
      </c>
      <c r="BY25" s="1" t="s">
        <v>755</v>
      </c>
      <c r="BZ25" s="1" t="s">
        <v>270</v>
      </c>
      <c r="CA25" s="1" t="s">
        <v>771</v>
      </c>
      <c r="CB25" s="1" t="s">
        <v>778</v>
      </c>
      <c r="CC25" s="1" t="s">
        <v>789</v>
      </c>
      <c r="CD25" s="1" t="s">
        <v>798</v>
      </c>
      <c r="CE25" s="1" t="s">
        <v>807</v>
      </c>
      <c r="CF25" s="1" t="s">
        <v>816</v>
      </c>
      <c r="CG25" s="1" t="s">
        <v>826</v>
      </c>
      <c r="CH25" s="1" t="s">
        <v>200</v>
      </c>
      <c r="CI25" s="1" t="s">
        <v>841</v>
      </c>
      <c r="CJ25" s="1" t="s">
        <v>848</v>
      </c>
      <c r="CK25" s="1" t="s">
        <v>860</v>
      </c>
      <c r="CL25" s="1" t="s">
        <v>869</v>
      </c>
      <c r="CM25" s="1" t="s">
        <v>877</v>
      </c>
      <c r="CN25" s="1" t="s">
        <v>228</v>
      </c>
      <c r="CO25" s="1" t="s">
        <v>46</v>
      </c>
      <c r="CP25" s="1" t="s">
        <v>46</v>
      </c>
      <c r="CQ25" s="1" t="s">
        <v>907</v>
      </c>
      <c r="CR25" s="1" t="s">
        <v>1550</v>
      </c>
      <c r="CS25" s="1" t="s">
        <v>920</v>
      </c>
      <c r="CT25" s="1" t="s">
        <v>929</v>
      </c>
      <c r="CU25" s="1" t="s">
        <v>938</v>
      </c>
      <c r="CV25" s="1" t="s">
        <v>949</v>
      </c>
      <c r="CW25" s="1" t="s">
        <v>46</v>
      </c>
      <c r="CX25" s="1" t="s">
        <v>965</v>
      </c>
      <c r="CY25" s="1" t="s">
        <v>1549</v>
      </c>
      <c r="CZ25" s="1" t="s">
        <v>582</v>
      </c>
      <c r="DA25" s="1" t="s">
        <v>988</v>
      </c>
      <c r="DB25" s="1" t="s">
        <v>994</v>
      </c>
      <c r="DC25" s="1" t="s">
        <v>1004</v>
      </c>
      <c r="DD25" s="1" t="s">
        <v>1013</v>
      </c>
      <c r="DE25" s="1" t="s">
        <v>1023</v>
      </c>
      <c r="DF25" s="1" t="s">
        <v>1031</v>
      </c>
      <c r="DG25" s="1" t="s">
        <v>1042</v>
      </c>
      <c r="DH25" s="1" t="s">
        <v>1052</v>
      </c>
      <c r="DI25" s="1" t="s">
        <v>650</v>
      </c>
      <c r="DJ25" s="1" t="s">
        <v>1064</v>
      </c>
      <c r="DK25" s="1" t="s">
        <v>1073</v>
      </c>
      <c r="DL25" s="1" t="s">
        <v>1083</v>
      </c>
      <c r="DM25" s="1" t="s">
        <v>1090</v>
      </c>
      <c r="DN25" s="1" t="s">
        <v>1102</v>
      </c>
      <c r="DO25" s="1" t="s">
        <v>1110</v>
      </c>
      <c r="DP25" s="1" t="s">
        <v>1119</v>
      </c>
      <c r="DQ25" s="1" t="s">
        <v>1130</v>
      </c>
      <c r="DR25" s="1" t="s">
        <v>1139</v>
      </c>
      <c r="DS25" s="1" t="s">
        <v>1150</v>
      </c>
      <c r="DT25" s="1" t="s">
        <v>200</v>
      </c>
      <c r="DU25" s="1" t="s">
        <v>1168</v>
      </c>
      <c r="DV25" s="1" t="s">
        <v>1177</v>
      </c>
      <c r="DW25" s="1" t="s">
        <v>1188</v>
      </c>
      <c r="DX25" s="1" t="s">
        <v>1198</v>
      </c>
      <c r="DY25" s="1" t="s">
        <v>1210</v>
      </c>
      <c r="DZ25" s="1" t="s">
        <v>1218</v>
      </c>
      <c r="EA25" s="1" t="s">
        <v>1227</v>
      </c>
      <c r="EB25" s="1" t="s">
        <v>1233</v>
      </c>
      <c r="EC25" s="1" t="s">
        <v>1241</v>
      </c>
      <c r="ED25" s="1" t="s">
        <v>1249</v>
      </c>
      <c r="EE25" s="1" t="s">
        <v>270</v>
      </c>
      <c r="EF25" s="1" t="s">
        <v>1268</v>
      </c>
      <c r="EG25" s="1" t="s">
        <v>1277</v>
      </c>
      <c r="EH25" s="1" t="s">
        <v>270</v>
      </c>
      <c r="EI25" s="1" t="s">
        <v>1295</v>
      </c>
      <c r="EJ25" s="1" t="s">
        <v>270</v>
      </c>
      <c r="EK25" s="1" t="s">
        <v>1309</v>
      </c>
      <c r="EL25" s="40" t="s">
        <v>1317</v>
      </c>
      <c r="EM25" s="1" t="s">
        <v>1325</v>
      </c>
      <c r="EN25" s="1" t="s">
        <v>1335</v>
      </c>
      <c r="EO25" s="1" t="s">
        <v>270</v>
      </c>
      <c r="EP25" s="1" t="s">
        <v>1350</v>
      </c>
      <c r="EQ25" s="1" t="s">
        <v>270</v>
      </c>
      <c r="ER25" s="1" t="s">
        <v>650</v>
      </c>
      <c r="ES25" s="1" t="s">
        <v>1419</v>
      </c>
      <c r="ET25" s="1" t="s">
        <v>877</v>
      </c>
      <c r="EU25" s="1" t="s">
        <v>1420</v>
      </c>
      <c r="EV25" s="1" t="s">
        <v>46</v>
      </c>
      <c r="EW25" s="1" t="s">
        <v>1421</v>
      </c>
      <c r="EX25" s="1" t="s">
        <v>1422</v>
      </c>
      <c r="EY25" s="1" t="s">
        <v>1423</v>
      </c>
      <c r="EZ25" s="1" t="s">
        <v>1424</v>
      </c>
      <c r="FA25" s="1" t="s">
        <v>650</v>
      </c>
      <c r="FB25" s="1" t="s">
        <v>46</v>
      </c>
      <c r="FC25" s="1" t="s">
        <v>1425</v>
      </c>
      <c r="FD25" s="1" t="s">
        <v>1510</v>
      </c>
      <c r="FE25" s="1" t="s">
        <v>1511</v>
      </c>
      <c r="FF25" s="1" t="s">
        <v>46</v>
      </c>
      <c r="FG25" s="1" t="s">
        <v>1502</v>
      </c>
      <c r="FH25" s="1" t="s">
        <v>1512</v>
      </c>
    </row>
    <row r="26" spans="1:164" ht="20" customHeight="1" x14ac:dyDescent="0.2">
      <c r="A26" s="2" t="s">
        <v>23</v>
      </c>
      <c r="B26" s="1" t="s">
        <v>47</v>
      </c>
      <c r="C26" s="1" t="s">
        <v>47</v>
      </c>
      <c r="D26" s="1" t="s">
        <v>47</v>
      </c>
      <c r="E26" s="1" t="s">
        <v>47</v>
      </c>
      <c r="F26" s="1" t="s">
        <v>46</v>
      </c>
      <c r="G26" s="1" t="s">
        <v>46</v>
      </c>
      <c r="H26" s="1" t="s">
        <v>47</v>
      </c>
      <c r="I26" s="1" t="s">
        <v>46</v>
      </c>
      <c r="J26" s="1" t="s">
        <v>47</v>
      </c>
      <c r="K26" s="1" t="s">
        <v>47</v>
      </c>
      <c r="L26" s="1" t="s">
        <v>47</v>
      </c>
      <c r="M26" s="1" t="s">
        <v>47</v>
      </c>
      <c r="N26" s="1" t="s">
        <v>47</v>
      </c>
      <c r="O26" s="1" t="s">
        <v>47</v>
      </c>
      <c r="P26" s="1" t="s">
        <v>47</v>
      </c>
      <c r="Q26" s="1" t="s">
        <v>47</v>
      </c>
      <c r="R26" s="1" t="s">
        <v>47</v>
      </c>
      <c r="S26" s="1" t="s">
        <v>47</v>
      </c>
      <c r="T26" s="1" t="s">
        <v>47</v>
      </c>
      <c r="U26" s="1" t="s">
        <v>47</v>
      </c>
      <c r="V26" s="1" t="s">
        <v>47</v>
      </c>
      <c r="W26" s="1" t="s">
        <v>47</v>
      </c>
      <c r="X26" s="1" t="s">
        <v>47</v>
      </c>
      <c r="Y26" s="1" t="s">
        <v>47</v>
      </c>
      <c r="Z26" s="1" t="s">
        <v>47</v>
      </c>
      <c r="AA26" s="1" t="s">
        <v>47</v>
      </c>
      <c r="AB26" s="1" t="s">
        <v>46</v>
      </c>
      <c r="AC26" s="1" t="s">
        <v>47</v>
      </c>
      <c r="AD26" s="1" t="s">
        <v>47</v>
      </c>
      <c r="AE26" s="1" t="s">
        <v>47</v>
      </c>
      <c r="AF26" s="1" t="s">
        <v>47</v>
      </c>
      <c r="AG26" s="1" t="s">
        <v>47</v>
      </c>
      <c r="AH26" s="1" t="s">
        <v>47</v>
      </c>
      <c r="AI26" s="1" t="s">
        <v>47</v>
      </c>
      <c r="AJ26" s="1" t="s">
        <v>47</v>
      </c>
      <c r="AK26" s="1" t="s">
        <v>47</v>
      </c>
      <c r="AL26" s="1" t="s">
        <v>47</v>
      </c>
      <c r="AM26" s="1" t="s">
        <v>47</v>
      </c>
      <c r="AN26" s="1" t="s">
        <v>47</v>
      </c>
      <c r="AO26" s="1" t="s">
        <v>47</v>
      </c>
      <c r="AP26" s="1" t="s">
        <v>47</v>
      </c>
      <c r="AQ26" s="1" t="s">
        <v>47</v>
      </c>
      <c r="AR26" s="1" t="s">
        <v>47</v>
      </c>
      <c r="AS26" s="1" t="s">
        <v>47</v>
      </c>
      <c r="AT26" s="1" t="s">
        <v>47</v>
      </c>
      <c r="AU26" s="1" t="s">
        <v>47</v>
      </c>
      <c r="AV26" s="1" t="s">
        <v>47</v>
      </c>
      <c r="AW26" s="1" t="s">
        <v>47</v>
      </c>
      <c r="AX26" s="1" t="s">
        <v>47</v>
      </c>
      <c r="AY26" s="1" t="s">
        <v>47</v>
      </c>
      <c r="AZ26" s="1" t="s">
        <v>47</v>
      </c>
      <c r="BA26" s="1" t="s">
        <v>47</v>
      </c>
      <c r="BB26" s="1" t="s">
        <v>47</v>
      </c>
      <c r="BC26" s="1" t="s">
        <v>47</v>
      </c>
      <c r="BD26" s="1" t="s">
        <v>47</v>
      </c>
      <c r="BE26" s="1" t="s">
        <v>47</v>
      </c>
      <c r="BF26" s="1" t="s">
        <v>47</v>
      </c>
      <c r="BG26" s="1" t="s">
        <v>47</v>
      </c>
      <c r="BH26" s="1" t="s">
        <v>47</v>
      </c>
      <c r="BI26" s="1" t="s">
        <v>47</v>
      </c>
      <c r="BJ26" s="1" t="s">
        <v>47</v>
      </c>
      <c r="BK26" s="1" t="s">
        <v>47</v>
      </c>
      <c r="BL26" s="1" t="s">
        <v>47</v>
      </c>
      <c r="BM26" s="1" t="s">
        <v>47</v>
      </c>
      <c r="BN26" s="1" t="s">
        <v>47</v>
      </c>
      <c r="BO26" s="1" t="s">
        <v>47</v>
      </c>
      <c r="BP26" s="1" t="s">
        <v>47</v>
      </c>
      <c r="BQ26" s="1" t="s">
        <v>47</v>
      </c>
      <c r="BR26" s="1" t="s">
        <v>47</v>
      </c>
      <c r="BS26" s="1" t="s">
        <v>47</v>
      </c>
      <c r="BT26" s="1" t="s">
        <v>47</v>
      </c>
      <c r="BU26" s="1" t="s">
        <v>47</v>
      </c>
      <c r="BV26" s="1" t="s">
        <v>47</v>
      </c>
      <c r="BW26" s="1" t="s">
        <v>47</v>
      </c>
      <c r="BX26" s="1" t="s">
        <v>47</v>
      </c>
      <c r="BY26" s="1" t="s">
        <v>47</v>
      </c>
      <c r="BZ26" s="1" t="s">
        <v>47</v>
      </c>
      <c r="CA26" s="1" t="s">
        <v>46</v>
      </c>
      <c r="CB26" s="1" t="s">
        <v>47</v>
      </c>
      <c r="CC26" s="1" t="s">
        <v>47</v>
      </c>
      <c r="CD26" s="1" t="s">
        <v>47</v>
      </c>
      <c r="CE26" s="1" t="s">
        <v>47</v>
      </c>
      <c r="CF26" s="1" t="s">
        <v>47</v>
      </c>
      <c r="CG26" s="1" t="s">
        <v>47</v>
      </c>
      <c r="CH26" s="1" t="s">
        <v>46</v>
      </c>
      <c r="CI26" s="1" t="s">
        <v>47</v>
      </c>
      <c r="CJ26" s="1" t="s">
        <v>47</v>
      </c>
      <c r="CK26" s="1" t="s">
        <v>47</v>
      </c>
      <c r="CL26" s="1" t="s">
        <v>46</v>
      </c>
      <c r="CM26" s="1" t="s">
        <v>46</v>
      </c>
      <c r="CN26" s="1" t="s">
        <v>47</v>
      </c>
      <c r="CO26" s="1" t="s">
        <v>47</v>
      </c>
      <c r="CP26" s="1" t="s">
        <v>47</v>
      </c>
      <c r="CQ26" s="1" t="s">
        <v>46</v>
      </c>
      <c r="CR26" s="1" t="s">
        <v>46</v>
      </c>
      <c r="CS26" s="1" t="s">
        <v>47</v>
      </c>
      <c r="CT26" s="1" t="s">
        <v>47</v>
      </c>
      <c r="CU26" s="1" t="s">
        <v>47</v>
      </c>
      <c r="CV26" s="1" t="s">
        <v>47</v>
      </c>
      <c r="CW26" s="1" t="s">
        <v>47</v>
      </c>
      <c r="CX26" s="1" t="s">
        <v>47</v>
      </c>
      <c r="CY26" s="1" t="s">
        <v>47</v>
      </c>
      <c r="CZ26" s="1" t="s">
        <v>47</v>
      </c>
      <c r="DA26" s="1" t="s">
        <v>47</v>
      </c>
      <c r="DB26" s="1" t="s">
        <v>47</v>
      </c>
      <c r="DC26" s="1" t="s">
        <v>47</v>
      </c>
      <c r="DD26" s="1" t="s">
        <v>47</v>
      </c>
      <c r="DE26" s="1" t="s">
        <v>46</v>
      </c>
      <c r="DF26" s="1" t="s">
        <v>47</v>
      </c>
      <c r="DG26" s="1" t="s">
        <v>47</v>
      </c>
      <c r="DH26" s="1" t="s">
        <v>47</v>
      </c>
      <c r="DI26" s="1" t="s">
        <v>46</v>
      </c>
      <c r="DJ26" s="1" t="s">
        <v>47</v>
      </c>
      <c r="DK26" s="1" t="s">
        <v>47</v>
      </c>
      <c r="DL26" s="1" t="s">
        <v>47</v>
      </c>
      <c r="DM26" s="1" t="s">
        <v>47</v>
      </c>
      <c r="DN26" s="1" t="s">
        <v>46</v>
      </c>
      <c r="DO26" s="1" t="s">
        <v>46</v>
      </c>
      <c r="DP26" s="1" t="s">
        <v>47</v>
      </c>
      <c r="DQ26" s="1" t="s">
        <v>47</v>
      </c>
      <c r="DR26" s="1" t="s">
        <v>47</v>
      </c>
      <c r="DS26" s="1" t="s">
        <v>47</v>
      </c>
      <c r="DT26" s="1" t="s">
        <v>47</v>
      </c>
      <c r="DU26" s="1" t="s">
        <v>47</v>
      </c>
      <c r="DV26" s="1" t="s">
        <v>47</v>
      </c>
      <c r="DW26" s="1" t="s">
        <v>47</v>
      </c>
      <c r="DX26" s="1" t="s">
        <v>47</v>
      </c>
      <c r="DY26" s="1" t="s">
        <v>47</v>
      </c>
      <c r="DZ26" s="1" t="s">
        <v>46</v>
      </c>
      <c r="EA26" s="1" t="s">
        <v>47</v>
      </c>
      <c r="EB26" s="1" t="s">
        <v>47</v>
      </c>
      <c r="EC26" s="1" t="s">
        <v>47</v>
      </c>
      <c r="ED26" s="1" t="s">
        <v>47</v>
      </c>
      <c r="EE26" s="1" t="s">
        <v>47</v>
      </c>
      <c r="EF26" s="1" t="s">
        <v>47</v>
      </c>
      <c r="EG26" s="1" t="s">
        <v>47</v>
      </c>
      <c r="EH26" s="1" t="s">
        <v>47</v>
      </c>
      <c r="EI26" s="1" t="s">
        <v>47</v>
      </c>
      <c r="EJ26" s="1" t="s">
        <v>47</v>
      </c>
      <c r="EK26" s="1" t="s">
        <v>47</v>
      </c>
      <c r="EL26" s="40" t="s">
        <v>47</v>
      </c>
      <c r="EM26" s="1" t="s">
        <v>47</v>
      </c>
      <c r="EN26" s="1" t="s">
        <v>47</v>
      </c>
      <c r="EO26" s="1" t="s">
        <v>47</v>
      </c>
      <c r="EP26" s="1" t="s">
        <v>47</v>
      </c>
      <c r="EQ26" s="1" t="s">
        <v>47</v>
      </c>
      <c r="ER26" s="1" t="s">
        <v>47</v>
      </c>
      <c r="ES26" s="1" t="s">
        <v>47</v>
      </c>
      <c r="ET26" s="1" t="s">
        <v>47</v>
      </c>
      <c r="EU26" s="1" t="s">
        <v>47</v>
      </c>
      <c r="EV26" s="1" t="s">
        <v>47</v>
      </c>
      <c r="EW26" s="1" t="s">
        <v>47</v>
      </c>
      <c r="EX26" s="1" t="s">
        <v>47</v>
      </c>
      <c r="EY26" s="1" t="s">
        <v>47</v>
      </c>
      <c r="EZ26" s="1" t="s">
        <v>47</v>
      </c>
      <c r="FA26" s="1" t="s">
        <v>47</v>
      </c>
      <c r="FB26" s="1" t="s">
        <v>47</v>
      </c>
      <c r="FC26" s="1" t="s">
        <v>47</v>
      </c>
      <c r="FD26" s="1" t="s">
        <v>47</v>
      </c>
      <c r="FE26" s="1" t="s">
        <v>47</v>
      </c>
      <c r="FF26" s="1" t="s">
        <v>47</v>
      </c>
      <c r="FG26" s="1" t="s">
        <v>47</v>
      </c>
      <c r="FH26" s="1" t="s">
        <v>47</v>
      </c>
    </row>
    <row r="27" spans="1:164" ht="20" customHeight="1" x14ac:dyDescent="0.2">
      <c r="A27" s="2" t="s">
        <v>24</v>
      </c>
      <c r="B27" s="1">
        <v>2013</v>
      </c>
      <c r="C27" s="1">
        <v>2010</v>
      </c>
      <c r="D27" s="1">
        <v>1996</v>
      </c>
      <c r="E27" s="1">
        <v>2009</v>
      </c>
      <c r="F27" s="1"/>
      <c r="G27" s="1"/>
      <c r="H27" s="1">
        <v>2011</v>
      </c>
      <c r="I27" s="1"/>
      <c r="J27" s="1">
        <v>2008</v>
      </c>
      <c r="K27" s="1">
        <v>2008</v>
      </c>
      <c r="L27" s="1">
        <v>2014</v>
      </c>
      <c r="M27" s="1">
        <v>2011</v>
      </c>
      <c r="N27" s="1">
        <v>2010</v>
      </c>
      <c r="O27" s="1">
        <v>5</v>
      </c>
      <c r="P27" s="1">
        <v>1</v>
      </c>
      <c r="Q27" s="1">
        <v>2007</v>
      </c>
      <c r="R27" s="1">
        <v>2013</v>
      </c>
      <c r="S27" s="1">
        <v>2012</v>
      </c>
      <c r="T27" s="1">
        <v>2012</v>
      </c>
      <c r="U27" s="1">
        <v>7</v>
      </c>
      <c r="V27" s="1">
        <v>2010</v>
      </c>
      <c r="W27" s="1">
        <v>2006</v>
      </c>
      <c r="X27" s="1">
        <v>2013</v>
      </c>
      <c r="Y27" s="1">
        <v>2012</v>
      </c>
      <c r="Z27" s="1">
        <v>2012</v>
      </c>
      <c r="AA27" s="1">
        <v>2013</v>
      </c>
      <c r="AB27" s="1"/>
      <c r="AC27" s="1">
        <v>2011</v>
      </c>
      <c r="AD27" s="1">
        <v>2009</v>
      </c>
      <c r="AE27" s="1">
        <v>2009</v>
      </c>
      <c r="AF27" s="1">
        <v>2012</v>
      </c>
      <c r="AG27" s="1">
        <v>2013</v>
      </c>
      <c r="AH27" s="1">
        <v>2007</v>
      </c>
      <c r="AI27" s="1">
        <v>2010</v>
      </c>
      <c r="AJ27" s="1">
        <v>2014</v>
      </c>
      <c r="AK27" s="1">
        <v>2008</v>
      </c>
      <c r="AL27" s="1">
        <v>2005</v>
      </c>
      <c r="AM27" s="1">
        <v>2009</v>
      </c>
      <c r="AN27" s="1">
        <v>2013</v>
      </c>
      <c r="AO27" s="1">
        <v>2010</v>
      </c>
      <c r="AP27" s="1">
        <v>2008</v>
      </c>
      <c r="AQ27" s="1">
        <v>2012</v>
      </c>
      <c r="AR27" s="1">
        <v>2</v>
      </c>
      <c r="AS27" s="1">
        <v>2014</v>
      </c>
      <c r="AT27" s="1">
        <v>2008</v>
      </c>
      <c r="AU27" s="1">
        <v>2007</v>
      </c>
      <c r="AV27" s="1">
        <v>1997</v>
      </c>
      <c r="AW27" s="1">
        <v>2013</v>
      </c>
      <c r="AX27" s="1">
        <v>2013</v>
      </c>
      <c r="AY27" s="1">
        <v>2013</v>
      </c>
      <c r="AZ27" s="1">
        <v>2012</v>
      </c>
      <c r="BA27" s="1">
        <v>2009</v>
      </c>
      <c r="BB27" s="1">
        <v>2012</v>
      </c>
      <c r="BC27" s="1">
        <v>2008</v>
      </c>
      <c r="BD27" s="1">
        <v>2012</v>
      </c>
      <c r="BE27" s="1">
        <v>2007</v>
      </c>
      <c r="BF27" s="1">
        <v>2007</v>
      </c>
      <c r="BG27" s="1">
        <v>2014</v>
      </c>
      <c r="BH27" s="1">
        <v>2010</v>
      </c>
      <c r="BI27" s="1">
        <v>2009</v>
      </c>
      <c r="BJ27" s="1">
        <v>2012</v>
      </c>
      <c r="BK27" s="1">
        <v>2010</v>
      </c>
      <c r="BL27" s="1">
        <v>2013</v>
      </c>
      <c r="BM27" s="1">
        <v>2012</v>
      </c>
      <c r="BN27" s="1">
        <v>2008</v>
      </c>
      <c r="BO27" s="1">
        <v>2012</v>
      </c>
      <c r="BP27" s="1">
        <v>2010</v>
      </c>
      <c r="BQ27" s="1">
        <v>2007</v>
      </c>
      <c r="BR27" s="1">
        <v>2014</v>
      </c>
      <c r="BS27" s="1">
        <v>2008</v>
      </c>
      <c r="BT27" s="1">
        <v>2010</v>
      </c>
      <c r="BU27" s="1">
        <v>2010</v>
      </c>
      <c r="BV27" s="1">
        <v>2010</v>
      </c>
      <c r="BW27" s="1">
        <v>3</v>
      </c>
      <c r="BX27" s="1">
        <v>2012</v>
      </c>
      <c r="BY27" s="1">
        <v>2011</v>
      </c>
      <c r="BZ27" s="1">
        <v>2</v>
      </c>
      <c r="CA27" s="1"/>
      <c r="CB27" s="1">
        <v>2011</v>
      </c>
      <c r="CC27" s="1">
        <v>2006</v>
      </c>
      <c r="CD27" s="1">
        <v>2013</v>
      </c>
      <c r="CE27" s="1">
        <v>2011</v>
      </c>
      <c r="CF27" s="1">
        <v>2011</v>
      </c>
      <c r="CG27" s="1">
        <v>2013</v>
      </c>
      <c r="CH27" s="1"/>
      <c r="CI27" s="1">
        <v>2012</v>
      </c>
      <c r="CJ27" s="1">
        <v>2013</v>
      </c>
      <c r="CK27" s="1">
        <v>4</v>
      </c>
      <c r="CL27" s="1"/>
      <c r="CM27" s="1"/>
      <c r="CN27" s="1">
        <v>20012</v>
      </c>
      <c r="CO27" s="1">
        <v>2009</v>
      </c>
      <c r="CP27" s="1">
        <v>2007</v>
      </c>
      <c r="CQ27" s="1"/>
      <c r="CR27" s="1"/>
      <c r="CS27" s="1">
        <v>2007</v>
      </c>
      <c r="CT27" s="1">
        <v>2010</v>
      </c>
      <c r="CU27" s="1">
        <v>2010</v>
      </c>
      <c r="CV27" s="1">
        <v>2010</v>
      </c>
      <c r="CW27" s="1">
        <v>1980</v>
      </c>
      <c r="CX27" s="1">
        <v>2011</v>
      </c>
      <c r="CY27" s="1">
        <v>3</v>
      </c>
      <c r="CZ27" s="1">
        <v>2013</v>
      </c>
      <c r="DA27" s="1">
        <v>2010</v>
      </c>
      <c r="DB27" s="1">
        <v>2007</v>
      </c>
      <c r="DC27" s="1">
        <v>2010</v>
      </c>
      <c r="DD27" s="1">
        <v>2013</v>
      </c>
      <c r="DE27" s="1"/>
      <c r="DF27" s="1">
        <v>2007</v>
      </c>
      <c r="DG27" s="1">
        <v>2011</v>
      </c>
      <c r="DH27" s="1">
        <v>2012</v>
      </c>
      <c r="DI27" s="1"/>
      <c r="DJ27" s="1">
        <v>2011</v>
      </c>
      <c r="DK27" s="1">
        <v>2008</v>
      </c>
      <c r="DL27" s="1">
        <v>2012</v>
      </c>
      <c r="DM27" s="1">
        <v>2002</v>
      </c>
      <c r="DN27" s="1"/>
      <c r="DO27" s="1"/>
      <c r="DP27" s="1">
        <v>2012</v>
      </c>
      <c r="DQ27" s="1">
        <v>2009</v>
      </c>
      <c r="DR27" s="1">
        <v>2014</v>
      </c>
      <c r="DS27" s="1">
        <v>2006</v>
      </c>
      <c r="DT27" s="1">
        <v>2013</v>
      </c>
      <c r="DU27" s="1">
        <v>2004</v>
      </c>
      <c r="DV27" s="1">
        <v>2012</v>
      </c>
      <c r="DW27" s="1">
        <v>2007</v>
      </c>
      <c r="DX27" s="1">
        <v>2013</v>
      </c>
      <c r="DY27" s="1">
        <v>2002</v>
      </c>
      <c r="DZ27" s="1"/>
      <c r="EA27" s="1">
        <v>2009</v>
      </c>
      <c r="EB27" s="1">
        <v>2010</v>
      </c>
      <c r="EC27" s="1">
        <v>2013</v>
      </c>
      <c r="ED27" s="1">
        <v>2013</v>
      </c>
      <c r="EE27" s="1">
        <v>2005</v>
      </c>
      <c r="EF27" s="1">
        <v>2014</v>
      </c>
      <c r="EG27" s="1">
        <v>2008</v>
      </c>
      <c r="EH27" s="1">
        <v>2010</v>
      </c>
      <c r="EI27" s="1">
        <v>2010</v>
      </c>
      <c r="EJ27" s="1">
        <v>2013</v>
      </c>
      <c r="EK27" s="1">
        <v>2009</v>
      </c>
      <c r="EL27" s="40">
        <v>2009</v>
      </c>
      <c r="EM27" s="1">
        <v>2012</v>
      </c>
      <c r="EN27" s="1">
        <v>2006</v>
      </c>
      <c r="EO27" s="1">
        <v>2011</v>
      </c>
      <c r="EP27" s="1">
        <v>20113</v>
      </c>
      <c r="EQ27" s="1">
        <v>2014</v>
      </c>
      <c r="ER27" s="1">
        <v>2011</v>
      </c>
      <c r="ES27" s="1">
        <v>2011</v>
      </c>
      <c r="ET27" s="1">
        <v>2012</v>
      </c>
      <c r="EU27" s="1">
        <v>2006</v>
      </c>
      <c r="EV27" s="1">
        <v>2014</v>
      </c>
      <c r="EW27" s="1">
        <v>2012</v>
      </c>
      <c r="EX27" s="1">
        <v>2006</v>
      </c>
      <c r="EY27" s="1">
        <v>2010</v>
      </c>
      <c r="EZ27" s="1">
        <v>2013</v>
      </c>
      <c r="FA27" s="1">
        <v>2012</v>
      </c>
      <c r="FB27" s="1">
        <v>2013</v>
      </c>
      <c r="FC27" s="1">
        <v>2005</v>
      </c>
      <c r="FD27" s="1">
        <v>2010</v>
      </c>
      <c r="FE27" s="1">
        <v>2007</v>
      </c>
      <c r="FF27" s="1">
        <v>2012</v>
      </c>
      <c r="FG27" s="1">
        <v>2014</v>
      </c>
      <c r="FH27" s="1">
        <v>2011</v>
      </c>
    </row>
    <row r="28" spans="1:164" ht="33.75" customHeight="1" x14ac:dyDescent="0.2">
      <c r="A28" s="2" t="s">
        <v>25</v>
      </c>
      <c r="B28" s="1">
        <v>40</v>
      </c>
      <c r="C28" s="1">
        <v>95</v>
      </c>
      <c r="D28" s="1">
        <v>20</v>
      </c>
      <c r="E28" s="1">
        <v>2</v>
      </c>
      <c r="F28" s="1"/>
      <c r="G28" s="1"/>
      <c r="H28" s="1">
        <v>50</v>
      </c>
      <c r="I28" s="1"/>
      <c r="J28" s="1">
        <v>90</v>
      </c>
      <c r="K28" s="1">
        <v>99</v>
      </c>
      <c r="L28" s="1">
        <v>70</v>
      </c>
      <c r="M28" s="1">
        <v>15</v>
      </c>
      <c r="N28" s="1">
        <v>95</v>
      </c>
      <c r="O28" s="1">
        <v>30</v>
      </c>
      <c r="P28" s="1">
        <v>50</v>
      </c>
      <c r="Q28" s="1">
        <v>100</v>
      </c>
      <c r="R28" s="1">
        <v>90</v>
      </c>
      <c r="S28" s="1">
        <v>25</v>
      </c>
      <c r="T28" s="1">
        <v>25</v>
      </c>
      <c r="U28" s="1">
        <v>10</v>
      </c>
      <c r="V28" s="1">
        <v>75</v>
      </c>
      <c r="W28" s="1">
        <v>100</v>
      </c>
      <c r="X28" s="1">
        <v>70</v>
      </c>
      <c r="Y28" s="1">
        <v>100</v>
      </c>
      <c r="Z28" s="1">
        <v>90</v>
      </c>
      <c r="AA28" s="1">
        <v>50</v>
      </c>
      <c r="AB28" s="1"/>
      <c r="AC28" s="1">
        <v>50</v>
      </c>
      <c r="AD28" s="1">
        <v>50</v>
      </c>
      <c r="AE28" s="1">
        <v>80</v>
      </c>
      <c r="AF28" s="1">
        <v>80</v>
      </c>
      <c r="AG28" s="1">
        <v>75</v>
      </c>
      <c r="AH28" s="1">
        <v>100</v>
      </c>
      <c r="AI28" s="1">
        <v>50</v>
      </c>
      <c r="AJ28" s="1">
        <v>50</v>
      </c>
      <c r="AK28" s="1">
        <v>80</v>
      </c>
      <c r="AL28" s="1">
        <v>80</v>
      </c>
      <c r="AM28" s="1">
        <v>100</v>
      </c>
      <c r="AN28" s="1">
        <v>100</v>
      </c>
      <c r="AO28" s="1">
        <v>80</v>
      </c>
      <c r="AP28" s="1">
        <v>90</v>
      </c>
      <c r="AQ28" s="1">
        <v>20</v>
      </c>
      <c r="AR28" s="1">
        <v>50</v>
      </c>
      <c r="AS28" s="1">
        <v>50</v>
      </c>
      <c r="AT28" s="1">
        <v>90</v>
      </c>
      <c r="AU28" s="1">
        <v>80</v>
      </c>
      <c r="AV28" s="1">
        <v>90</v>
      </c>
      <c r="AW28" s="1">
        <v>100</v>
      </c>
      <c r="AX28" s="1">
        <v>95</v>
      </c>
      <c r="AY28" s="1">
        <v>90</v>
      </c>
      <c r="AZ28" s="1">
        <v>100</v>
      </c>
      <c r="BA28" s="1">
        <v>80</v>
      </c>
      <c r="BB28" s="1">
        <v>40</v>
      </c>
      <c r="BC28" s="1">
        <v>50</v>
      </c>
      <c r="BD28" s="1">
        <v>50</v>
      </c>
      <c r="BE28" s="1">
        <v>80</v>
      </c>
      <c r="BF28" s="1">
        <v>50</v>
      </c>
      <c r="BG28" s="1">
        <v>50</v>
      </c>
      <c r="BH28" s="1">
        <v>10</v>
      </c>
      <c r="BI28" s="1">
        <v>75</v>
      </c>
      <c r="BJ28" s="1">
        <v>80</v>
      </c>
      <c r="BK28" s="1">
        <v>90</v>
      </c>
      <c r="BL28" s="1">
        <v>30</v>
      </c>
      <c r="BM28" s="1">
        <v>30</v>
      </c>
      <c r="BN28" s="1">
        <v>75</v>
      </c>
      <c r="BO28" s="1">
        <v>5</v>
      </c>
      <c r="BP28" s="1">
        <v>99</v>
      </c>
      <c r="BQ28" s="1">
        <v>60</v>
      </c>
      <c r="BR28" s="1">
        <v>50</v>
      </c>
      <c r="BS28" s="1">
        <v>80</v>
      </c>
      <c r="BT28" s="1">
        <v>80</v>
      </c>
      <c r="BU28" s="1">
        <v>90</v>
      </c>
      <c r="BV28" s="1">
        <v>25</v>
      </c>
      <c r="BW28" s="1">
        <v>25</v>
      </c>
      <c r="BX28" s="1">
        <v>0</v>
      </c>
      <c r="BY28" s="1">
        <v>100</v>
      </c>
      <c r="BZ28" s="1">
        <v>5</v>
      </c>
      <c r="CA28" s="1"/>
      <c r="CB28" s="1">
        <v>5</v>
      </c>
      <c r="CC28" s="1">
        <v>40</v>
      </c>
      <c r="CD28" s="1">
        <v>70</v>
      </c>
      <c r="CE28" s="1">
        <v>70</v>
      </c>
      <c r="CF28" s="1">
        <v>70</v>
      </c>
      <c r="CG28" s="1">
        <v>80</v>
      </c>
      <c r="CH28" s="1"/>
      <c r="CI28" s="1">
        <v>100</v>
      </c>
      <c r="CJ28" s="1">
        <v>95</v>
      </c>
      <c r="CK28" s="1">
        <v>50</v>
      </c>
      <c r="CL28" s="1"/>
      <c r="CM28" s="1"/>
      <c r="CN28" s="1">
        <v>30</v>
      </c>
      <c r="CO28" s="1">
        <v>80</v>
      </c>
      <c r="CP28" s="1">
        <v>80</v>
      </c>
      <c r="CQ28" s="1"/>
      <c r="CR28" s="1"/>
      <c r="CS28" s="1">
        <v>90</v>
      </c>
      <c r="CT28" s="1">
        <v>70</v>
      </c>
      <c r="CU28" s="1">
        <v>30</v>
      </c>
      <c r="CV28" s="1">
        <v>25</v>
      </c>
      <c r="CW28" s="1">
        <v>10</v>
      </c>
      <c r="CX28" s="1">
        <v>70</v>
      </c>
      <c r="CY28" s="1">
        <v>90</v>
      </c>
      <c r="CZ28" s="1">
        <v>80</v>
      </c>
      <c r="DA28" s="1">
        <v>80</v>
      </c>
      <c r="DB28" s="1">
        <v>85</v>
      </c>
      <c r="DC28" s="1">
        <v>70</v>
      </c>
      <c r="DD28" s="1">
        <v>100</v>
      </c>
      <c r="DE28" s="1"/>
      <c r="DF28" s="1">
        <v>100</v>
      </c>
      <c r="DG28" s="1">
        <v>20</v>
      </c>
      <c r="DH28" s="1">
        <v>5</v>
      </c>
      <c r="DI28" s="1"/>
      <c r="DJ28" s="1">
        <v>50</v>
      </c>
      <c r="DK28" s="1">
        <v>100</v>
      </c>
      <c r="DL28" s="1">
        <v>80</v>
      </c>
      <c r="DM28" s="1">
        <v>75</v>
      </c>
      <c r="DN28" s="1"/>
      <c r="DO28" s="1"/>
      <c r="DP28" s="1">
        <v>10</v>
      </c>
      <c r="DQ28" s="1">
        <v>70</v>
      </c>
      <c r="DR28" s="1">
        <v>70</v>
      </c>
      <c r="DS28" s="1">
        <v>0</v>
      </c>
      <c r="DT28" s="1">
        <v>20</v>
      </c>
      <c r="DU28" s="1">
        <v>100</v>
      </c>
      <c r="DV28" s="1">
        <v>20</v>
      </c>
      <c r="DW28" s="1">
        <v>100</v>
      </c>
      <c r="DX28" s="1">
        <v>100</v>
      </c>
      <c r="DY28" s="1">
        <v>80</v>
      </c>
      <c r="DZ28" s="1"/>
      <c r="EA28" s="1">
        <v>90</v>
      </c>
      <c r="EB28" s="1">
        <v>100</v>
      </c>
      <c r="EC28" s="1">
        <v>80</v>
      </c>
      <c r="ED28" s="1">
        <v>5</v>
      </c>
      <c r="EE28" s="1">
        <v>100</v>
      </c>
      <c r="EF28" s="1">
        <v>50</v>
      </c>
      <c r="EG28" s="1">
        <v>95</v>
      </c>
      <c r="EH28" s="1">
        <v>60</v>
      </c>
      <c r="EI28" s="1">
        <v>90</v>
      </c>
      <c r="EJ28" s="1">
        <v>100</v>
      </c>
      <c r="EK28" s="1">
        <v>60</v>
      </c>
      <c r="EL28" s="40">
        <v>50</v>
      </c>
      <c r="EM28" s="1">
        <v>95</v>
      </c>
      <c r="EN28" s="1">
        <v>100</v>
      </c>
      <c r="EO28" s="1">
        <v>30</v>
      </c>
      <c r="EP28" s="1">
        <v>75</v>
      </c>
      <c r="EQ28" s="1">
        <v>80</v>
      </c>
      <c r="ER28" s="1">
        <v>80</v>
      </c>
      <c r="ES28" s="1">
        <v>25</v>
      </c>
      <c r="ET28" s="1">
        <v>50</v>
      </c>
      <c r="EU28" s="1">
        <v>80</v>
      </c>
      <c r="EV28" s="1">
        <v>10</v>
      </c>
      <c r="EW28" s="1">
        <v>50</v>
      </c>
      <c r="EX28" s="1">
        <v>5</v>
      </c>
      <c r="EY28" s="1">
        <v>95</v>
      </c>
      <c r="EZ28" s="1">
        <v>90</v>
      </c>
      <c r="FA28" s="1">
        <v>75</v>
      </c>
      <c r="FB28" s="1">
        <v>80</v>
      </c>
      <c r="FC28" s="1">
        <v>50</v>
      </c>
      <c r="FD28" s="1">
        <v>85</v>
      </c>
      <c r="FE28" s="1">
        <v>70</v>
      </c>
      <c r="FF28" s="1">
        <v>33</v>
      </c>
      <c r="FG28" s="1">
        <v>5</v>
      </c>
      <c r="FH28" s="1">
        <v>90</v>
      </c>
    </row>
    <row r="29" spans="1:164" ht="20" customHeight="1" x14ac:dyDescent="0.2">
      <c r="A29" s="2" t="s">
        <v>26</v>
      </c>
      <c r="B29" s="1" t="s">
        <v>53</v>
      </c>
      <c r="C29" s="1" t="s">
        <v>53</v>
      </c>
      <c r="D29" s="1" t="s">
        <v>75</v>
      </c>
      <c r="E29" s="1" t="s">
        <v>87</v>
      </c>
      <c r="F29" s="1"/>
      <c r="G29" s="1"/>
      <c r="H29" s="1" t="s">
        <v>106</v>
      </c>
      <c r="I29" s="1"/>
      <c r="J29" s="1" t="s">
        <v>53</v>
      </c>
      <c r="K29" s="1" t="s">
        <v>53</v>
      </c>
      <c r="L29" s="1" t="s">
        <v>149</v>
      </c>
      <c r="M29" s="1" t="s">
        <v>158</v>
      </c>
      <c r="N29" s="1" t="s">
        <v>53</v>
      </c>
      <c r="O29" s="1" t="s">
        <v>180</v>
      </c>
      <c r="P29" s="1" t="s">
        <v>192</v>
      </c>
      <c r="Q29" s="1" t="s">
        <v>53</v>
      </c>
      <c r="R29" s="1" t="s">
        <v>53</v>
      </c>
      <c r="S29" s="1" t="s">
        <v>53</v>
      </c>
      <c r="T29" s="1" t="s">
        <v>229</v>
      </c>
      <c r="U29" s="1" t="s">
        <v>53</v>
      </c>
      <c r="V29" s="1" t="s">
        <v>53</v>
      </c>
      <c r="W29" s="1" t="s">
        <v>260</v>
      </c>
      <c r="X29" s="1" t="s">
        <v>53</v>
      </c>
      <c r="Y29" s="1" t="s">
        <v>53</v>
      </c>
      <c r="Z29" s="1" t="s">
        <v>53</v>
      </c>
      <c r="AA29" s="1" t="s">
        <v>53</v>
      </c>
      <c r="AB29" s="1"/>
      <c r="AC29" s="1" t="s">
        <v>53</v>
      </c>
      <c r="AD29" s="1" t="s">
        <v>53</v>
      </c>
      <c r="AE29" s="1" t="s">
        <v>87</v>
      </c>
      <c r="AF29" s="1" t="s">
        <v>53</v>
      </c>
      <c r="AG29" s="1" t="s">
        <v>53</v>
      </c>
      <c r="AH29" s="1" t="s">
        <v>363</v>
      </c>
      <c r="AI29" s="1" t="s">
        <v>53</v>
      </c>
      <c r="AJ29" s="1" t="s">
        <v>53</v>
      </c>
      <c r="AK29" s="1" t="s">
        <v>392</v>
      </c>
      <c r="AL29" s="1" t="s">
        <v>53</v>
      </c>
      <c r="AM29" s="1" t="s">
        <v>409</v>
      </c>
      <c r="AN29" s="1" t="s">
        <v>420</v>
      </c>
      <c r="AO29" s="1" t="s">
        <v>53</v>
      </c>
      <c r="AP29" s="1" t="s">
        <v>53</v>
      </c>
      <c r="AQ29" s="1" t="s">
        <v>449</v>
      </c>
      <c r="AR29" s="1" t="s">
        <v>106</v>
      </c>
      <c r="AS29" s="1" t="s">
        <v>53</v>
      </c>
      <c r="AT29" s="1" t="s">
        <v>53</v>
      </c>
      <c r="AU29" s="1" t="s">
        <v>53</v>
      </c>
      <c r="AV29" s="1" t="s">
        <v>495</v>
      </c>
      <c r="AW29" s="1" t="s">
        <v>505</v>
      </c>
      <c r="AX29" s="1" t="s">
        <v>515</v>
      </c>
      <c r="AY29" s="1" t="s">
        <v>53</v>
      </c>
      <c r="AZ29" s="1" t="s">
        <v>531</v>
      </c>
      <c r="BA29" s="1" t="s">
        <v>542</v>
      </c>
      <c r="BB29" s="1" t="s">
        <v>53</v>
      </c>
      <c r="BC29" s="1" t="s">
        <v>53</v>
      </c>
      <c r="BD29" s="1" t="s">
        <v>53</v>
      </c>
      <c r="BE29" s="1" t="s">
        <v>53</v>
      </c>
      <c r="BF29" s="1" t="s">
        <v>53</v>
      </c>
      <c r="BG29" s="1" t="s">
        <v>53</v>
      </c>
      <c r="BH29" s="1" t="s">
        <v>53</v>
      </c>
      <c r="BI29" s="1" t="s">
        <v>607</v>
      </c>
      <c r="BJ29" s="1" t="s">
        <v>53</v>
      </c>
      <c r="BK29" s="1" t="s">
        <v>624</v>
      </c>
      <c r="BL29" s="1" t="s">
        <v>633</v>
      </c>
      <c r="BM29" s="1" t="s">
        <v>53</v>
      </c>
      <c r="BN29" s="1" t="s">
        <v>53</v>
      </c>
      <c r="BO29" s="1" t="s">
        <v>660</v>
      </c>
      <c r="BP29" s="1" t="s">
        <v>670</v>
      </c>
      <c r="BQ29" s="1" t="s">
        <v>680</v>
      </c>
      <c r="BR29" s="1" t="s">
        <v>53</v>
      </c>
      <c r="BS29" s="1" t="s">
        <v>53</v>
      </c>
      <c r="BT29" s="1" t="s">
        <v>53</v>
      </c>
      <c r="BU29" s="1" t="s">
        <v>716</v>
      </c>
      <c r="BV29" s="1" t="s">
        <v>53</v>
      </c>
      <c r="BW29" s="1" t="s">
        <v>53</v>
      </c>
      <c r="BX29" s="1" t="s">
        <v>53</v>
      </c>
      <c r="BY29" s="1" t="s">
        <v>53</v>
      </c>
      <c r="BZ29" s="1" t="s">
        <v>53</v>
      </c>
      <c r="CA29" s="1"/>
      <c r="CB29" s="1" t="s">
        <v>779</v>
      </c>
      <c r="CC29" s="1" t="s">
        <v>53</v>
      </c>
      <c r="CD29" s="1" t="s">
        <v>53</v>
      </c>
      <c r="CE29" s="1" t="s">
        <v>53</v>
      </c>
      <c r="CF29" s="1" t="s">
        <v>53</v>
      </c>
      <c r="CG29" s="1" t="s">
        <v>53</v>
      </c>
      <c r="CH29" s="1"/>
      <c r="CI29" s="1" t="s">
        <v>87</v>
      </c>
      <c r="CJ29" s="1" t="s">
        <v>849</v>
      </c>
      <c r="CK29" s="1" t="s">
        <v>53</v>
      </c>
      <c r="CL29" s="1"/>
      <c r="CM29" s="1"/>
      <c r="CN29" s="1" t="s">
        <v>884</v>
      </c>
      <c r="CO29" s="1" t="s">
        <v>53</v>
      </c>
      <c r="CP29" s="1" t="s">
        <v>53</v>
      </c>
      <c r="CQ29" s="1"/>
      <c r="CR29" s="1"/>
      <c r="CS29" s="1" t="s">
        <v>53</v>
      </c>
      <c r="CT29" s="1" t="s">
        <v>53</v>
      </c>
      <c r="CU29" s="1" t="s">
        <v>939</v>
      </c>
      <c r="CV29" s="1" t="s">
        <v>53</v>
      </c>
      <c r="CW29" s="1" t="s">
        <v>87</v>
      </c>
      <c r="CX29" s="1" t="s">
        <v>53</v>
      </c>
      <c r="CY29" s="1" t="s">
        <v>974</v>
      </c>
      <c r="CZ29" s="1" t="s">
        <v>982</v>
      </c>
      <c r="DA29" s="1" t="s">
        <v>53</v>
      </c>
      <c r="DB29" s="1" t="s">
        <v>995</v>
      </c>
      <c r="DC29" s="1" t="s">
        <v>1005</v>
      </c>
      <c r="DD29" s="1" t="s">
        <v>531</v>
      </c>
      <c r="DE29" s="1"/>
      <c r="DF29" s="1" t="s">
        <v>53</v>
      </c>
      <c r="DG29" s="1" t="s">
        <v>53</v>
      </c>
      <c r="DH29" s="1" t="s">
        <v>1053</v>
      </c>
      <c r="DI29" s="1"/>
      <c r="DJ29" s="1" t="s">
        <v>53</v>
      </c>
      <c r="DK29" s="1" t="s">
        <v>53</v>
      </c>
      <c r="DL29" s="1" t="s">
        <v>149</v>
      </c>
      <c r="DM29" s="1" t="s">
        <v>1091</v>
      </c>
      <c r="DN29" s="1"/>
      <c r="DO29" s="1"/>
      <c r="DP29" s="1" t="s">
        <v>1120</v>
      </c>
      <c r="DQ29" s="1" t="s">
        <v>53</v>
      </c>
      <c r="DR29" s="1" t="s">
        <v>53</v>
      </c>
      <c r="DS29" s="1" t="s">
        <v>1151</v>
      </c>
      <c r="DT29" s="1" t="s">
        <v>53</v>
      </c>
      <c r="DU29" s="1" t="s">
        <v>1169</v>
      </c>
      <c r="DV29" s="1" t="s">
        <v>1178</v>
      </c>
      <c r="DW29" s="1" t="s">
        <v>53</v>
      </c>
      <c r="DX29" s="1" t="s">
        <v>1199</v>
      </c>
      <c r="DY29" s="1" t="s">
        <v>1211</v>
      </c>
      <c r="DZ29" s="1"/>
      <c r="EA29" s="1" t="s">
        <v>53</v>
      </c>
      <c r="EB29" s="1" t="s">
        <v>53</v>
      </c>
      <c r="EC29" s="1" t="s">
        <v>53</v>
      </c>
      <c r="ED29" s="1" t="s">
        <v>1250</v>
      </c>
      <c r="EE29" s="1" t="s">
        <v>53</v>
      </c>
      <c r="EF29" s="1" t="s">
        <v>53</v>
      </c>
      <c r="EG29" s="1" t="s">
        <v>1278</v>
      </c>
      <c r="EH29" s="1" t="s">
        <v>53</v>
      </c>
      <c r="EI29" s="1" t="s">
        <v>53</v>
      </c>
      <c r="EJ29" s="1" t="s">
        <v>53</v>
      </c>
      <c r="EK29" s="1" t="s">
        <v>53</v>
      </c>
      <c r="EL29" s="40" t="s">
        <v>53</v>
      </c>
      <c r="EM29" s="1" t="s">
        <v>53</v>
      </c>
      <c r="EN29" s="1" t="s">
        <v>1336</v>
      </c>
      <c r="EO29" s="1" t="s">
        <v>779</v>
      </c>
      <c r="EP29" s="1" t="s">
        <v>53</v>
      </c>
      <c r="EQ29" s="1" t="s">
        <v>1426</v>
      </c>
      <c r="ER29" s="1" t="s">
        <v>53</v>
      </c>
      <c r="ES29" s="1" t="s">
        <v>53</v>
      </c>
      <c r="ET29" s="1" t="s">
        <v>505</v>
      </c>
      <c r="EU29" s="1" t="s">
        <v>53</v>
      </c>
      <c r="EV29" s="1" t="s">
        <v>53</v>
      </c>
      <c r="EW29" s="1" t="s">
        <v>1427</v>
      </c>
      <c r="EX29" s="1" t="s">
        <v>53</v>
      </c>
      <c r="EY29" s="1" t="s">
        <v>53</v>
      </c>
      <c r="EZ29" s="1" t="s">
        <v>53</v>
      </c>
      <c r="FA29" s="1" t="s">
        <v>53</v>
      </c>
      <c r="FB29" s="1" t="s">
        <v>53</v>
      </c>
      <c r="FC29" s="1" t="s">
        <v>1428</v>
      </c>
      <c r="FD29" s="1" t="s">
        <v>53</v>
      </c>
      <c r="FE29" s="1" t="s">
        <v>53</v>
      </c>
      <c r="FF29" s="1" t="s">
        <v>53</v>
      </c>
      <c r="FG29" s="1" t="s">
        <v>53</v>
      </c>
      <c r="FH29" s="1" t="s">
        <v>53</v>
      </c>
    </row>
    <row r="30" spans="1:164" ht="29.25" customHeight="1" x14ac:dyDescent="0.2">
      <c r="A30" s="2" t="s">
        <v>27</v>
      </c>
      <c r="B30" s="1" t="s">
        <v>54</v>
      </c>
      <c r="C30" s="1" t="s">
        <v>66</v>
      </c>
      <c r="D30" s="1" t="s">
        <v>76</v>
      </c>
      <c r="E30" s="1" t="s">
        <v>88</v>
      </c>
      <c r="F30" s="1"/>
      <c r="G30" s="1"/>
      <c r="H30" s="1" t="s">
        <v>107</v>
      </c>
      <c r="I30" s="1"/>
      <c r="J30" s="1" t="s">
        <v>127</v>
      </c>
      <c r="K30" s="1" t="e">
        <f>- Learning from colleagues
- A course on advanced data analysis at Radboud University Nijmegen
- The book by Harald Baayen: Analyzing Linguistic data: A Practical Introduction to Statistics using R.</f>
        <v>#NAME?</v>
      </c>
      <c r="L30" s="1" t="s">
        <v>150</v>
      </c>
      <c r="M30" s="1" t="s">
        <v>159</v>
      </c>
      <c r="N30" s="1" t="s">
        <v>171</v>
      </c>
      <c r="O30" s="1" t="s">
        <v>181</v>
      </c>
      <c r="P30" s="1" t="s">
        <v>193</v>
      </c>
      <c r="Q30" s="1" t="s">
        <v>202</v>
      </c>
      <c r="R30" s="1" t="s">
        <v>212</v>
      </c>
      <c r="S30" s="1" t="e">
        <f>- attending tutorial/workshop
- book
- talking to others who use mixed models
- online available lectures /videos
- websites</f>
        <v>#NAME?</v>
      </c>
      <c r="T30" s="1" t="s">
        <v>230</v>
      </c>
      <c r="U30" s="1" t="s">
        <v>239</v>
      </c>
      <c r="V30" s="1" t="s">
        <v>250</v>
      </c>
      <c r="W30" s="1" t="s">
        <v>261</v>
      </c>
      <c r="X30" s="1" t="s">
        <v>271</v>
      </c>
      <c r="Y30" s="1" t="s">
        <v>280</v>
      </c>
      <c r="Z30" s="1" t="s">
        <v>287</v>
      </c>
      <c r="AA30" s="1" t="s">
        <v>295</v>
      </c>
      <c r="AB30" s="1"/>
      <c r="AC30" s="1" t="s">
        <v>314</v>
      </c>
      <c r="AD30" s="1" t="s">
        <v>325</v>
      </c>
      <c r="AE30" s="1" t="s">
        <v>335</v>
      </c>
      <c r="AF30" s="1" t="s">
        <v>346</v>
      </c>
      <c r="AG30" s="1" t="s">
        <v>354</v>
      </c>
      <c r="AH30" s="1" t="s">
        <v>364</v>
      </c>
      <c r="AI30" s="1" t="s">
        <v>373</v>
      </c>
      <c r="AJ30" s="1" t="s">
        <v>384</v>
      </c>
      <c r="AK30" s="1" t="s">
        <v>393</v>
      </c>
      <c r="AL30" s="1" t="s">
        <v>403</v>
      </c>
      <c r="AM30" s="1" t="s">
        <v>410</v>
      </c>
      <c r="AN30" s="1" t="s">
        <v>421</v>
      </c>
      <c r="AO30" s="1" t="s">
        <v>429</v>
      </c>
      <c r="AP30" s="1" t="s">
        <v>438</v>
      </c>
      <c r="AQ30" s="1" t="s">
        <v>450</v>
      </c>
      <c r="AR30" s="1" t="s">
        <v>460</v>
      </c>
      <c r="AS30" s="1" t="s">
        <v>468</v>
      </c>
      <c r="AT30" s="1" t="s">
        <v>476</v>
      </c>
      <c r="AU30" s="1" t="s">
        <v>485</v>
      </c>
      <c r="AV30" s="1" t="s">
        <v>496</v>
      </c>
      <c r="AW30" s="1" t="s">
        <v>506</v>
      </c>
      <c r="AX30" s="1" t="s">
        <v>516</v>
      </c>
      <c r="AY30" s="1" t="s">
        <v>523</v>
      </c>
      <c r="AZ30" s="1" t="s">
        <v>532</v>
      </c>
      <c r="BA30" s="1" t="s">
        <v>543</v>
      </c>
      <c r="BB30" s="1" t="s">
        <v>551</v>
      </c>
      <c r="BC30" s="1" t="s">
        <v>559</v>
      </c>
      <c r="BD30" s="1" t="s">
        <v>569</v>
      </c>
      <c r="BE30" s="1" t="s">
        <v>578</v>
      </c>
      <c r="BF30" s="1" t="s">
        <v>583</v>
      </c>
      <c r="BG30" s="1" t="s">
        <v>591</v>
      </c>
      <c r="BH30" s="1" t="s">
        <v>599</v>
      </c>
      <c r="BI30" s="1" t="s">
        <v>608</v>
      </c>
      <c r="BJ30" s="1" t="s">
        <v>616</v>
      </c>
      <c r="BK30" s="1" t="s">
        <v>625</v>
      </c>
      <c r="BL30" s="1" t="s">
        <v>634</v>
      </c>
      <c r="BM30" s="1" t="s">
        <v>643</v>
      </c>
      <c r="BN30" s="1" t="s">
        <v>651</v>
      </c>
      <c r="BO30" s="1" t="s">
        <v>661</v>
      </c>
      <c r="BP30" s="1" t="s">
        <v>671</v>
      </c>
      <c r="BQ30" s="1" t="s">
        <v>681</v>
      </c>
      <c r="BR30" s="1" t="s">
        <v>688</v>
      </c>
      <c r="BS30" s="1" t="s">
        <v>695</v>
      </c>
      <c r="BT30" s="1" t="s">
        <v>707</v>
      </c>
      <c r="BU30" s="1" t="s">
        <v>717</v>
      </c>
      <c r="BV30" s="1" t="s">
        <v>726</v>
      </c>
      <c r="BW30" s="1" t="s">
        <v>735</v>
      </c>
      <c r="BX30" s="1" t="s">
        <v>746</v>
      </c>
      <c r="BY30" s="1" t="s">
        <v>756</v>
      </c>
      <c r="BZ30" s="1" t="s">
        <v>766</v>
      </c>
      <c r="CA30" s="1"/>
      <c r="CB30" s="1" t="s">
        <v>780</v>
      </c>
      <c r="CC30" s="1" t="s">
        <v>790</v>
      </c>
      <c r="CD30" s="1" t="s">
        <v>799</v>
      </c>
      <c r="CE30" s="1" t="s">
        <v>808</v>
      </c>
      <c r="CF30" s="1" t="s">
        <v>817</v>
      </c>
      <c r="CG30" s="1" t="s">
        <v>827</v>
      </c>
      <c r="CH30" s="1"/>
      <c r="CI30" s="1" t="s">
        <v>842</v>
      </c>
      <c r="CJ30" s="1" t="s">
        <v>850</v>
      </c>
      <c r="CK30" s="1" t="s">
        <v>861</v>
      </c>
      <c r="CL30" s="1"/>
      <c r="CM30" s="1"/>
      <c r="CN30" s="1" t="s">
        <v>885</v>
      </c>
      <c r="CO30" s="1" t="s">
        <v>892</v>
      </c>
      <c r="CP30" s="1" t="s">
        <v>897</v>
      </c>
      <c r="CQ30" s="1"/>
      <c r="CR30" s="1"/>
      <c r="CS30" s="1" t="s">
        <v>921</v>
      </c>
      <c r="CT30" s="1" t="s">
        <v>930</v>
      </c>
      <c r="CU30" s="1" t="s">
        <v>940</v>
      </c>
      <c r="CV30" s="1" t="s">
        <v>950</v>
      </c>
      <c r="CW30" s="1" t="s">
        <v>958</v>
      </c>
      <c r="CX30" s="1" t="s">
        <v>966</v>
      </c>
      <c r="CY30" s="1" t="s">
        <v>975</v>
      </c>
      <c r="CZ30" s="1" t="s">
        <v>983</v>
      </c>
      <c r="DA30" s="1" t="s">
        <v>989</v>
      </c>
      <c r="DB30" s="1" t="s">
        <v>996</v>
      </c>
      <c r="DC30" s="1" t="s">
        <v>270</v>
      </c>
      <c r="DD30" s="1" t="s">
        <v>1014</v>
      </c>
      <c r="DE30" s="1"/>
      <c r="DF30" s="1" t="s">
        <v>1032</v>
      </c>
      <c r="DG30" s="1" t="s">
        <v>1043</v>
      </c>
      <c r="DH30" s="1" t="s">
        <v>1054</v>
      </c>
      <c r="DI30" s="1"/>
      <c r="DJ30" s="1" t="s">
        <v>1065</v>
      </c>
      <c r="DK30" s="1" t="s">
        <v>1074</v>
      </c>
      <c r="DL30" s="1" t="s">
        <v>1084</v>
      </c>
      <c r="DM30" s="1" t="s">
        <v>1092</v>
      </c>
      <c r="DN30" s="1"/>
      <c r="DO30" s="1"/>
      <c r="DP30" s="1" t="s">
        <v>1121</v>
      </c>
      <c r="DQ30" s="1" t="s">
        <v>1131</v>
      </c>
      <c r="DR30" s="1" t="s">
        <v>1140</v>
      </c>
      <c r="DS30" s="1" t="s">
        <v>1152</v>
      </c>
      <c r="DT30" s="1" t="s">
        <v>1160</v>
      </c>
      <c r="DU30" s="1" t="s">
        <v>1170</v>
      </c>
      <c r="DV30" s="1" t="s">
        <v>1179</v>
      </c>
      <c r="DW30" s="1" t="s">
        <v>1189</v>
      </c>
      <c r="DX30" s="1" t="s">
        <v>1200</v>
      </c>
      <c r="DY30" s="1" t="s">
        <v>1212</v>
      </c>
      <c r="DZ30" s="1"/>
      <c r="EA30" s="1" t="s">
        <v>1228</v>
      </c>
      <c r="EB30" s="1" t="s">
        <v>1234</v>
      </c>
      <c r="EC30" s="1" t="s">
        <v>1242</v>
      </c>
      <c r="ED30" s="1" t="s">
        <v>1251</v>
      </c>
      <c r="EE30" s="1" t="s">
        <v>1259</v>
      </c>
      <c r="EF30" s="1" t="s">
        <v>1269</v>
      </c>
      <c r="EG30" s="1" t="s">
        <v>1279</v>
      </c>
      <c r="EH30" s="1" t="s">
        <v>1287</v>
      </c>
      <c r="EI30" s="1" t="s">
        <v>1296</v>
      </c>
      <c r="EJ30" s="1" t="s">
        <v>1302</v>
      </c>
      <c r="EK30" s="1" t="s">
        <v>1310</v>
      </c>
      <c r="EL30" s="40" t="s">
        <v>1318</v>
      </c>
      <c r="EM30" s="1" t="s">
        <v>1326</v>
      </c>
      <c r="EN30" s="1" t="s">
        <v>1337</v>
      </c>
      <c r="EO30" s="1" t="s">
        <v>1342</v>
      </c>
      <c r="EP30" s="1" t="s">
        <v>1351</v>
      </c>
      <c r="EQ30" s="1" t="s">
        <v>1429</v>
      </c>
      <c r="ER30" s="1" t="s">
        <v>1430</v>
      </c>
      <c r="ES30" s="1" t="s">
        <v>1431</v>
      </c>
      <c r="ET30" s="1" t="s">
        <v>1432</v>
      </c>
      <c r="EU30" s="1" t="s">
        <v>1433</v>
      </c>
      <c r="EV30" s="1" t="s">
        <v>1434</v>
      </c>
      <c r="EW30" s="1" t="s">
        <v>1435</v>
      </c>
      <c r="EX30" s="1" t="s">
        <v>1436</v>
      </c>
      <c r="EY30" s="1" t="s">
        <v>1437</v>
      </c>
      <c r="EZ30" s="1" t="s">
        <v>1438</v>
      </c>
      <c r="FA30" s="1" t="s">
        <v>1439</v>
      </c>
      <c r="FB30" s="1" t="s">
        <v>1440</v>
      </c>
      <c r="FC30" s="1" t="s">
        <v>1441</v>
      </c>
      <c r="FD30" s="1" t="s">
        <v>1513</v>
      </c>
      <c r="FE30" s="1" t="s">
        <v>1514</v>
      </c>
      <c r="FF30" s="1" t="s">
        <v>1515</v>
      </c>
      <c r="FG30" s="1" t="s">
        <v>1516</v>
      </c>
      <c r="FH30" s="1" t="s">
        <v>1517</v>
      </c>
    </row>
    <row r="31" spans="1:164" ht="27.75" customHeight="1" x14ac:dyDescent="0.2">
      <c r="A31" s="2" t="s">
        <v>28</v>
      </c>
      <c r="B31" s="1" t="s">
        <v>55</v>
      </c>
      <c r="C31" s="1" t="s">
        <v>67</v>
      </c>
      <c r="D31" s="1" t="s">
        <v>77</v>
      </c>
      <c r="E31" s="1" t="s">
        <v>89</v>
      </c>
      <c r="F31" s="1"/>
      <c r="G31" s="1"/>
      <c r="H31" s="1" t="s">
        <v>108</v>
      </c>
      <c r="I31" s="1"/>
      <c r="J31" s="1" t="s">
        <v>128</v>
      </c>
      <c r="K31" s="1" t="s">
        <v>138</v>
      </c>
      <c r="L31" s="1" t="s">
        <v>151</v>
      </c>
      <c r="M31" s="1" t="s">
        <v>160</v>
      </c>
      <c r="N31" s="1" t="s">
        <v>172</v>
      </c>
      <c r="O31" s="1" t="s">
        <v>182</v>
      </c>
      <c r="P31" s="1" t="s">
        <v>194</v>
      </c>
      <c r="Q31" s="1" t="s">
        <v>203</v>
      </c>
      <c r="R31" s="1" t="s">
        <v>213</v>
      </c>
      <c r="S31" s="1" t="s">
        <v>221</v>
      </c>
      <c r="T31" s="1" t="s">
        <v>231</v>
      </c>
      <c r="U31" s="1" t="s">
        <v>240</v>
      </c>
      <c r="V31" s="1" t="s">
        <v>251</v>
      </c>
      <c r="W31" s="1" t="s">
        <v>262</v>
      </c>
      <c r="X31" s="1" t="s">
        <v>272</v>
      </c>
      <c r="Y31" s="1" t="s">
        <v>281</v>
      </c>
      <c r="Z31" s="1" t="s">
        <v>288</v>
      </c>
      <c r="AA31" s="1" t="s">
        <v>296</v>
      </c>
      <c r="AB31" s="1"/>
      <c r="AC31" s="1" t="s">
        <v>315</v>
      </c>
      <c r="AD31" s="1" t="s">
        <v>326</v>
      </c>
      <c r="AE31" s="1" t="s">
        <v>336</v>
      </c>
      <c r="AF31" s="1" t="s">
        <v>182</v>
      </c>
      <c r="AG31" s="1" t="s">
        <v>355</v>
      </c>
      <c r="AH31" s="1" t="s">
        <v>365</v>
      </c>
      <c r="AI31" s="1" t="s">
        <v>374</v>
      </c>
      <c r="AJ31" s="1" t="s">
        <v>385</v>
      </c>
      <c r="AK31" s="1" t="s">
        <v>394</v>
      </c>
      <c r="AL31" s="1" t="s">
        <v>404</v>
      </c>
      <c r="AM31" s="1" t="s">
        <v>411</v>
      </c>
      <c r="AN31" s="1" t="s">
        <v>422</v>
      </c>
      <c r="AO31" s="1" t="s">
        <v>182</v>
      </c>
      <c r="AP31" s="1" t="s">
        <v>439</v>
      </c>
      <c r="AQ31" s="1" t="s">
        <v>451</v>
      </c>
      <c r="AR31" s="1" t="s">
        <v>461</v>
      </c>
      <c r="AS31" s="1" t="s">
        <v>469</v>
      </c>
      <c r="AT31" s="1" t="s">
        <v>477</v>
      </c>
      <c r="AU31" s="1" t="s">
        <v>486</v>
      </c>
      <c r="AV31" s="1" t="s">
        <v>497</v>
      </c>
      <c r="AW31" s="1" t="s">
        <v>507</v>
      </c>
      <c r="AX31" s="1" t="s">
        <v>517</v>
      </c>
      <c r="AY31" s="1" t="s">
        <v>524</v>
      </c>
      <c r="AZ31" s="1" t="s">
        <v>533</v>
      </c>
      <c r="BA31" s="1" t="s">
        <v>544</v>
      </c>
      <c r="BB31" s="1" t="s">
        <v>552</v>
      </c>
      <c r="BC31" s="1" t="s">
        <v>560</v>
      </c>
      <c r="BD31" s="1" t="s">
        <v>570</v>
      </c>
      <c r="BE31" s="1" t="s">
        <v>182</v>
      </c>
      <c r="BF31" s="1" t="s">
        <v>584</v>
      </c>
      <c r="BG31" s="1" t="s">
        <v>592</v>
      </c>
      <c r="BH31" s="1" t="s">
        <v>600</v>
      </c>
      <c r="BI31" s="1" t="s">
        <v>609</v>
      </c>
      <c r="BJ31" s="1" t="s">
        <v>182</v>
      </c>
      <c r="BK31" s="1" t="s">
        <v>626</v>
      </c>
      <c r="BL31" s="1" t="s">
        <v>635</v>
      </c>
      <c r="BM31" s="1" t="s">
        <v>644</v>
      </c>
      <c r="BN31" s="1" t="s">
        <v>652</v>
      </c>
      <c r="BO31" s="1" t="s">
        <v>662</v>
      </c>
      <c r="BP31" s="1" t="s">
        <v>672</v>
      </c>
      <c r="BQ31" s="1" t="s">
        <v>682</v>
      </c>
      <c r="BR31" s="1" t="s">
        <v>689</v>
      </c>
      <c r="BS31" s="1" t="s">
        <v>696</v>
      </c>
      <c r="BT31" s="1" t="s">
        <v>708</v>
      </c>
      <c r="BU31" s="1" t="s">
        <v>718</v>
      </c>
      <c r="BV31" s="1" t="s">
        <v>727</v>
      </c>
      <c r="BW31" s="1" t="s">
        <v>736</v>
      </c>
      <c r="BX31" s="1" t="s">
        <v>747</v>
      </c>
      <c r="BY31" s="1" t="s">
        <v>757</v>
      </c>
      <c r="BZ31" s="1" t="s">
        <v>767</v>
      </c>
      <c r="CA31" s="1"/>
      <c r="CB31" s="1" t="s">
        <v>781</v>
      </c>
      <c r="CC31" s="1" t="s">
        <v>791</v>
      </c>
      <c r="CD31" s="1" t="s">
        <v>800</v>
      </c>
      <c r="CE31" s="1" t="s">
        <v>809</v>
      </c>
      <c r="CF31" s="1" t="s">
        <v>818</v>
      </c>
      <c r="CG31" s="1" t="s">
        <v>828</v>
      </c>
      <c r="CH31" s="1"/>
      <c r="CI31" s="1" t="s">
        <v>810</v>
      </c>
      <c r="CJ31" s="1" t="s">
        <v>851</v>
      </c>
      <c r="CK31" s="1" t="s">
        <v>862</v>
      </c>
      <c r="CL31" s="1"/>
      <c r="CM31" s="1"/>
      <c r="CN31" s="1" t="s">
        <v>886</v>
      </c>
      <c r="CO31" s="1" t="s">
        <v>893</v>
      </c>
      <c r="CP31" s="1" t="s">
        <v>898</v>
      </c>
      <c r="CQ31" s="1"/>
      <c r="CR31" s="1"/>
      <c r="CS31" s="1" t="s">
        <v>922</v>
      </c>
      <c r="CT31" s="1" t="s">
        <v>931</v>
      </c>
      <c r="CU31" s="1" t="s">
        <v>941</v>
      </c>
      <c r="CV31" s="1" t="s">
        <v>951</v>
      </c>
      <c r="CW31" s="1" t="s">
        <v>959</v>
      </c>
      <c r="CX31" s="1" t="s">
        <v>967</v>
      </c>
      <c r="CY31" s="1" t="s">
        <v>976</v>
      </c>
      <c r="CZ31" s="1" t="s">
        <v>984</v>
      </c>
      <c r="DA31" s="1" t="s">
        <v>990</v>
      </c>
      <c r="DB31" s="1" t="s">
        <v>997</v>
      </c>
      <c r="DC31" s="1" t="s">
        <v>1006</v>
      </c>
      <c r="DD31" s="1" t="s">
        <v>1015</v>
      </c>
      <c r="DE31" s="1"/>
      <c r="DF31" s="1" t="s">
        <v>1033</v>
      </c>
      <c r="DG31" s="1" t="s">
        <v>1044</v>
      </c>
      <c r="DH31" s="1" t="s">
        <v>1055</v>
      </c>
      <c r="DI31" s="1"/>
      <c r="DJ31" s="1" t="s">
        <v>1066</v>
      </c>
      <c r="DK31" s="1" t="s">
        <v>1075</v>
      </c>
      <c r="DL31" s="1" t="s">
        <v>1085</v>
      </c>
      <c r="DM31" s="1" t="s">
        <v>1093</v>
      </c>
      <c r="DN31" s="1"/>
      <c r="DO31" s="1"/>
      <c r="DP31" s="1" t="s">
        <v>1122</v>
      </c>
      <c r="DQ31" s="1" t="s">
        <v>1132</v>
      </c>
      <c r="DR31" s="1" t="s">
        <v>1141</v>
      </c>
      <c r="DS31" s="1" t="s">
        <v>771</v>
      </c>
      <c r="DT31" s="1" t="s">
        <v>1161</v>
      </c>
      <c r="DU31" s="1" t="s">
        <v>1171</v>
      </c>
      <c r="DV31" s="1" t="s">
        <v>1180</v>
      </c>
      <c r="DW31" s="1" t="s">
        <v>1190</v>
      </c>
      <c r="DX31" s="1" t="s">
        <v>1201</v>
      </c>
      <c r="DY31" s="1" t="s">
        <v>1213</v>
      </c>
      <c r="DZ31" s="1"/>
      <c r="EA31" s="1" t="s">
        <v>182</v>
      </c>
      <c r="EB31" s="1" t="s">
        <v>182</v>
      </c>
      <c r="EC31" s="1" t="s">
        <v>1243</v>
      </c>
      <c r="ED31" s="1" t="s">
        <v>1252</v>
      </c>
      <c r="EE31" s="1" t="s">
        <v>1260</v>
      </c>
      <c r="EF31" s="1" t="s">
        <v>1270</v>
      </c>
      <c r="EG31" s="1" t="s">
        <v>1280</v>
      </c>
      <c r="EH31" s="1" t="s">
        <v>1288</v>
      </c>
      <c r="EI31" s="1" t="s">
        <v>182</v>
      </c>
      <c r="EJ31" s="1" t="s">
        <v>1303</v>
      </c>
      <c r="EK31" s="1" t="s">
        <v>1311</v>
      </c>
      <c r="EL31" s="40" t="s">
        <v>1319</v>
      </c>
      <c r="EM31" s="1" t="s">
        <v>1327</v>
      </c>
      <c r="EN31" s="1" t="s">
        <v>1338</v>
      </c>
      <c r="EO31" s="1" t="s">
        <v>1343</v>
      </c>
      <c r="EP31" s="1" t="s">
        <v>1352</v>
      </c>
      <c r="EQ31" s="1" t="s">
        <v>1442</v>
      </c>
      <c r="ER31" s="1" t="s">
        <v>1180</v>
      </c>
      <c r="ES31" s="1" t="s">
        <v>1443</v>
      </c>
      <c r="ET31" s="1" t="s">
        <v>1444</v>
      </c>
      <c r="EU31" s="1" t="s">
        <v>1445</v>
      </c>
      <c r="EV31" s="1" t="s">
        <v>1446</v>
      </c>
      <c r="EW31" s="1" t="s">
        <v>1447</v>
      </c>
      <c r="EX31" s="1" t="s">
        <v>818</v>
      </c>
      <c r="EY31" s="1" t="s">
        <v>1448</v>
      </c>
      <c r="EZ31" s="1" t="s">
        <v>767</v>
      </c>
      <c r="FA31" s="1" t="s">
        <v>1449</v>
      </c>
      <c r="FB31" s="1" t="s">
        <v>1450</v>
      </c>
      <c r="FC31" s="1" t="s">
        <v>1451</v>
      </c>
      <c r="FD31" s="1" t="s">
        <v>1518</v>
      </c>
      <c r="FE31" s="1" t="s">
        <v>1519</v>
      </c>
      <c r="FF31" s="1" t="s">
        <v>1520</v>
      </c>
      <c r="FG31" s="1" t="s">
        <v>1516</v>
      </c>
      <c r="FH31" s="1" t="s">
        <v>374</v>
      </c>
    </row>
    <row r="32" spans="1:164" ht="20" customHeight="1" x14ac:dyDescent="0.2">
      <c r="A32" s="2" t="s">
        <v>29</v>
      </c>
      <c r="B32" s="1" t="s">
        <v>46</v>
      </c>
      <c r="C32" s="1" t="s">
        <v>47</v>
      </c>
      <c r="D32" s="1" t="s">
        <v>47</v>
      </c>
      <c r="E32" s="1" t="s">
        <v>47</v>
      </c>
      <c r="F32" s="1" t="s">
        <v>56</v>
      </c>
      <c r="G32" s="1" t="s">
        <v>56</v>
      </c>
      <c r="H32" s="1" t="s">
        <v>47</v>
      </c>
      <c r="I32" s="1" t="s">
        <v>56</v>
      </c>
      <c r="J32" s="1" t="s">
        <v>47</v>
      </c>
      <c r="K32" s="1" t="s">
        <v>47</v>
      </c>
      <c r="L32" s="1" t="s">
        <v>46</v>
      </c>
      <c r="M32" s="1" t="s">
        <v>46</v>
      </c>
      <c r="N32" s="1" t="s">
        <v>46</v>
      </c>
      <c r="O32" s="1" t="s">
        <v>46</v>
      </c>
      <c r="P32" s="1" t="s">
        <v>46</v>
      </c>
      <c r="Q32" s="1" t="s">
        <v>46</v>
      </c>
      <c r="R32" s="1" t="s">
        <v>47</v>
      </c>
      <c r="S32" s="1" t="s">
        <v>46</v>
      </c>
      <c r="T32" s="1" t="s">
        <v>46</v>
      </c>
      <c r="U32" s="1" t="s">
        <v>46</v>
      </c>
      <c r="V32" s="1" t="s">
        <v>46</v>
      </c>
      <c r="W32" s="1" t="s">
        <v>46</v>
      </c>
      <c r="X32" s="1" t="s">
        <v>46</v>
      </c>
      <c r="Y32" s="1" t="s">
        <v>46</v>
      </c>
      <c r="Z32" s="1" t="s">
        <v>46</v>
      </c>
      <c r="AA32" s="1" t="s">
        <v>47</v>
      </c>
      <c r="AB32" s="1" t="s">
        <v>56</v>
      </c>
      <c r="AC32" s="1" t="s">
        <v>46</v>
      </c>
      <c r="AD32" s="1" t="s">
        <v>46</v>
      </c>
      <c r="AE32" s="1" t="s">
        <v>47</v>
      </c>
      <c r="AF32" s="1" t="s">
        <v>46</v>
      </c>
      <c r="AG32" s="1" t="s">
        <v>46</v>
      </c>
      <c r="AH32" s="1" t="s">
        <v>46</v>
      </c>
      <c r="AI32" s="1" t="s">
        <v>47</v>
      </c>
      <c r="AJ32" s="1" t="s">
        <v>46</v>
      </c>
      <c r="AK32" s="1" t="s">
        <v>46</v>
      </c>
      <c r="AL32" s="1" t="s">
        <v>47</v>
      </c>
      <c r="AM32" s="1" t="s">
        <v>47</v>
      </c>
      <c r="AN32" s="1" t="s">
        <v>46</v>
      </c>
      <c r="AO32" s="1" t="s">
        <v>46</v>
      </c>
      <c r="AP32" s="1" t="s">
        <v>47</v>
      </c>
      <c r="AQ32" s="1" t="s">
        <v>46</v>
      </c>
      <c r="AR32" s="1" t="s">
        <v>47</v>
      </c>
      <c r="AS32" s="1" t="s">
        <v>46</v>
      </c>
      <c r="AT32" s="1" t="s">
        <v>46</v>
      </c>
      <c r="AU32" s="1" t="s">
        <v>47</v>
      </c>
      <c r="AV32" s="1" t="s">
        <v>47</v>
      </c>
      <c r="AW32" s="1" t="s">
        <v>47</v>
      </c>
      <c r="AX32" s="1" t="s">
        <v>46</v>
      </c>
      <c r="AY32" s="1" t="s">
        <v>46</v>
      </c>
      <c r="AZ32" s="1" t="s">
        <v>46</v>
      </c>
      <c r="BA32" s="1" t="s">
        <v>46</v>
      </c>
      <c r="BB32" s="1" t="s">
        <v>46</v>
      </c>
      <c r="BC32" s="1" t="s">
        <v>46</v>
      </c>
      <c r="BD32" s="1" t="s">
        <v>46</v>
      </c>
      <c r="BE32" s="1" t="s">
        <v>46</v>
      </c>
      <c r="BF32" s="1" t="s">
        <v>46</v>
      </c>
      <c r="BG32" s="1" t="s">
        <v>46</v>
      </c>
      <c r="BH32" s="1" t="s">
        <v>47</v>
      </c>
      <c r="BI32" s="1" t="s">
        <v>46</v>
      </c>
      <c r="BJ32" s="1" t="s">
        <v>47</v>
      </c>
      <c r="BK32" s="1" t="s">
        <v>46</v>
      </c>
      <c r="BL32" s="1" t="s">
        <v>46</v>
      </c>
      <c r="BM32" s="1" t="s">
        <v>46</v>
      </c>
      <c r="BN32" s="1" t="s">
        <v>46</v>
      </c>
      <c r="BO32" s="1" t="s">
        <v>47</v>
      </c>
      <c r="BP32" s="1" t="s">
        <v>46</v>
      </c>
      <c r="BQ32" s="1" t="s">
        <v>46</v>
      </c>
      <c r="BR32" s="1" t="s">
        <v>46</v>
      </c>
      <c r="BS32" s="1" t="s">
        <v>47</v>
      </c>
      <c r="BT32" s="1" t="s">
        <v>46</v>
      </c>
      <c r="BU32" s="1" t="s">
        <v>46</v>
      </c>
      <c r="BV32" s="1" t="s">
        <v>46</v>
      </c>
      <c r="BW32" s="1" t="s">
        <v>47</v>
      </c>
      <c r="BX32" s="1" t="s">
        <v>46</v>
      </c>
      <c r="BY32" s="1" t="s">
        <v>46</v>
      </c>
      <c r="BZ32" s="1" t="s">
        <v>46</v>
      </c>
      <c r="CA32" s="1" t="s">
        <v>56</v>
      </c>
      <c r="CB32" s="1" t="s">
        <v>47</v>
      </c>
      <c r="CC32" s="1" t="s">
        <v>47</v>
      </c>
      <c r="CD32" s="1" t="s">
        <v>47</v>
      </c>
      <c r="CE32" s="1" t="s">
        <v>46</v>
      </c>
      <c r="CF32" s="1" t="s">
        <v>47</v>
      </c>
      <c r="CG32" s="1" t="s">
        <v>46</v>
      </c>
      <c r="CH32" s="1" t="s">
        <v>56</v>
      </c>
      <c r="CI32" s="1" t="s">
        <v>47</v>
      </c>
      <c r="CJ32" s="1" t="s">
        <v>46</v>
      </c>
      <c r="CK32" s="1" t="s">
        <v>46</v>
      </c>
      <c r="CL32" s="1" t="s">
        <v>56</v>
      </c>
      <c r="CM32" s="1" t="s">
        <v>56</v>
      </c>
      <c r="CN32" s="1" t="s">
        <v>46</v>
      </c>
      <c r="CO32" s="1" t="s">
        <v>46</v>
      </c>
      <c r="CP32" s="1" t="s">
        <v>47</v>
      </c>
      <c r="CQ32" s="1" t="s">
        <v>56</v>
      </c>
      <c r="CR32" s="1" t="s">
        <v>56</v>
      </c>
      <c r="CS32" s="1" t="s">
        <v>47</v>
      </c>
      <c r="CT32" s="1" t="s">
        <v>47</v>
      </c>
      <c r="CU32" s="1" t="s">
        <v>46</v>
      </c>
      <c r="CV32" s="1" t="s">
        <v>47</v>
      </c>
      <c r="CW32" s="1" t="s">
        <v>46</v>
      </c>
      <c r="CX32" s="1" t="s">
        <v>46</v>
      </c>
      <c r="CY32" s="1" t="s">
        <v>46</v>
      </c>
      <c r="CZ32" s="1" t="s">
        <v>46</v>
      </c>
      <c r="DA32" s="1" t="s">
        <v>46</v>
      </c>
      <c r="DB32" s="1" t="s">
        <v>47</v>
      </c>
      <c r="DC32" s="1" t="s">
        <v>47</v>
      </c>
      <c r="DD32" s="1" t="s">
        <v>46</v>
      </c>
      <c r="DE32" s="1" t="s">
        <v>56</v>
      </c>
      <c r="DF32" s="1" t="s">
        <v>47</v>
      </c>
      <c r="DG32" s="1" t="s">
        <v>46</v>
      </c>
      <c r="DH32" s="1" t="s">
        <v>46</v>
      </c>
      <c r="DI32" s="1" t="s">
        <v>56</v>
      </c>
      <c r="DJ32" s="1" t="s">
        <v>46</v>
      </c>
      <c r="DK32" s="1" t="s">
        <v>46</v>
      </c>
      <c r="DL32" s="1" t="s">
        <v>46</v>
      </c>
      <c r="DM32" s="1" t="s">
        <v>47</v>
      </c>
      <c r="DN32" s="1" t="s">
        <v>56</v>
      </c>
      <c r="DO32" s="1" t="s">
        <v>56</v>
      </c>
      <c r="DP32" s="1" t="s">
        <v>46</v>
      </c>
      <c r="DQ32" s="1" t="s">
        <v>46</v>
      </c>
      <c r="DR32" s="1" t="s">
        <v>47</v>
      </c>
      <c r="DS32" s="1" t="s">
        <v>46</v>
      </c>
      <c r="DT32" s="1" t="s">
        <v>46</v>
      </c>
      <c r="DU32" s="1" t="s">
        <v>47</v>
      </c>
      <c r="DV32" s="1" t="s">
        <v>46</v>
      </c>
      <c r="DW32" s="1" t="s">
        <v>46</v>
      </c>
      <c r="DX32" s="1" t="s">
        <v>46</v>
      </c>
      <c r="DY32" s="1" t="s">
        <v>46</v>
      </c>
      <c r="DZ32" s="1" t="s">
        <v>56</v>
      </c>
      <c r="EA32" s="1" t="s">
        <v>47</v>
      </c>
      <c r="EB32" s="1" t="s">
        <v>47</v>
      </c>
      <c r="EC32" s="1" t="s">
        <v>46</v>
      </c>
      <c r="ED32" s="1" t="s">
        <v>46</v>
      </c>
      <c r="EE32" s="1" t="s">
        <v>46</v>
      </c>
      <c r="EF32" s="1" t="s">
        <v>46</v>
      </c>
      <c r="EG32" s="1" t="s">
        <v>47</v>
      </c>
      <c r="EH32" s="1" t="s">
        <v>47</v>
      </c>
      <c r="EI32" s="1" t="s">
        <v>46</v>
      </c>
      <c r="EJ32" s="1" t="s">
        <v>46</v>
      </c>
      <c r="EK32" s="1" t="s">
        <v>46</v>
      </c>
      <c r="EL32" s="40" t="s">
        <v>46</v>
      </c>
      <c r="EM32" s="1" t="s">
        <v>46</v>
      </c>
      <c r="EN32" s="1" t="s">
        <v>46</v>
      </c>
      <c r="EO32" s="1" t="s">
        <v>46</v>
      </c>
      <c r="EP32" s="1" t="s">
        <v>46</v>
      </c>
      <c r="EQ32" s="1" t="s">
        <v>46</v>
      </c>
      <c r="ER32" s="1" t="s">
        <v>46</v>
      </c>
      <c r="ES32" s="1" t="s">
        <v>47</v>
      </c>
      <c r="ET32" s="1" t="s">
        <v>46</v>
      </c>
      <c r="EU32" s="1" t="s">
        <v>47</v>
      </c>
      <c r="EV32" s="1" t="s">
        <v>46</v>
      </c>
      <c r="EW32" s="1" t="s">
        <v>46</v>
      </c>
      <c r="EX32" s="1" t="s">
        <v>46</v>
      </c>
      <c r="EY32" s="1" t="s">
        <v>46</v>
      </c>
      <c r="EZ32" s="1" t="s">
        <v>47</v>
      </c>
      <c r="FA32" s="1" t="s">
        <v>46</v>
      </c>
      <c r="FB32" s="1" t="s">
        <v>46</v>
      </c>
      <c r="FC32" s="1" t="s">
        <v>46</v>
      </c>
      <c r="FD32" s="1" t="s">
        <v>46</v>
      </c>
      <c r="FE32" s="1" t="s">
        <v>46</v>
      </c>
      <c r="FF32" s="1" t="s">
        <v>46</v>
      </c>
      <c r="FG32" s="1" t="s">
        <v>46</v>
      </c>
      <c r="FH32" s="1" t="s">
        <v>46</v>
      </c>
    </row>
    <row r="33" spans="1:164" ht="27.75" customHeight="1" x14ac:dyDescent="0.2">
      <c r="A33" s="2" t="s">
        <v>30</v>
      </c>
      <c r="B33" s="1" t="s">
        <v>47</v>
      </c>
      <c r="C33" s="1" t="s">
        <v>47</v>
      </c>
      <c r="D33" s="1" t="s">
        <v>47</v>
      </c>
      <c r="E33" s="1" t="s">
        <v>47</v>
      </c>
      <c r="F33" s="1" t="s">
        <v>56</v>
      </c>
      <c r="G33" s="1" t="s">
        <v>56</v>
      </c>
      <c r="H33" s="1" t="s">
        <v>47</v>
      </c>
      <c r="I33" s="1" t="s">
        <v>56</v>
      </c>
      <c r="J33" s="1" t="s">
        <v>47</v>
      </c>
      <c r="K33" s="1" t="s">
        <v>47</v>
      </c>
      <c r="L33" s="1" t="s">
        <v>46</v>
      </c>
      <c r="M33" s="1" t="s">
        <v>46</v>
      </c>
      <c r="N33" s="1" t="s">
        <v>47</v>
      </c>
      <c r="O33" s="1" t="s">
        <v>47</v>
      </c>
      <c r="P33" s="1" t="s">
        <v>47</v>
      </c>
      <c r="Q33" s="1" t="s">
        <v>47</v>
      </c>
      <c r="R33" s="1" t="s">
        <v>47</v>
      </c>
      <c r="S33" s="1" t="s">
        <v>47</v>
      </c>
      <c r="T33" s="1" t="s">
        <v>47</v>
      </c>
      <c r="U33" s="1" t="s">
        <v>47</v>
      </c>
      <c r="V33" s="1" t="s">
        <v>47</v>
      </c>
      <c r="W33" s="1" t="s">
        <v>47</v>
      </c>
      <c r="X33" s="1" t="s">
        <v>47</v>
      </c>
      <c r="Y33" s="1" t="s">
        <v>46</v>
      </c>
      <c r="Z33" s="1" t="s">
        <v>47</v>
      </c>
      <c r="AA33" s="1" t="s">
        <v>47</v>
      </c>
      <c r="AB33" s="1" t="s">
        <v>56</v>
      </c>
      <c r="AC33" s="1" t="s">
        <v>47</v>
      </c>
      <c r="AD33" s="1" t="s">
        <v>47</v>
      </c>
      <c r="AE33" s="1" t="s">
        <v>47</v>
      </c>
      <c r="AF33" s="1" t="s">
        <v>47</v>
      </c>
      <c r="AG33" s="1" t="s">
        <v>47</v>
      </c>
      <c r="AH33" s="1" t="s">
        <v>47</v>
      </c>
      <c r="AI33" s="1" t="s">
        <v>47</v>
      </c>
      <c r="AJ33" s="1" t="s">
        <v>47</v>
      </c>
      <c r="AK33" s="1" t="s">
        <v>46</v>
      </c>
      <c r="AL33" s="1" t="s">
        <v>47</v>
      </c>
      <c r="AM33" s="1" t="s">
        <v>47</v>
      </c>
      <c r="AN33" s="1" t="s">
        <v>47</v>
      </c>
      <c r="AO33" s="1" t="s">
        <v>47</v>
      </c>
      <c r="AP33" s="1" t="s">
        <v>47</v>
      </c>
      <c r="AQ33" s="1" t="s">
        <v>47</v>
      </c>
      <c r="AR33" s="1" t="s">
        <v>47</v>
      </c>
      <c r="AS33" s="1" t="s">
        <v>47</v>
      </c>
      <c r="AT33" s="1" t="s">
        <v>47</v>
      </c>
      <c r="AU33" s="1" t="s">
        <v>47</v>
      </c>
      <c r="AV33" s="1" t="s">
        <v>47</v>
      </c>
      <c r="AW33" s="1" t="s">
        <v>46</v>
      </c>
      <c r="AX33" s="1" t="s">
        <v>47</v>
      </c>
      <c r="AY33" s="1" t="s">
        <v>47</v>
      </c>
      <c r="AZ33" s="1" t="s">
        <v>47</v>
      </c>
      <c r="BA33" s="1" t="s">
        <v>47</v>
      </c>
      <c r="BB33" s="1" t="s">
        <v>46</v>
      </c>
      <c r="BC33" s="1" t="s">
        <v>47</v>
      </c>
      <c r="BD33" s="1" t="s">
        <v>47</v>
      </c>
      <c r="BE33" s="1" t="s">
        <v>46</v>
      </c>
      <c r="BF33" s="1" t="s">
        <v>47</v>
      </c>
      <c r="BG33" s="1" t="s">
        <v>47</v>
      </c>
      <c r="BH33" s="1" t="s">
        <v>47</v>
      </c>
      <c r="BI33" s="1" t="s">
        <v>47</v>
      </c>
      <c r="BJ33" s="1" t="s">
        <v>47</v>
      </c>
      <c r="BK33" s="1" t="s">
        <v>47</v>
      </c>
      <c r="BL33" s="1" t="s">
        <v>47</v>
      </c>
      <c r="BM33" s="1" t="s">
        <v>47</v>
      </c>
      <c r="BN33" s="1" t="s">
        <v>47</v>
      </c>
      <c r="BO33" s="1" t="s">
        <v>47</v>
      </c>
      <c r="BP33" s="1" t="s">
        <v>47</v>
      </c>
      <c r="BQ33" s="1" t="s">
        <v>47</v>
      </c>
      <c r="BR33" s="1" t="s">
        <v>47</v>
      </c>
      <c r="BS33" s="1" t="s">
        <v>47</v>
      </c>
      <c r="BT33" s="1" t="s">
        <v>47</v>
      </c>
      <c r="BU33" s="1" t="s">
        <v>47</v>
      </c>
      <c r="BV33" s="1" t="s">
        <v>47</v>
      </c>
      <c r="BW33" s="1" t="s">
        <v>47</v>
      </c>
      <c r="BX33" s="1" t="s">
        <v>47</v>
      </c>
      <c r="BY33" s="1" t="s">
        <v>47</v>
      </c>
      <c r="BZ33" s="1" t="s">
        <v>47</v>
      </c>
      <c r="CA33" s="1" t="s">
        <v>56</v>
      </c>
      <c r="CB33" s="1" t="s">
        <v>47</v>
      </c>
      <c r="CC33" s="1" t="s">
        <v>47</v>
      </c>
      <c r="CD33" s="1" t="s">
        <v>47</v>
      </c>
      <c r="CE33" s="1" t="s">
        <v>46</v>
      </c>
      <c r="CF33" s="1" t="s">
        <v>47</v>
      </c>
      <c r="CG33" s="1" t="s">
        <v>47</v>
      </c>
      <c r="CH33" s="1" t="s">
        <v>56</v>
      </c>
      <c r="CI33" s="1" t="s">
        <v>47</v>
      </c>
      <c r="CJ33" s="1" t="s">
        <v>47</v>
      </c>
      <c r="CK33" s="1" t="s">
        <v>47</v>
      </c>
      <c r="CL33" s="1" t="s">
        <v>56</v>
      </c>
      <c r="CM33" s="1" t="s">
        <v>56</v>
      </c>
      <c r="CN33" s="1" t="s">
        <v>47</v>
      </c>
      <c r="CO33" s="1" t="s">
        <v>47</v>
      </c>
      <c r="CP33" s="1" t="s">
        <v>47</v>
      </c>
      <c r="CQ33" s="1" t="s">
        <v>56</v>
      </c>
      <c r="CR33" s="1" t="s">
        <v>56</v>
      </c>
      <c r="CS33" s="1" t="s">
        <v>47</v>
      </c>
      <c r="CT33" s="1" t="s">
        <v>47</v>
      </c>
      <c r="CU33" s="1" t="s">
        <v>46</v>
      </c>
      <c r="CV33" s="1" t="s">
        <v>47</v>
      </c>
      <c r="CW33" s="1" t="s">
        <v>47</v>
      </c>
      <c r="CX33" s="1" t="s">
        <v>47</v>
      </c>
      <c r="CY33" s="1" t="s">
        <v>47</v>
      </c>
      <c r="CZ33" s="1" t="s">
        <v>47</v>
      </c>
      <c r="DA33" s="1" t="s">
        <v>47</v>
      </c>
      <c r="DB33" s="1" t="s">
        <v>47</v>
      </c>
      <c r="DC33" s="1" t="s">
        <v>47</v>
      </c>
      <c r="DD33" s="1" t="s">
        <v>46</v>
      </c>
      <c r="DE33" s="1" t="s">
        <v>56</v>
      </c>
      <c r="DF33" s="1" t="s">
        <v>46</v>
      </c>
      <c r="DG33" s="1" t="s">
        <v>47</v>
      </c>
      <c r="DH33" s="1" t="s">
        <v>47</v>
      </c>
      <c r="DI33" s="1" t="s">
        <v>56</v>
      </c>
      <c r="DJ33" s="1" t="s">
        <v>47</v>
      </c>
      <c r="DK33" s="1" t="s">
        <v>47</v>
      </c>
      <c r="DL33" s="1" t="s">
        <v>46</v>
      </c>
      <c r="DM33" s="1" t="s">
        <v>46</v>
      </c>
      <c r="DN33" s="1" t="s">
        <v>56</v>
      </c>
      <c r="DO33" s="1" t="s">
        <v>56</v>
      </c>
      <c r="DP33" s="1" t="s">
        <v>47</v>
      </c>
      <c r="DQ33" s="1" t="s">
        <v>47</v>
      </c>
      <c r="DR33" s="1" t="s">
        <v>47</v>
      </c>
      <c r="DS33" s="1" t="s">
        <v>47</v>
      </c>
      <c r="DT33" s="1" t="s">
        <v>46</v>
      </c>
      <c r="DU33" s="1" t="s">
        <v>47</v>
      </c>
      <c r="DV33" s="1" t="s">
        <v>47</v>
      </c>
      <c r="DW33" s="1" t="s">
        <v>47</v>
      </c>
      <c r="DX33" s="1" t="s">
        <v>47</v>
      </c>
      <c r="DY33" s="1" t="s">
        <v>47</v>
      </c>
      <c r="DZ33" s="1" t="s">
        <v>56</v>
      </c>
      <c r="EA33" s="1" t="s">
        <v>47</v>
      </c>
      <c r="EB33" s="1" t="s">
        <v>47</v>
      </c>
      <c r="EC33" s="1" t="s">
        <v>46</v>
      </c>
      <c r="ED33" s="1" t="s">
        <v>47</v>
      </c>
      <c r="EE33" s="1" t="s">
        <v>47</v>
      </c>
      <c r="EF33" s="1" t="s">
        <v>47</v>
      </c>
      <c r="EG33" s="1" t="s">
        <v>47</v>
      </c>
      <c r="EH33" s="1" t="s">
        <v>47</v>
      </c>
      <c r="EI33" s="1" t="s">
        <v>47</v>
      </c>
      <c r="EJ33" s="1" t="s">
        <v>47</v>
      </c>
      <c r="EK33" s="1" t="s">
        <v>46</v>
      </c>
      <c r="EL33" s="40" t="s">
        <v>47</v>
      </c>
      <c r="EM33" s="1" t="s">
        <v>47</v>
      </c>
      <c r="EN33" s="1" t="s">
        <v>47</v>
      </c>
      <c r="EO33" s="1" t="s">
        <v>47</v>
      </c>
      <c r="EP33" s="1" t="s">
        <v>47</v>
      </c>
      <c r="EQ33" s="1" t="s">
        <v>47</v>
      </c>
      <c r="ER33" s="1" t="s">
        <v>47</v>
      </c>
      <c r="ES33" s="1" t="s">
        <v>47</v>
      </c>
      <c r="ET33" s="1" t="s">
        <v>47</v>
      </c>
      <c r="EU33" s="1" t="s">
        <v>47</v>
      </c>
      <c r="EV33" s="1" t="s">
        <v>47</v>
      </c>
      <c r="EW33" s="1" t="s">
        <v>47</v>
      </c>
      <c r="EX33" s="1" t="s">
        <v>47</v>
      </c>
      <c r="EY33" s="1" t="s">
        <v>47</v>
      </c>
      <c r="EZ33" s="1" t="s">
        <v>47</v>
      </c>
      <c r="FA33" s="1" t="s">
        <v>46</v>
      </c>
      <c r="FB33" s="1" t="s">
        <v>47</v>
      </c>
      <c r="FC33" s="1" t="s">
        <v>47</v>
      </c>
      <c r="FD33" s="1" t="s">
        <v>46</v>
      </c>
      <c r="FE33" s="1" t="s">
        <v>47</v>
      </c>
      <c r="FF33" s="1" t="s">
        <v>47</v>
      </c>
      <c r="FG33" s="1" t="s">
        <v>47</v>
      </c>
      <c r="FH33" s="1" t="s">
        <v>47</v>
      </c>
    </row>
    <row r="34" spans="1:164" ht="31.5" customHeight="1" x14ac:dyDescent="0.2">
      <c r="A34" s="2" t="s">
        <v>31</v>
      </c>
      <c r="B34" s="1" t="s">
        <v>47</v>
      </c>
      <c r="C34" s="1" t="s">
        <v>46</v>
      </c>
      <c r="D34" s="1" t="s">
        <v>47</v>
      </c>
      <c r="E34" s="1" t="s">
        <v>47</v>
      </c>
      <c r="F34" s="1" t="s">
        <v>56</v>
      </c>
      <c r="G34" s="1" t="s">
        <v>56</v>
      </c>
      <c r="H34" s="1" t="s">
        <v>47</v>
      </c>
      <c r="I34" s="1" t="s">
        <v>56</v>
      </c>
      <c r="J34" s="1" t="s">
        <v>46</v>
      </c>
      <c r="K34" s="1" t="s">
        <v>46</v>
      </c>
      <c r="L34" s="1" t="s">
        <v>47</v>
      </c>
      <c r="M34" s="1" t="s">
        <v>46</v>
      </c>
      <c r="N34" s="1" t="s">
        <v>46</v>
      </c>
      <c r="O34" s="1" t="s">
        <v>46</v>
      </c>
      <c r="P34" s="1" t="s">
        <v>46</v>
      </c>
      <c r="Q34" s="1" t="s">
        <v>46</v>
      </c>
      <c r="R34" s="1" t="s">
        <v>46</v>
      </c>
      <c r="S34" s="1" t="s">
        <v>46</v>
      </c>
      <c r="T34" s="1" t="s">
        <v>47</v>
      </c>
      <c r="U34" s="1" t="s">
        <v>46</v>
      </c>
      <c r="V34" s="1" t="s">
        <v>46</v>
      </c>
      <c r="W34" s="1" t="s">
        <v>47</v>
      </c>
      <c r="X34" s="1" t="s">
        <v>46</v>
      </c>
      <c r="Y34" s="1" t="s">
        <v>47</v>
      </c>
      <c r="Z34" s="1" t="s">
        <v>46</v>
      </c>
      <c r="AA34" s="1" t="s">
        <v>46</v>
      </c>
      <c r="AB34" s="1" t="s">
        <v>56</v>
      </c>
      <c r="AC34" s="1" t="s">
        <v>46</v>
      </c>
      <c r="AD34" s="1" t="s">
        <v>46</v>
      </c>
      <c r="AE34" s="1" t="s">
        <v>46</v>
      </c>
      <c r="AF34" s="1" t="s">
        <v>47</v>
      </c>
      <c r="AG34" s="1" t="s">
        <v>46</v>
      </c>
      <c r="AH34" s="1" t="s">
        <v>46</v>
      </c>
      <c r="AI34" s="1" t="s">
        <v>46</v>
      </c>
      <c r="AJ34" s="1" t="s">
        <v>46</v>
      </c>
      <c r="AK34" s="1" t="s">
        <v>47</v>
      </c>
      <c r="AL34" s="1" t="s">
        <v>47</v>
      </c>
      <c r="AM34" s="1" t="s">
        <v>46</v>
      </c>
      <c r="AN34" s="1" t="s">
        <v>46</v>
      </c>
      <c r="AO34" s="1" t="s">
        <v>46</v>
      </c>
      <c r="AP34" s="1" t="s">
        <v>47</v>
      </c>
      <c r="AQ34" s="1" t="s">
        <v>47</v>
      </c>
      <c r="AR34" s="1" t="s">
        <v>46</v>
      </c>
      <c r="AS34" s="1" t="s">
        <v>46</v>
      </c>
      <c r="AT34" s="1" t="s">
        <v>47</v>
      </c>
      <c r="AU34" s="1" t="s">
        <v>46</v>
      </c>
      <c r="AV34" s="1" t="s">
        <v>47</v>
      </c>
      <c r="AW34" s="1" t="s">
        <v>46</v>
      </c>
      <c r="AX34" s="1" t="s">
        <v>46</v>
      </c>
      <c r="AY34" s="1" t="s">
        <v>46</v>
      </c>
      <c r="AZ34" s="1" t="s">
        <v>46</v>
      </c>
      <c r="BA34" s="1" t="s">
        <v>47</v>
      </c>
      <c r="BB34" s="1" t="s">
        <v>47</v>
      </c>
      <c r="BC34" s="1" t="s">
        <v>47</v>
      </c>
      <c r="BD34" s="1" t="s">
        <v>46</v>
      </c>
      <c r="BE34" s="1" t="s">
        <v>47</v>
      </c>
      <c r="BF34" s="1" t="s">
        <v>46</v>
      </c>
      <c r="BG34" s="1" t="s">
        <v>46</v>
      </c>
      <c r="BH34" s="1" t="s">
        <v>47</v>
      </c>
      <c r="BI34" s="1" t="s">
        <v>46</v>
      </c>
      <c r="BJ34" s="1" t="s">
        <v>46</v>
      </c>
      <c r="BK34" s="1" t="s">
        <v>46</v>
      </c>
      <c r="BL34" s="1" t="s">
        <v>46</v>
      </c>
      <c r="BM34" s="1" t="s">
        <v>47</v>
      </c>
      <c r="BN34" s="1" t="s">
        <v>46</v>
      </c>
      <c r="BO34" s="1" t="s">
        <v>46</v>
      </c>
      <c r="BP34" s="1" t="s">
        <v>46</v>
      </c>
      <c r="BQ34" s="1" t="s">
        <v>47</v>
      </c>
      <c r="BR34" s="1" t="s">
        <v>46</v>
      </c>
      <c r="BS34" s="1" t="s">
        <v>46</v>
      </c>
      <c r="BT34" s="1" t="s">
        <v>46</v>
      </c>
      <c r="BU34" s="1" t="s">
        <v>46</v>
      </c>
      <c r="BV34" s="1" t="s">
        <v>46</v>
      </c>
      <c r="BW34" s="1" t="s">
        <v>47</v>
      </c>
      <c r="BX34" s="1" t="s">
        <v>47</v>
      </c>
      <c r="BY34" s="1" t="s">
        <v>46</v>
      </c>
      <c r="BZ34" s="1" t="s">
        <v>46</v>
      </c>
      <c r="CA34" s="1" t="s">
        <v>56</v>
      </c>
      <c r="CB34" s="1" t="s">
        <v>46</v>
      </c>
      <c r="CC34" s="1" t="s">
        <v>47</v>
      </c>
      <c r="CD34" s="1" t="s">
        <v>47</v>
      </c>
      <c r="CE34" s="1" t="s">
        <v>46</v>
      </c>
      <c r="CF34" s="1" t="s">
        <v>46</v>
      </c>
      <c r="CG34" s="1" t="s">
        <v>46</v>
      </c>
      <c r="CH34" s="1" t="s">
        <v>56</v>
      </c>
      <c r="CI34" s="1" t="s">
        <v>46</v>
      </c>
      <c r="CJ34" s="1" t="s">
        <v>46</v>
      </c>
      <c r="CK34" s="1" t="s">
        <v>46</v>
      </c>
      <c r="CL34" s="1" t="s">
        <v>56</v>
      </c>
      <c r="CM34" s="1" t="s">
        <v>56</v>
      </c>
      <c r="CN34" s="1" t="s">
        <v>47</v>
      </c>
      <c r="CO34" s="1" t="s">
        <v>46</v>
      </c>
      <c r="CP34" s="1" t="s">
        <v>46</v>
      </c>
      <c r="CQ34" s="1" t="s">
        <v>56</v>
      </c>
      <c r="CR34" s="1" t="s">
        <v>56</v>
      </c>
      <c r="CS34" s="1" t="s">
        <v>47</v>
      </c>
      <c r="CT34" s="1" t="s">
        <v>47</v>
      </c>
      <c r="CU34" s="1" t="s">
        <v>46</v>
      </c>
      <c r="CV34" s="1" t="s">
        <v>46</v>
      </c>
      <c r="CW34" s="1" t="s">
        <v>46</v>
      </c>
      <c r="CX34" s="1" t="s">
        <v>47</v>
      </c>
      <c r="CY34" s="1" t="s">
        <v>47</v>
      </c>
      <c r="CZ34" s="1" t="s">
        <v>46</v>
      </c>
      <c r="DA34" s="1" t="s">
        <v>47</v>
      </c>
      <c r="DB34" s="1" t="s">
        <v>47</v>
      </c>
      <c r="DC34" s="1" t="s">
        <v>47</v>
      </c>
      <c r="DD34" s="1" t="s">
        <v>46</v>
      </c>
      <c r="DE34" s="1" t="s">
        <v>56</v>
      </c>
      <c r="DF34" s="1" t="s">
        <v>47</v>
      </c>
      <c r="DG34" s="1" t="s">
        <v>47</v>
      </c>
      <c r="DH34" s="1" t="s">
        <v>46</v>
      </c>
      <c r="DI34" s="1" t="s">
        <v>56</v>
      </c>
      <c r="DJ34" s="1" t="s">
        <v>46</v>
      </c>
      <c r="DK34" s="1" t="s">
        <v>47</v>
      </c>
      <c r="DL34" s="1" t="s">
        <v>46</v>
      </c>
      <c r="DM34" s="1" t="s">
        <v>47</v>
      </c>
      <c r="DN34" s="1" t="s">
        <v>56</v>
      </c>
      <c r="DO34" s="1" t="s">
        <v>56</v>
      </c>
      <c r="DP34" s="1" t="s">
        <v>46</v>
      </c>
      <c r="DQ34" s="1" t="s">
        <v>46</v>
      </c>
      <c r="DR34" s="1" t="s">
        <v>47</v>
      </c>
      <c r="DS34" s="1" t="s">
        <v>46</v>
      </c>
      <c r="DT34" s="1" t="s">
        <v>46</v>
      </c>
      <c r="DU34" s="1" t="s">
        <v>47</v>
      </c>
      <c r="DV34" s="1" t="s">
        <v>46</v>
      </c>
      <c r="DW34" s="1" t="s">
        <v>47</v>
      </c>
      <c r="DX34" s="1" t="s">
        <v>46</v>
      </c>
      <c r="DY34" s="1" t="s">
        <v>46</v>
      </c>
      <c r="DZ34" s="1" t="s">
        <v>56</v>
      </c>
      <c r="EA34" s="1" t="s">
        <v>46</v>
      </c>
      <c r="EB34" s="1" t="s">
        <v>47</v>
      </c>
      <c r="EC34" s="1" t="s">
        <v>46</v>
      </c>
      <c r="ED34" s="1" t="s">
        <v>47</v>
      </c>
      <c r="EE34" s="1" t="s">
        <v>47</v>
      </c>
      <c r="EF34" s="1" t="s">
        <v>46</v>
      </c>
      <c r="EG34" s="1" t="s">
        <v>46</v>
      </c>
      <c r="EH34" s="1" t="s">
        <v>47</v>
      </c>
      <c r="EI34" s="1" t="s">
        <v>46</v>
      </c>
      <c r="EJ34" s="1" t="s">
        <v>46</v>
      </c>
      <c r="EK34" s="1" t="s">
        <v>46</v>
      </c>
      <c r="EL34" s="40" t="s">
        <v>46</v>
      </c>
      <c r="EM34" s="1" t="s">
        <v>47</v>
      </c>
      <c r="EN34" s="1" t="s">
        <v>47</v>
      </c>
      <c r="EO34" s="1" t="s">
        <v>47</v>
      </c>
      <c r="EP34" s="1" t="s">
        <v>47</v>
      </c>
      <c r="EQ34" s="1" t="s">
        <v>46</v>
      </c>
      <c r="ER34" s="1" t="s">
        <v>46</v>
      </c>
      <c r="ES34" s="1" t="s">
        <v>47</v>
      </c>
      <c r="ET34" s="1" t="s">
        <v>46</v>
      </c>
      <c r="EU34" s="1" t="s">
        <v>46</v>
      </c>
      <c r="EV34" s="1" t="s">
        <v>46</v>
      </c>
      <c r="EW34" s="1" t="s">
        <v>46</v>
      </c>
      <c r="EX34" s="1" t="s">
        <v>47</v>
      </c>
      <c r="EY34" s="1" t="s">
        <v>46</v>
      </c>
      <c r="EZ34" s="1" t="s">
        <v>46</v>
      </c>
      <c r="FA34" s="1" t="s">
        <v>46</v>
      </c>
      <c r="FB34" s="1" t="s">
        <v>46</v>
      </c>
      <c r="FC34" s="1" t="s">
        <v>47</v>
      </c>
      <c r="FD34" s="1" t="s">
        <v>46</v>
      </c>
      <c r="FE34" s="1" t="s">
        <v>47</v>
      </c>
      <c r="FF34" s="1" t="s">
        <v>47</v>
      </c>
      <c r="FG34" s="1" t="s">
        <v>46</v>
      </c>
      <c r="FH34" s="1" t="s">
        <v>46</v>
      </c>
    </row>
    <row r="35" spans="1:164" ht="34.5" customHeight="1" x14ac:dyDescent="0.2">
      <c r="A35" s="2" t="s">
        <v>32</v>
      </c>
      <c r="B35" s="1" t="s">
        <v>47</v>
      </c>
      <c r="C35" s="1" t="s">
        <v>46</v>
      </c>
      <c r="D35" s="1" t="s">
        <v>47</v>
      </c>
      <c r="E35" s="1" t="s">
        <v>46</v>
      </c>
      <c r="F35" s="1" t="s">
        <v>56</v>
      </c>
      <c r="G35" s="1" t="s">
        <v>56</v>
      </c>
      <c r="H35" s="1" t="s">
        <v>47</v>
      </c>
      <c r="I35" s="1" t="s">
        <v>56</v>
      </c>
      <c r="J35" s="1" t="s">
        <v>46</v>
      </c>
      <c r="K35" s="1" t="s">
        <v>46</v>
      </c>
      <c r="L35" s="1" t="s">
        <v>46</v>
      </c>
      <c r="M35" s="1" t="s">
        <v>46</v>
      </c>
      <c r="N35" s="1" t="s">
        <v>47</v>
      </c>
      <c r="O35" s="1" t="s">
        <v>47</v>
      </c>
      <c r="P35" s="1" t="s">
        <v>47</v>
      </c>
      <c r="Q35" s="1" t="s">
        <v>46</v>
      </c>
      <c r="R35" s="1" t="s">
        <v>46</v>
      </c>
      <c r="S35" s="1" t="s">
        <v>47</v>
      </c>
      <c r="T35" s="1" t="s">
        <v>46</v>
      </c>
      <c r="U35" s="1" t="s">
        <v>46</v>
      </c>
      <c r="V35" s="1" t="s">
        <v>46</v>
      </c>
      <c r="W35" s="1" t="s">
        <v>47</v>
      </c>
      <c r="X35" s="1" t="s">
        <v>46</v>
      </c>
      <c r="Y35" s="1" t="s">
        <v>46</v>
      </c>
      <c r="Z35" s="1" t="s">
        <v>47</v>
      </c>
      <c r="AA35" s="1" t="s">
        <v>47</v>
      </c>
      <c r="AB35" s="1" t="s">
        <v>56</v>
      </c>
      <c r="AC35" s="1" t="s">
        <v>47</v>
      </c>
      <c r="AD35" s="1" t="s">
        <v>47</v>
      </c>
      <c r="AE35" s="1" t="s">
        <v>47</v>
      </c>
      <c r="AF35" s="1" t="s">
        <v>47</v>
      </c>
      <c r="AG35" s="1" t="s">
        <v>46</v>
      </c>
      <c r="AH35" s="1" t="s">
        <v>47</v>
      </c>
      <c r="AI35" s="1" t="s">
        <v>47</v>
      </c>
      <c r="AJ35" s="1" t="s">
        <v>46</v>
      </c>
      <c r="AK35" s="1" t="s">
        <v>47</v>
      </c>
      <c r="AL35" s="1" t="s">
        <v>47</v>
      </c>
      <c r="AM35" s="1" t="s">
        <v>46</v>
      </c>
      <c r="AN35" s="1" t="s">
        <v>47</v>
      </c>
      <c r="AO35" s="1" t="s">
        <v>46</v>
      </c>
      <c r="AP35" s="1" t="s">
        <v>47</v>
      </c>
      <c r="AQ35" s="1" t="s">
        <v>46</v>
      </c>
      <c r="AR35" s="1" t="s">
        <v>46</v>
      </c>
      <c r="AS35" s="1" t="s">
        <v>46</v>
      </c>
      <c r="AT35" s="1" t="s">
        <v>47</v>
      </c>
      <c r="AU35" s="1" t="s">
        <v>47</v>
      </c>
      <c r="AV35" s="1" t="s">
        <v>47</v>
      </c>
      <c r="AW35" s="1" t="s">
        <v>47</v>
      </c>
      <c r="AX35" s="1" t="s">
        <v>47</v>
      </c>
      <c r="AY35" s="1" t="s">
        <v>47</v>
      </c>
      <c r="AZ35" s="1" t="s">
        <v>46</v>
      </c>
      <c r="BA35" s="1" t="s">
        <v>46</v>
      </c>
      <c r="BB35" s="1" t="s">
        <v>47</v>
      </c>
      <c r="BC35" s="1" t="s">
        <v>47</v>
      </c>
      <c r="BD35" s="1" t="s">
        <v>47</v>
      </c>
      <c r="BE35" s="1" t="s">
        <v>47</v>
      </c>
      <c r="BF35" s="1" t="s">
        <v>46</v>
      </c>
      <c r="BG35" s="1" t="s">
        <v>46</v>
      </c>
      <c r="BH35" s="1" t="s">
        <v>46</v>
      </c>
      <c r="BI35" s="1" t="s">
        <v>47</v>
      </c>
      <c r="BJ35" s="1" t="s">
        <v>46</v>
      </c>
      <c r="BK35" s="1" t="s">
        <v>47</v>
      </c>
      <c r="BL35" s="1" t="s">
        <v>47</v>
      </c>
      <c r="BM35" s="1" t="s">
        <v>47</v>
      </c>
      <c r="BN35" s="1" t="s">
        <v>47</v>
      </c>
      <c r="BO35" s="1" t="s">
        <v>46</v>
      </c>
      <c r="BP35" s="1" t="s">
        <v>47</v>
      </c>
      <c r="BQ35" s="1" t="s">
        <v>47</v>
      </c>
      <c r="BR35" s="1" t="s">
        <v>47</v>
      </c>
      <c r="BS35" s="1" t="s">
        <v>47</v>
      </c>
      <c r="BT35" s="1" t="s">
        <v>46</v>
      </c>
      <c r="BU35" s="1" t="s">
        <v>46</v>
      </c>
      <c r="BV35" s="1" t="s">
        <v>46</v>
      </c>
      <c r="BW35" s="1" t="s">
        <v>46</v>
      </c>
      <c r="BX35" s="1" t="s">
        <v>47</v>
      </c>
      <c r="BY35" s="1" t="s">
        <v>46</v>
      </c>
      <c r="BZ35" s="1" t="s">
        <v>46</v>
      </c>
      <c r="CA35" s="1" t="s">
        <v>56</v>
      </c>
      <c r="CB35" s="1" t="s">
        <v>47</v>
      </c>
      <c r="CC35" s="1" t="s">
        <v>47</v>
      </c>
      <c r="CD35" s="1" t="s">
        <v>47</v>
      </c>
      <c r="CE35" s="1" t="s">
        <v>47</v>
      </c>
      <c r="CF35" s="1" t="s">
        <v>46</v>
      </c>
      <c r="CG35" s="1" t="s">
        <v>46</v>
      </c>
      <c r="CH35" s="1" t="s">
        <v>56</v>
      </c>
      <c r="CI35" s="1" t="s">
        <v>46</v>
      </c>
      <c r="CJ35" s="1" t="s">
        <v>46</v>
      </c>
      <c r="CK35" s="1" t="s">
        <v>46</v>
      </c>
      <c r="CL35" s="1" t="s">
        <v>56</v>
      </c>
      <c r="CM35" s="1" t="s">
        <v>56</v>
      </c>
      <c r="CN35" s="1" t="s">
        <v>46</v>
      </c>
      <c r="CO35" s="1" t="s">
        <v>46</v>
      </c>
      <c r="CP35" s="1" t="s">
        <v>47</v>
      </c>
      <c r="CQ35" s="1" t="s">
        <v>56</v>
      </c>
      <c r="CR35" s="1" t="s">
        <v>56</v>
      </c>
      <c r="CS35" s="1" t="s">
        <v>46</v>
      </c>
      <c r="CT35" s="1" t="s">
        <v>46</v>
      </c>
      <c r="CU35" s="1" t="s">
        <v>47</v>
      </c>
      <c r="CV35" s="1" t="s">
        <v>46</v>
      </c>
      <c r="CW35" s="1" t="s">
        <v>46</v>
      </c>
      <c r="CX35" s="1" t="s">
        <v>46</v>
      </c>
      <c r="CY35" s="1" t="s">
        <v>46</v>
      </c>
      <c r="CZ35" s="1" t="s">
        <v>47</v>
      </c>
      <c r="DA35" s="1" t="s">
        <v>47</v>
      </c>
      <c r="DB35" s="1" t="s">
        <v>47</v>
      </c>
      <c r="DC35" s="1" t="s">
        <v>46</v>
      </c>
      <c r="DD35" s="1" t="s">
        <v>46</v>
      </c>
      <c r="DE35" s="1" t="s">
        <v>56</v>
      </c>
      <c r="DF35" s="1" t="s">
        <v>47</v>
      </c>
      <c r="DG35" s="1" t="s">
        <v>46</v>
      </c>
      <c r="DH35" s="1" t="s">
        <v>46</v>
      </c>
      <c r="DI35" s="1" t="s">
        <v>56</v>
      </c>
      <c r="DJ35" s="1" t="s">
        <v>46</v>
      </c>
      <c r="DK35" s="1" t="s">
        <v>47</v>
      </c>
      <c r="DL35" s="1" t="s">
        <v>47</v>
      </c>
      <c r="DM35" s="1" t="s">
        <v>47</v>
      </c>
      <c r="DN35" s="1" t="s">
        <v>56</v>
      </c>
      <c r="DO35" s="1" t="s">
        <v>56</v>
      </c>
      <c r="DP35" s="1" t="s">
        <v>46</v>
      </c>
      <c r="DQ35" s="1" t="s">
        <v>46</v>
      </c>
      <c r="DR35" s="1" t="s">
        <v>47</v>
      </c>
      <c r="DS35" s="1" t="s">
        <v>46</v>
      </c>
      <c r="DT35" s="1" t="s">
        <v>47</v>
      </c>
      <c r="DU35" s="1" t="s">
        <v>46</v>
      </c>
      <c r="DV35" s="1" t="s">
        <v>46</v>
      </c>
      <c r="DW35" s="1" t="s">
        <v>46</v>
      </c>
      <c r="DX35" s="1" t="s">
        <v>47</v>
      </c>
      <c r="DY35" s="1" t="s">
        <v>47</v>
      </c>
      <c r="DZ35" s="1" t="s">
        <v>56</v>
      </c>
      <c r="EA35" s="1" t="s">
        <v>46</v>
      </c>
      <c r="EB35" s="1" t="s">
        <v>46</v>
      </c>
      <c r="EC35" s="1" t="s">
        <v>46</v>
      </c>
      <c r="ED35" s="1" t="s">
        <v>46</v>
      </c>
      <c r="EE35" s="1" t="s">
        <v>47</v>
      </c>
      <c r="EF35" s="1" t="s">
        <v>46</v>
      </c>
      <c r="EG35" s="1" t="s">
        <v>47</v>
      </c>
      <c r="EH35" s="1" t="s">
        <v>46</v>
      </c>
      <c r="EI35" s="1" t="s">
        <v>46</v>
      </c>
      <c r="EJ35" s="1" t="s">
        <v>46</v>
      </c>
      <c r="EK35" s="1" t="s">
        <v>47</v>
      </c>
      <c r="EL35" s="40" t="s">
        <v>47</v>
      </c>
      <c r="EM35" s="1" t="s">
        <v>47</v>
      </c>
      <c r="EN35" s="1" t="s">
        <v>47</v>
      </c>
      <c r="EO35" s="1" t="s">
        <v>47</v>
      </c>
      <c r="EP35" s="1" t="s">
        <v>46</v>
      </c>
      <c r="EQ35" s="1" t="s">
        <v>47</v>
      </c>
      <c r="ER35" s="1" t="s">
        <v>47</v>
      </c>
      <c r="ES35" s="1" t="s">
        <v>47</v>
      </c>
      <c r="ET35" s="1" t="s">
        <v>46</v>
      </c>
      <c r="EU35" s="1" t="s">
        <v>47</v>
      </c>
      <c r="EV35" s="1" t="s">
        <v>46</v>
      </c>
      <c r="EW35" s="1" t="s">
        <v>47</v>
      </c>
      <c r="EX35" s="1" t="s">
        <v>46</v>
      </c>
      <c r="EY35" s="1" t="s">
        <v>46</v>
      </c>
      <c r="EZ35" s="1" t="s">
        <v>46</v>
      </c>
      <c r="FA35" s="1" t="s">
        <v>47</v>
      </c>
      <c r="FB35" s="1" t="s">
        <v>46</v>
      </c>
      <c r="FC35" s="1" t="s">
        <v>47</v>
      </c>
      <c r="FD35" s="1" t="s">
        <v>46</v>
      </c>
      <c r="FE35" s="1" t="s">
        <v>46</v>
      </c>
      <c r="FF35" s="1" t="s">
        <v>47</v>
      </c>
      <c r="FG35" s="1" t="s">
        <v>46</v>
      </c>
      <c r="FH35" s="1" t="s">
        <v>46</v>
      </c>
    </row>
    <row r="36" spans="1:164" ht="30.75" customHeight="1" x14ac:dyDescent="0.2">
      <c r="A36" s="2" t="s">
        <v>33</v>
      </c>
      <c r="B36" s="1" t="s">
        <v>46</v>
      </c>
      <c r="C36" s="1" t="s">
        <v>46</v>
      </c>
      <c r="D36" s="1" t="s">
        <v>47</v>
      </c>
      <c r="E36" s="1" t="s">
        <v>47</v>
      </c>
      <c r="F36" s="1" t="s">
        <v>56</v>
      </c>
      <c r="G36" s="1" t="s">
        <v>56</v>
      </c>
      <c r="H36" s="1" t="s">
        <v>47</v>
      </c>
      <c r="I36" s="1" t="s">
        <v>56</v>
      </c>
      <c r="J36" s="1" t="s">
        <v>46</v>
      </c>
      <c r="K36" s="1" t="s">
        <v>46</v>
      </c>
      <c r="L36" s="1" t="s">
        <v>46</v>
      </c>
      <c r="M36" s="1" t="s">
        <v>46</v>
      </c>
      <c r="N36" s="1" t="s">
        <v>46</v>
      </c>
      <c r="O36" s="1" t="s">
        <v>46</v>
      </c>
      <c r="P36" s="1" t="s">
        <v>46</v>
      </c>
      <c r="Q36" s="1" t="s">
        <v>46</v>
      </c>
      <c r="R36" s="1" t="s">
        <v>46</v>
      </c>
      <c r="S36" s="1" t="s">
        <v>46</v>
      </c>
      <c r="T36" s="1" t="s">
        <v>47</v>
      </c>
      <c r="U36" s="1" t="s">
        <v>47</v>
      </c>
      <c r="V36" s="1" t="s">
        <v>47</v>
      </c>
      <c r="W36" s="1" t="s">
        <v>47</v>
      </c>
      <c r="X36" s="1" t="s">
        <v>47</v>
      </c>
      <c r="Y36" s="1" t="s">
        <v>46</v>
      </c>
      <c r="Z36" s="1" t="s">
        <v>46</v>
      </c>
      <c r="AA36" s="1" t="s">
        <v>46</v>
      </c>
      <c r="AB36" s="1" t="s">
        <v>56</v>
      </c>
      <c r="AC36" s="1" t="s">
        <v>46</v>
      </c>
      <c r="AD36" s="1" t="s">
        <v>46</v>
      </c>
      <c r="AE36" s="1" t="s">
        <v>47</v>
      </c>
      <c r="AF36" s="1" t="s">
        <v>46</v>
      </c>
      <c r="AG36" s="1" t="s">
        <v>46</v>
      </c>
      <c r="AH36" s="1" t="s">
        <v>46</v>
      </c>
      <c r="AI36" s="1" t="s">
        <v>46</v>
      </c>
      <c r="AJ36" s="1" t="s">
        <v>47</v>
      </c>
      <c r="AK36" s="1" t="s">
        <v>46</v>
      </c>
      <c r="AL36" s="1" t="s">
        <v>46</v>
      </c>
      <c r="AM36" s="1" t="s">
        <v>46</v>
      </c>
      <c r="AN36" s="1" t="s">
        <v>46</v>
      </c>
      <c r="AO36" s="1" t="s">
        <v>47</v>
      </c>
      <c r="AP36" s="1" t="s">
        <v>47</v>
      </c>
      <c r="AQ36" s="1" t="s">
        <v>46</v>
      </c>
      <c r="AR36" s="1" t="s">
        <v>46</v>
      </c>
      <c r="AS36" s="1" t="s">
        <v>47</v>
      </c>
      <c r="AT36" s="1" t="s">
        <v>46</v>
      </c>
      <c r="AU36" s="1" t="s">
        <v>46</v>
      </c>
      <c r="AV36" s="1" t="s">
        <v>46</v>
      </c>
      <c r="AW36" s="1" t="s">
        <v>46</v>
      </c>
      <c r="AX36" s="1" t="s">
        <v>46</v>
      </c>
      <c r="AY36" s="1" t="s">
        <v>46</v>
      </c>
      <c r="AZ36" s="1" t="s">
        <v>47</v>
      </c>
      <c r="BA36" s="1" t="s">
        <v>46</v>
      </c>
      <c r="BB36" s="1" t="s">
        <v>46</v>
      </c>
      <c r="BC36" s="1" t="s">
        <v>47</v>
      </c>
      <c r="BD36" s="1" t="s">
        <v>46</v>
      </c>
      <c r="BE36" s="1" t="s">
        <v>46</v>
      </c>
      <c r="BF36" s="1" t="s">
        <v>46</v>
      </c>
      <c r="BG36" s="1" t="s">
        <v>46</v>
      </c>
      <c r="BH36" s="1" t="s">
        <v>46</v>
      </c>
      <c r="BI36" s="1" t="s">
        <v>46</v>
      </c>
      <c r="BJ36" s="1" t="s">
        <v>47</v>
      </c>
      <c r="BK36" s="1" t="s">
        <v>46</v>
      </c>
      <c r="BL36" s="1" t="s">
        <v>46</v>
      </c>
      <c r="BM36" s="1" t="s">
        <v>46</v>
      </c>
      <c r="BN36" s="1" t="s">
        <v>46</v>
      </c>
      <c r="BO36" s="1" t="s">
        <v>47</v>
      </c>
      <c r="BP36" s="1" t="s">
        <v>46</v>
      </c>
      <c r="BQ36" s="1" t="s">
        <v>46</v>
      </c>
      <c r="BR36" s="1" t="s">
        <v>46</v>
      </c>
      <c r="BS36" s="1" t="s">
        <v>47</v>
      </c>
      <c r="BT36" s="1" t="s">
        <v>46</v>
      </c>
      <c r="BU36" s="1" t="s">
        <v>46</v>
      </c>
      <c r="BV36" s="1" t="s">
        <v>46</v>
      </c>
      <c r="BW36" s="1" t="s">
        <v>46</v>
      </c>
      <c r="BX36" s="1" t="s">
        <v>46</v>
      </c>
      <c r="BY36" s="1" t="s">
        <v>46</v>
      </c>
      <c r="BZ36" s="1" t="s">
        <v>46</v>
      </c>
      <c r="CA36" s="1" t="s">
        <v>56</v>
      </c>
      <c r="CB36" s="1" t="s">
        <v>47</v>
      </c>
      <c r="CC36" s="1" t="s">
        <v>47</v>
      </c>
      <c r="CD36" s="1" t="s">
        <v>46</v>
      </c>
      <c r="CE36" s="1" t="s">
        <v>46</v>
      </c>
      <c r="CF36" s="1" t="s">
        <v>47</v>
      </c>
      <c r="CG36" s="1" t="s">
        <v>46</v>
      </c>
      <c r="CH36" s="1" t="s">
        <v>56</v>
      </c>
      <c r="CI36" s="1" t="s">
        <v>47</v>
      </c>
      <c r="CJ36" s="1" t="s">
        <v>47</v>
      </c>
      <c r="CK36" s="1" t="s">
        <v>47</v>
      </c>
      <c r="CL36" s="1" t="s">
        <v>56</v>
      </c>
      <c r="CM36" s="1" t="s">
        <v>56</v>
      </c>
      <c r="CN36" s="1" t="s">
        <v>47</v>
      </c>
      <c r="CO36" s="1" t="s">
        <v>47</v>
      </c>
      <c r="CP36" s="1" t="s">
        <v>46</v>
      </c>
      <c r="CQ36" s="1" t="s">
        <v>56</v>
      </c>
      <c r="CR36" s="1" t="s">
        <v>56</v>
      </c>
      <c r="CS36" s="1" t="s">
        <v>46</v>
      </c>
      <c r="CT36" s="1" t="s">
        <v>46</v>
      </c>
      <c r="CU36" s="1" t="s">
        <v>46</v>
      </c>
      <c r="CV36" s="1" t="s">
        <v>47</v>
      </c>
      <c r="CW36" s="1" t="s">
        <v>47</v>
      </c>
      <c r="CX36" s="1" t="s">
        <v>46</v>
      </c>
      <c r="CY36" s="1" t="s">
        <v>46</v>
      </c>
      <c r="CZ36" s="1" t="s">
        <v>46</v>
      </c>
      <c r="DA36" s="1" t="s">
        <v>47</v>
      </c>
      <c r="DB36" s="1" t="s">
        <v>46</v>
      </c>
      <c r="DC36" s="1" t="s">
        <v>46</v>
      </c>
      <c r="DD36" s="1" t="s">
        <v>47</v>
      </c>
      <c r="DE36" s="1" t="s">
        <v>56</v>
      </c>
      <c r="DF36" s="1" t="s">
        <v>46</v>
      </c>
      <c r="DG36" s="1" t="s">
        <v>46</v>
      </c>
      <c r="DH36" s="1" t="s">
        <v>46</v>
      </c>
      <c r="DI36" s="1" t="s">
        <v>56</v>
      </c>
      <c r="DJ36" s="1" t="s">
        <v>46</v>
      </c>
      <c r="DK36" s="1" t="s">
        <v>46</v>
      </c>
      <c r="DL36" s="1" t="s">
        <v>46</v>
      </c>
      <c r="DM36" s="1" t="s">
        <v>46</v>
      </c>
      <c r="DN36" s="1" t="s">
        <v>56</v>
      </c>
      <c r="DO36" s="1" t="s">
        <v>56</v>
      </c>
      <c r="DP36" s="1" t="s">
        <v>47</v>
      </c>
      <c r="DQ36" s="1" t="s">
        <v>46</v>
      </c>
      <c r="DR36" s="1" t="s">
        <v>47</v>
      </c>
      <c r="DS36" s="1" t="s">
        <v>47</v>
      </c>
      <c r="DT36" s="1" t="s">
        <v>46</v>
      </c>
      <c r="DU36" s="1" t="s">
        <v>47</v>
      </c>
      <c r="DV36" s="1" t="s">
        <v>46</v>
      </c>
      <c r="DW36" s="1" t="s">
        <v>46</v>
      </c>
      <c r="DX36" s="1" t="s">
        <v>46</v>
      </c>
      <c r="DY36" s="1" t="s">
        <v>46</v>
      </c>
      <c r="DZ36" s="1" t="s">
        <v>56</v>
      </c>
      <c r="EA36" s="1" t="s">
        <v>46</v>
      </c>
      <c r="EB36" s="1" t="s">
        <v>46</v>
      </c>
      <c r="EC36" s="1" t="s">
        <v>46</v>
      </c>
      <c r="ED36" s="1" t="s">
        <v>46</v>
      </c>
      <c r="EE36" s="1" t="s">
        <v>46</v>
      </c>
      <c r="EF36" s="1" t="s">
        <v>46</v>
      </c>
      <c r="EG36" s="1" t="s">
        <v>47</v>
      </c>
      <c r="EH36" s="1" t="s">
        <v>46</v>
      </c>
      <c r="EI36" s="1" t="s">
        <v>46</v>
      </c>
      <c r="EJ36" s="1" t="s">
        <v>46</v>
      </c>
      <c r="EK36" s="1" t="s">
        <v>47</v>
      </c>
      <c r="EL36" s="40" t="s">
        <v>46</v>
      </c>
      <c r="EM36" s="1" t="s">
        <v>46</v>
      </c>
      <c r="EN36" s="1" t="s">
        <v>46</v>
      </c>
      <c r="EO36" s="1" t="s">
        <v>47</v>
      </c>
      <c r="EP36" s="1" t="s">
        <v>46</v>
      </c>
      <c r="EQ36" s="1" t="s">
        <v>47</v>
      </c>
      <c r="ER36" s="1" t="s">
        <v>47</v>
      </c>
      <c r="ES36" s="1" t="s">
        <v>47</v>
      </c>
      <c r="ET36" s="1" t="s">
        <v>47</v>
      </c>
      <c r="EU36" s="1" t="s">
        <v>46</v>
      </c>
      <c r="EV36" s="1" t="s">
        <v>46</v>
      </c>
      <c r="EW36" s="1" t="s">
        <v>46</v>
      </c>
      <c r="EX36" s="1" t="s">
        <v>47</v>
      </c>
      <c r="EY36" s="1" t="s">
        <v>46</v>
      </c>
      <c r="EZ36" s="1" t="s">
        <v>46</v>
      </c>
      <c r="FA36" s="1" t="s">
        <v>47</v>
      </c>
      <c r="FB36" s="1" t="s">
        <v>47</v>
      </c>
      <c r="FC36" s="1" t="s">
        <v>46</v>
      </c>
      <c r="FD36" s="1" t="s">
        <v>47</v>
      </c>
      <c r="FE36" s="1" t="s">
        <v>47</v>
      </c>
      <c r="FF36" s="1" t="s">
        <v>46</v>
      </c>
      <c r="FG36" s="1" t="s">
        <v>46</v>
      </c>
      <c r="FH36" s="1" t="s">
        <v>46</v>
      </c>
    </row>
    <row r="37" spans="1:164" ht="33.75" customHeight="1" x14ac:dyDescent="0.2">
      <c r="A37" s="2" t="s">
        <v>34</v>
      </c>
      <c r="B37" s="1" t="s">
        <v>47</v>
      </c>
      <c r="C37" s="1" t="s">
        <v>47</v>
      </c>
      <c r="D37" s="1" t="s">
        <v>47</v>
      </c>
      <c r="E37" s="1" t="s">
        <v>47</v>
      </c>
      <c r="F37" s="1" t="s">
        <v>56</v>
      </c>
      <c r="G37" s="1" t="s">
        <v>56</v>
      </c>
      <c r="H37" s="1" t="s">
        <v>47</v>
      </c>
      <c r="I37" s="1" t="s">
        <v>56</v>
      </c>
      <c r="J37" s="1" t="s">
        <v>47</v>
      </c>
      <c r="K37" s="1" t="s">
        <v>47</v>
      </c>
      <c r="L37" s="1" t="s">
        <v>46</v>
      </c>
      <c r="M37" s="1" t="s">
        <v>47</v>
      </c>
      <c r="N37" s="1" t="s">
        <v>47</v>
      </c>
      <c r="O37" s="1" t="s">
        <v>47</v>
      </c>
      <c r="P37" s="1" t="s">
        <v>47</v>
      </c>
      <c r="Q37" s="1" t="s">
        <v>46</v>
      </c>
      <c r="R37" s="1" t="s">
        <v>47</v>
      </c>
      <c r="S37" s="1" t="s">
        <v>47</v>
      </c>
      <c r="T37" s="1" t="s">
        <v>47</v>
      </c>
      <c r="U37" s="1" t="s">
        <v>46</v>
      </c>
      <c r="V37" s="1" t="s">
        <v>47</v>
      </c>
      <c r="W37" s="1" t="s">
        <v>47</v>
      </c>
      <c r="X37" s="1" t="s">
        <v>46</v>
      </c>
      <c r="Y37" s="1" t="s">
        <v>47</v>
      </c>
      <c r="Z37" s="1" t="s">
        <v>46</v>
      </c>
      <c r="AA37" s="1" t="s">
        <v>47</v>
      </c>
      <c r="AB37" s="1" t="s">
        <v>56</v>
      </c>
      <c r="AC37" s="1" t="s">
        <v>47</v>
      </c>
      <c r="AD37" s="1" t="s">
        <v>47</v>
      </c>
      <c r="AE37" s="1" t="s">
        <v>47</v>
      </c>
      <c r="AF37" s="1" t="s">
        <v>46</v>
      </c>
      <c r="AG37" s="1" t="s">
        <v>47</v>
      </c>
      <c r="AH37" s="1" t="s">
        <v>47</v>
      </c>
      <c r="AI37" s="1" t="s">
        <v>47</v>
      </c>
      <c r="AJ37" s="1" t="s">
        <v>47</v>
      </c>
      <c r="AK37" s="1" t="s">
        <v>47</v>
      </c>
      <c r="AL37" s="1" t="s">
        <v>47</v>
      </c>
      <c r="AM37" s="1" t="s">
        <v>47</v>
      </c>
      <c r="AN37" s="1" t="s">
        <v>47</v>
      </c>
      <c r="AO37" s="1" t="s">
        <v>47</v>
      </c>
      <c r="AP37" s="1" t="s">
        <v>47</v>
      </c>
      <c r="AQ37" s="1" t="s">
        <v>47</v>
      </c>
      <c r="AR37" s="1" t="s">
        <v>46</v>
      </c>
      <c r="AS37" s="1" t="s">
        <v>46</v>
      </c>
      <c r="AT37" s="1" t="s">
        <v>47</v>
      </c>
      <c r="AU37" s="1" t="s">
        <v>47</v>
      </c>
      <c r="AV37" s="1" t="s">
        <v>47</v>
      </c>
      <c r="AW37" s="1" t="s">
        <v>47</v>
      </c>
      <c r="AX37" s="1" t="s">
        <v>47</v>
      </c>
      <c r="AY37" s="1" t="s">
        <v>47</v>
      </c>
      <c r="AZ37" s="1" t="s">
        <v>47</v>
      </c>
      <c r="BA37" s="1" t="s">
        <v>47</v>
      </c>
      <c r="BB37" s="1" t="s">
        <v>47</v>
      </c>
      <c r="BC37" s="1" t="s">
        <v>47</v>
      </c>
      <c r="BD37" s="1" t="s">
        <v>47</v>
      </c>
      <c r="BE37" s="1" t="s">
        <v>47</v>
      </c>
      <c r="BF37" s="1" t="s">
        <v>47</v>
      </c>
      <c r="BG37" s="1" t="s">
        <v>47</v>
      </c>
      <c r="BH37" s="1" t="s">
        <v>47</v>
      </c>
      <c r="BI37" s="1" t="s">
        <v>47</v>
      </c>
      <c r="BJ37" s="1" t="s">
        <v>46</v>
      </c>
      <c r="BK37" s="1" t="s">
        <v>47</v>
      </c>
      <c r="BL37" s="1" t="s">
        <v>46</v>
      </c>
      <c r="BM37" s="1" t="s">
        <v>47</v>
      </c>
      <c r="BN37" s="1" t="s">
        <v>47</v>
      </c>
      <c r="BO37" s="1" t="s">
        <v>47</v>
      </c>
      <c r="BP37" s="1" t="s">
        <v>47</v>
      </c>
      <c r="BQ37" s="1" t="s">
        <v>47</v>
      </c>
      <c r="BR37" s="1" t="s">
        <v>47</v>
      </c>
      <c r="BS37" s="1" t="s">
        <v>46</v>
      </c>
      <c r="BT37" s="1" t="s">
        <v>46</v>
      </c>
      <c r="BU37" s="1" t="s">
        <v>47</v>
      </c>
      <c r="BV37" s="1" t="s">
        <v>47</v>
      </c>
      <c r="BW37" s="1" t="s">
        <v>47</v>
      </c>
      <c r="BX37" s="1" t="s">
        <v>47</v>
      </c>
      <c r="BY37" s="1" t="s">
        <v>47</v>
      </c>
      <c r="BZ37" s="1" t="s">
        <v>47</v>
      </c>
      <c r="CA37" s="1" t="s">
        <v>56</v>
      </c>
      <c r="CB37" s="1" t="s">
        <v>46</v>
      </c>
      <c r="CC37" s="1" t="s">
        <v>47</v>
      </c>
      <c r="CD37" s="1" t="s">
        <v>47</v>
      </c>
      <c r="CE37" s="1" t="s">
        <v>47</v>
      </c>
      <c r="CF37" s="1" t="s">
        <v>47</v>
      </c>
      <c r="CG37" s="1" t="s">
        <v>46</v>
      </c>
      <c r="CH37" s="1" t="s">
        <v>56</v>
      </c>
      <c r="CI37" s="1" t="s">
        <v>46</v>
      </c>
      <c r="CJ37" s="1" t="s">
        <v>47</v>
      </c>
      <c r="CK37" s="1" t="s">
        <v>47</v>
      </c>
      <c r="CL37" s="1" t="s">
        <v>56</v>
      </c>
      <c r="CM37" s="1" t="s">
        <v>56</v>
      </c>
      <c r="CN37" s="1" t="s">
        <v>47</v>
      </c>
      <c r="CO37" s="1" t="s">
        <v>47</v>
      </c>
      <c r="CP37" s="1" t="s">
        <v>47</v>
      </c>
      <c r="CQ37" s="1" t="s">
        <v>56</v>
      </c>
      <c r="CR37" s="1" t="s">
        <v>56</v>
      </c>
      <c r="CS37" s="1" t="s">
        <v>47</v>
      </c>
      <c r="CT37" s="1" t="s">
        <v>47</v>
      </c>
      <c r="CU37" s="1" t="s">
        <v>47</v>
      </c>
      <c r="CV37" s="1" t="s">
        <v>47</v>
      </c>
      <c r="CW37" s="1" t="s">
        <v>46</v>
      </c>
      <c r="CX37" s="1" t="s">
        <v>47</v>
      </c>
      <c r="CY37" s="1" t="s">
        <v>47</v>
      </c>
      <c r="CZ37" s="1" t="s">
        <v>47</v>
      </c>
      <c r="DA37" s="1" t="s">
        <v>47</v>
      </c>
      <c r="DB37" s="1" t="s">
        <v>47</v>
      </c>
      <c r="DC37" s="1" t="s">
        <v>47</v>
      </c>
      <c r="DD37" s="1" t="s">
        <v>47</v>
      </c>
      <c r="DE37" s="1" t="s">
        <v>56</v>
      </c>
      <c r="DF37" s="1" t="s">
        <v>47</v>
      </c>
      <c r="DG37" s="1" t="s">
        <v>46</v>
      </c>
      <c r="DH37" s="1" t="s">
        <v>46</v>
      </c>
      <c r="DI37" s="1" t="s">
        <v>56</v>
      </c>
      <c r="DJ37" s="1" t="s">
        <v>47</v>
      </c>
      <c r="DK37" s="1" t="s">
        <v>47</v>
      </c>
      <c r="DL37" s="1" t="s">
        <v>47</v>
      </c>
      <c r="DM37" s="1" t="s">
        <v>47</v>
      </c>
      <c r="DN37" s="1" t="s">
        <v>56</v>
      </c>
      <c r="DO37" s="1" t="s">
        <v>56</v>
      </c>
      <c r="DP37" s="1" t="s">
        <v>46</v>
      </c>
      <c r="DQ37" s="1" t="s">
        <v>47</v>
      </c>
      <c r="DR37" s="1" t="s">
        <v>47</v>
      </c>
      <c r="DS37" s="1" t="s">
        <v>46</v>
      </c>
      <c r="DT37" s="1" t="s">
        <v>47</v>
      </c>
      <c r="DU37" s="1" t="s">
        <v>46</v>
      </c>
      <c r="DV37" s="1" t="s">
        <v>47</v>
      </c>
      <c r="DW37" s="1" t="s">
        <v>47</v>
      </c>
      <c r="DX37" s="1" t="s">
        <v>47</v>
      </c>
      <c r="DY37" s="1" t="s">
        <v>47</v>
      </c>
      <c r="DZ37" s="1" t="s">
        <v>56</v>
      </c>
      <c r="EA37" s="1" t="s">
        <v>46</v>
      </c>
      <c r="EB37" s="1" t="s">
        <v>47</v>
      </c>
      <c r="EC37" s="1" t="s">
        <v>47</v>
      </c>
      <c r="ED37" s="1" t="s">
        <v>46</v>
      </c>
      <c r="EE37" s="1" t="s">
        <v>47</v>
      </c>
      <c r="EF37" s="1" t="s">
        <v>46</v>
      </c>
      <c r="EG37" s="1" t="s">
        <v>47</v>
      </c>
      <c r="EH37" s="1" t="s">
        <v>46</v>
      </c>
      <c r="EI37" s="1" t="s">
        <v>47</v>
      </c>
      <c r="EJ37" s="1" t="s">
        <v>46</v>
      </c>
      <c r="EK37" s="1" t="s">
        <v>47</v>
      </c>
      <c r="EL37" s="40" t="s">
        <v>47</v>
      </c>
      <c r="EM37" s="1" t="s">
        <v>47</v>
      </c>
      <c r="EN37" s="1" t="s">
        <v>47</v>
      </c>
      <c r="EO37" s="1" t="s">
        <v>47</v>
      </c>
      <c r="EP37" s="1" t="s">
        <v>47</v>
      </c>
      <c r="EQ37" s="1" t="s">
        <v>47</v>
      </c>
      <c r="ER37" s="1" t="s">
        <v>47</v>
      </c>
      <c r="ES37" s="1" t="s">
        <v>47</v>
      </c>
      <c r="ET37" s="1" t="s">
        <v>46</v>
      </c>
      <c r="EU37" s="1" t="s">
        <v>46</v>
      </c>
      <c r="EV37" s="1" t="s">
        <v>47</v>
      </c>
      <c r="EW37" s="1" t="s">
        <v>47</v>
      </c>
      <c r="EX37" s="1" t="s">
        <v>47</v>
      </c>
      <c r="EY37" s="1" t="s">
        <v>47</v>
      </c>
      <c r="EZ37" s="1" t="s">
        <v>47</v>
      </c>
      <c r="FA37" s="1" t="s">
        <v>47</v>
      </c>
      <c r="FB37" s="1" t="s">
        <v>47</v>
      </c>
      <c r="FC37" s="1" t="s">
        <v>47</v>
      </c>
      <c r="FD37" s="1" t="s">
        <v>47</v>
      </c>
      <c r="FE37" s="1" t="s">
        <v>47</v>
      </c>
      <c r="FF37" s="1" t="s">
        <v>47</v>
      </c>
      <c r="FG37" s="1" t="s">
        <v>46</v>
      </c>
      <c r="FH37" s="1" t="s">
        <v>47</v>
      </c>
    </row>
    <row r="38" spans="1:164" ht="30" customHeight="1" x14ac:dyDescent="0.2">
      <c r="A38" s="2" t="s">
        <v>35</v>
      </c>
      <c r="B38" s="1" t="s">
        <v>47</v>
      </c>
      <c r="C38" s="1" t="s">
        <v>46</v>
      </c>
      <c r="D38" s="1" t="s">
        <v>46</v>
      </c>
      <c r="E38" s="1" t="s">
        <v>47</v>
      </c>
      <c r="F38" s="1" t="s">
        <v>56</v>
      </c>
      <c r="G38" s="1" t="s">
        <v>56</v>
      </c>
      <c r="H38" s="1" t="s">
        <v>47</v>
      </c>
      <c r="I38" s="1" t="s">
        <v>56</v>
      </c>
      <c r="J38" s="1" t="s">
        <v>46</v>
      </c>
      <c r="K38" s="1" t="s">
        <v>46</v>
      </c>
      <c r="L38" s="1" t="s">
        <v>47</v>
      </c>
      <c r="M38" s="1" t="s">
        <v>46</v>
      </c>
      <c r="N38" s="1" t="s">
        <v>46</v>
      </c>
      <c r="O38" s="1" t="s">
        <v>46</v>
      </c>
      <c r="P38" s="1" t="s">
        <v>47</v>
      </c>
      <c r="Q38" s="1" t="s">
        <v>46</v>
      </c>
      <c r="R38" s="1" t="s">
        <v>47</v>
      </c>
      <c r="S38" s="1" t="s">
        <v>46</v>
      </c>
      <c r="T38" s="1" t="s">
        <v>47</v>
      </c>
      <c r="U38" s="1" t="s">
        <v>46</v>
      </c>
      <c r="V38" s="1" t="s">
        <v>46</v>
      </c>
      <c r="W38" s="1" t="s">
        <v>46</v>
      </c>
      <c r="X38" s="1" t="s">
        <v>46</v>
      </c>
      <c r="Y38" s="1" t="s">
        <v>47</v>
      </c>
      <c r="Z38" s="1" t="s">
        <v>46</v>
      </c>
      <c r="AA38" s="1" t="s">
        <v>46</v>
      </c>
      <c r="AB38" s="1" t="s">
        <v>56</v>
      </c>
      <c r="AC38" s="1" t="s">
        <v>47</v>
      </c>
      <c r="AD38" s="1" t="s">
        <v>46</v>
      </c>
      <c r="AE38" s="1" t="s">
        <v>47</v>
      </c>
      <c r="AF38" s="1" t="s">
        <v>47</v>
      </c>
      <c r="AG38" s="1" t="s">
        <v>46</v>
      </c>
      <c r="AH38" s="1" t="s">
        <v>47</v>
      </c>
      <c r="AI38" s="1" t="s">
        <v>46</v>
      </c>
      <c r="AJ38" s="1" t="s">
        <v>47</v>
      </c>
      <c r="AK38" s="1" t="s">
        <v>46</v>
      </c>
      <c r="AL38" s="1" t="s">
        <v>46</v>
      </c>
      <c r="AM38" s="1" t="s">
        <v>47</v>
      </c>
      <c r="AN38" s="1" t="s">
        <v>46</v>
      </c>
      <c r="AO38" s="1" t="s">
        <v>46</v>
      </c>
      <c r="AP38" s="1" t="s">
        <v>47</v>
      </c>
      <c r="AQ38" s="1" t="s">
        <v>47</v>
      </c>
      <c r="AR38" s="1" t="s">
        <v>47</v>
      </c>
      <c r="AS38" s="1" t="s">
        <v>46</v>
      </c>
      <c r="AT38" s="1" t="s">
        <v>47</v>
      </c>
      <c r="AU38" s="1" t="s">
        <v>46</v>
      </c>
      <c r="AV38" s="1" t="s">
        <v>46</v>
      </c>
      <c r="AW38" s="1" t="s">
        <v>46</v>
      </c>
      <c r="AX38" s="1" t="s">
        <v>47</v>
      </c>
      <c r="AY38" s="1" t="s">
        <v>46</v>
      </c>
      <c r="AZ38" s="1" t="s">
        <v>46</v>
      </c>
      <c r="BA38" s="1" t="s">
        <v>47</v>
      </c>
      <c r="BB38" s="1" t="s">
        <v>46</v>
      </c>
      <c r="BC38" s="1" t="s">
        <v>47</v>
      </c>
      <c r="BD38" s="1" t="s">
        <v>46</v>
      </c>
      <c r="BE38" s="1" t="s">
        <v>47</v>
      </c>
      <c r="BF38" s="1" t="s">
        <v>47</v>
      </c>
      <c r="BG38" s="1" t="s">
        <v>46</v>
      </c>
      <c r="BH38" s="1" t="s">
        <v>46</v>
      </c>
      <c r="BI38" s="1" t="s">
        <v>47</v>
      </c>
      <c r="BJ38" s="1" t="s">
        <v>46</v>
      </c>
      <c r="BK38" s="1" t="s">
        <v>46</v>
      </c>
      <c r="BL38" s="1" t="s">
        <v>46</v>
      </c>
      <c r="BM38" s="1" t="s">
        <v>46</v>
      </c>
      <c r="BN38" s="1" t="s">
        <v>46</v>
      </c>
      <c r="BO38" s="1" t="s">
        <v>47</v>
      </c>
      <c r="BP38" s="1" t="s">
        <v>46</v>
      </c>
      <c r="BQ38" s="1" t="s">
        <v>46</v>
      </c>
      <c r="BR38" s="1" t="s">
        <v>47</v>
      </c>
      <c r="BS38" s="1" t="s">
        <v>46</v>
      </c>
      <c r="BT38" s="1" t="s">
        <v>46</v>
      </c>
      <c r="BU38" s="1" t="s">
        <v>46</v>
      </c>
      <c r="BV38" s="1" t="s">
        <v>47</v>
      </c>
      <c r="BW38" s="1" t="s">
        <v>47</v>
      </c>
      <c r="BX38" s="1" t="s">
        <v>46</v>
      </c>
      <c r="BY38" s="1" t="s">
        <v>47</v>
      </c>
      <c r="BZ38" s="1" t="s">
        <v>46</v>
      </c>
      <c r="CA38" s="1" t="s">
        <v>56</v>
      </c>
      <c r="CB38" s="1" t="s">
        <v>47</v>
      </c>
      <c r="CC38" s="1" t="s">
        <v>46</v>
      </c>
      <c r="CD38" s="1" t="s">
        <v>47</v>
      </c>
      <c r="CE38" s="1" t="s">
        <v>46</v>
      </c>
      <c r="CF38" s="1" t="s">
        <v>47</v>
      </c>
      <c r="CG38" s="1" t="s">
        <v>46</v>
      </c>
      <c r="CH38" s="1" t="s">
        <v>56</v>
      </c>
      <c r="CI38" s="1" t="s">
        <v>46</v>
      </c>
      <c r="CJ38" s="1" t="s">
        <v>46</v>
      </c>
      <c r="CK38" s="1" t="s">
        <v>47</v>
      </c>
      <c r="CL38" s="1" t="s">
        <v>56</v>
      </c>
      <c r="CM38" s="1" t="s">
        <v>56</v>
      </c>
      <c r="CN38" s="1" t="s">
        <v>46</v>
      </c>
      <c r="CO38" s="1" t="s">
        <v>46</v>
      </c>
      <c r="CP38" s="1" t="s">
        <v>46</v>
      </c>
      <c r="CQ38" s="1" t="s">
        <v>56</v>
      </c>
      <c r="CR38" s="1" t="s">
        <v>56</v>
      </c>
      <c r="CS38" s="1" t="s">
        <v>47</v>
      </c>
      <c r="CT38" s="1" t="s">
        <v>46</v>
      </c>
      <c r="CU38" s="1" t="s">
        <v>46</v>
      </c>
      <c r="CV38" s="1" t="s">
        <v>47</v>
      </c>
      <c r="CW38" s="1" t="s">
        <v>46</v>
      </c>
      <c r="CX38" s="1" t="s">
        <v>46</v>
      </c>
      <c r="CY38" s="1" t="s">
        <v>47</v>
      </c>
      <c r="CZ38" s="1" t="s">
        <v>46</v>
      </c>
      <c r="DA38" s="1" t="s">
        <v>47</v>
      </c>
      <c r="DB38" s="1" t="s">
        <v>46</v>
      </c>
      <c r="DC38" s="1" t="s">
        <v>46</v>
      </c>
      <c r="DD38" s="1" t="s">
        <v>47</v>
      </c>
      <c r="DE38" s="1" t="s">
        <v>56</v>
      </c>
      <c r="DF38" s="1" t="s">
        <v>47</v>
      </c>
      <c r="DG38" s="1" t="s">
        <v>46</v>
      </c>
      <c r="DH38" s="1" t="s">
        <v>46</v>
      </c>
      <c r="DI38" s="1" t="s">
        <v>56</v>
      </c>
      <c r="DJ38" s="1" t="s">
        <v>47</v>
      </c>
      <c r="DK38" s="1" t="s">
        <v>46</v>
      </c>
      <c r="DL38" s="1" t="s">
        <v>46</v>
      </c>
      <c r="DM38" s="1" t="s">
        <v>47</v>
      </c>
      <c r="DN38" s="1" t="s">
        <v>56</v>
      </c>
      <c r="DO38" s="1" t="s">
        <v>56</v>
      </c>
      <c r="DP38" s="1" t="s">
        <v>46</v>
      </c>
      <c r="DQ38" s="1" t="s">
        <v>46</v>
      </c>
      <c r="DR38" s="1" t="s">
        <v>47</v>
      </c>
      <c r="DS38" s="1" t="s">
        <v>46</v>
      </c>
      <c r="DT38" s="1" t="s">
        <v>46</v>
      </c>
      <c r="DU38" s="1" t="s">
        <v>46</v>
      </c>
      <c r="DV38" s="1" t="s">
        <v>46</v>
      </c>
      <c r="DW38" s="1" t="s">
        <v>46</v>
      </c>
      <c r="DX38" s="1" t="s">
        <v>46</v>
      </c>
      <c r="DY38" s="1" t="s">
        <v>46</v>
      </c>
      <c r="DZ38" s="1" t="s">
        <v>56</v>
      </c>
      <c r="EA38" s="1" t="s">
        <v>46</v>
      </c>
      <c r="EB38" s="1" t="s">
        <v>47</v>
      </c>
      <c r="EC38" s="1" t="s">
        <v>46</v>
      </c>
      <c r="ED38" s="1" t="s">
        <v>46</v>
      </c>
      <c r="EE38" s="1" t="s">
        <v>47</v>
      </c>
      <c r="EF38" s="1" t="s">
        <v>46</v>
      </c>
      <c r="EG38" s="1" t="s">
        <v>47</v>
      </c>
      <c r="EH38" s="1" t="s">
        <v>46</v>
      </c>
      <c r="EI38" s="1" t="s">
        <v>46</v>
      </c>
      <c r="EJ38" s="1" t="s">
        <v>46</v>
      </c>
      <c r="EK38" s="1" t="s">
        <v>46</v>
      </c>
      <c r="EL38" s="40" t="s">
        <v>46</v>
      </c>
      <c r="EM38" s="1" t="s">
        <v>47</v>
      </c>
      <c r="EN38" s="1" t="s">
        <v>47</v>
      </c>
      <c r="EO38" s="1" t="s">
        <v>46</v>
      </c>
      <c r="EP38" s="1" t="s">
        <v>46</v>
      </c>
      <c r="EQ38" s="1" t="s">
        <v>47</v>
      </c>
      <c r="ER38" s="1" t="s">
        <v>46</v>
      </c>
      <c r="ES38" s="1" t="s">
        <v>47</v>
      </c>
      <c r="ET38" s="1" t="s">
        <v>46</v>
      </c>
      <c r="EU38" s="1" t="s">
        <v>46</v>
      </c>
      <c r="EV38" s="1" t="s">
        <v>46</v>
      </c>
      <c r="EW38" s="1" t="s">
        <v>46</v>
      </c>
      <c r="EX38" s="1" t="s">
        <v>46</v>
      </c>
      <c r="EY38" s="1" t="s">
        <v>46</v>
      </c>
      <c r="EZ38" s="1" t="s">
        <v>47</v>
      </c>
      <c r="FA38" s="1" t="s">
        <v>46</v>
      </c>
      <c r="FB38" s="1" t="s">
        <v>46</v>
      </c>
      <c r="FC38" s="1" t="s">
        <v>46</v>
      </c>
      <c r="FD38" s="1" t="s">
        <v>47</v>
      </c>
      <c r="FE38" s="1" t="s">
        <v>47</v>
      </c>
      <c r="FF38" s="1" t="s">
        <v>47</v>
      </c>
      <c r="FG38" s="1" t="s">
        <v>46</v>
      </c>
      <c r="FH38" s="1" t="s">
        <v>47</v>
      </c>
    </row>
    <row r="39" spans="1:164" ht="42" customHeight="1" x14ac:dyDescent="0.2">
      <c r="A39" s="2" t="s">
        <v>36</v>
      </c>
      <c r="B39" s="1" t="s">
        <v>46</v>
      </c>
      <c r="C39" s="1" t="s">
        <v>47</v>
      </c>
      <c r="D39" s="1" t="s">
        <v>47</v>
      </c>
      <c r="E39" s="1" t="s">
        <v>46</v>
      </c>
      <c r="F39" s="1" t="s">
        <v>56</v>
      </c>
      <c r="G39" s="1" t="s">
        <v>56</v>
      </c>
      <c r="H39" s="1" t="s">
        <v>47</v>
      </c>
      <c r="I39" s="1" t="s">
        <v>56</v>
      </c>
      <c r="J39" s="1" t="s">
        <v>47</v>
      </c>
      <c r="K39" s="1" t="s">
        <v>47</v>
      </c>
      <c r="L39" s="1" t="s">
        <v>46</v>
      </c>
      <c r="M39" s="1" t="s">
        <v>47</v>
      </c>
      <c r="N39" s="1" t="s">
        <v>46</v>
      </c>
      <c r="O39" s="1" t="s">
        <v>47</v>
      </c>
      <c r="P39" s="1" t="s">
        <v>46</v>
      </c>
      <c r="Q39" s="1" t="s">
        <v>46</v>
      </c>
      <c r="R39" s="1" t="s">
        <v>46</v>
      </c>
      <c r="S39" s="1" t="s">
        <v>47</v>
      </c>
      <c r="T39" s="1" t="s">
        <v>47</v>
      </c>
      <c r="U39" s="1" t="s">
        <v>47</v>
      </c>
      <c r="V39" s="1" t="s">
        <v>47</v>
      </c>
      <c r="W39" s="1" t="s">
        <v>47</v>
      </c>
      <c r="X39" s="1" t="s">
        <v>46</v>
      </c>
      <c r="Y39" s="1" t="s">
        <v>46</v>
      </c>
      <c r="Z39" s="1" t="s">
        <v>46</v>
      </c>
      <c r="AA39" s="1" t="s">
        <v>46</v>
      </c>
      <c r="AB39" s="1" t="s">
        <v>56</v>
      </c>
      <c r="AC39" s="1" t="s">
        <v>47</v>
      </c>
      <c r="AD39" s="1" t="s">
        <v>47</v>
      </c>
      <c r="AE39" s="1" t="s">
        <v>47</v>
      </c>
      <c r="AF39" s="1" t="s">
        <v>47</v>
      </c>
      <c r="AG39" s="1" t="s">
        <v>46</v>
      </c>
      <c r="AH39" s="1" t="s">
        <v>47</v>
      </c>
      <c r="AI39" s="1" t="s">
        <v>47</v>
      </c>
      <c r="AJ39" s="1" t="s">
        <v>47</v>
      </c>
      <c r="AK39" s="1" t="s">
        <v>47</v>
      </c>
      <c r="AL39" s="1" t="s">
        <v>47</v>
      </c>
      <c r="AM39" s="1" t="s">
        <v>46</v>
      </c>
      <c r="AN39" s="1" t="s">
        <v>47</v>
      </c>
      <c r="AO39" s="1" t="s">
        <v>47</v>
      </c>
      <c r="AP39" s="1" t="s">
        <v>47</v>
      </c>
      <c r="AQ39" s="1" t="s">
        <v>47</v>
      </c>
      <c r="AR39" s="1" t="s">
        <v>47</v>
      </c>
      <c r="AS39" s="1" t="s">
        <v>46</v>
      </c>
      <c r="AT39" s="1" t="s">
        <v>46</v>
      </c>
      <c r="AU39" s="1" t="s">
        <v>47</v>
      </c>
      <c r="AV39" s="1" t="s">
        <v>47</v>
      </c>
      <c r="AW39" s="1" t="s">
        <v>47</v>
      </c>
      <c r="AX39" s="1" t="s">
        <v>46</v>
      </c>
      <c r="AY39" s="1" t="s">
        <v>46</v>
      </c>
      <c r="AZ39" s="1" t="s">
        <v>46</v>
      </c>
      <c r="BA39" s="1" t="s">
        <v>46</v>
      </c>
      <c r="BB39" s="1" t="s">
        <v>47</v>
      </c>
      <c r="BC39" s="1" t="s">
        <v>47</v>
      </c>
      <c r="BD39" s="1" t="s">
        <v>47</v>
      </c>
      <c r="BE39" s="1" t="s">
        <v>46</v>
      </c>
      <c r="BF39" s="1" t="s">
        <v>47</v>
      </c>
      <c r="BG39" s="1" t="s">
        <v>47</v>
      </c>
      <c r="BH39" s="1" t="s">
        <v>46</v>
      </c>
      <c r="BI39" s="1" t="s">
        <v>47</v>
      </c>
      <c r="BJ39" s="1" t="s">
        <v>47</v>
      </c>
      <c r="BK39" s="1" t="s">
        <v>46</v>
      </c>
      <c r="BL39" s="1" t="s">
        <v>47</v>
      </c>
      <c r="BM39" s="1" t="s">
        <v>47</v>
      </c>
      <c r="BN39" s="1" t="s">
        <v>46</v>
      </c>
      <c r="BO39" s="1" t="s">
        <v>47</v>
      </c>
      <c r="BP39" s="1" t="s">
        <v>47</v>
      </c>
      <c r="BQ39" s="1" t="s">
        <v>46</v>
      </c>
      <c r="BR39" s="1" t="s">
        <v>46</v>
      </c>
      <c r="BS39" s="1" t="s">
        <v>47</v>
      </c>
      <c r="BT39" s="1" t="s">
        <v>47</v>
      </c>
      <c r="BU39" s="1" t="s">
        <v>46</v>
      </c>
      <c r="BV39" s="1" t="s">
        <v>46</v>
      </c>
      <c r="BW39" s="1" t="s">
        <v>47</v>
      </c>
      <c r="BX39" s="1" t="s">
        <v>47</v>
      </c>
      <c r="BY39" s="1" t="s">
        <v>47</v>
      </c>
      <c r="BZ39" s="1" t="s">
        <v>47</v>
      </c>
      <c r="CA39" s="1" t="s">
        <v>56</v>
      </c>
      <c r="CB39" s="1" t="s">
        <v>46</v>
      </c>
      <c r="CC39" s="1" t="s">
        <v>47</v>
      </c>
      <c r="CD39" s="1" t="s">
        <v>47</v>
      </c>
      <c r="CE39" s="1" t="s">
        <v>47</v>
      </c>
      <c r="CF39" s="1" t="s">
        <v>47</v>
      </c>
      <c r="CG39" s="1" t="s">
        <v>47</v>
      </c>
      <c r="CH39" s="1" t="s">
        <v>56</v>
      </c>
      <c r="CI39" s="1" t="s">
        <v>47</v>
      </c>
      <c r="CJ39" s="1" t="s">
        <v>46</v>
      </c>
      <c r="CK39" s="1" t="s">
        <v>47</v>
      </c>
      <c r="CL39" s="1" t="s">
        <v>56</v>
      </c>
      <c r="CM39" s="1" t="s">
        <v>56</v>
      </c>
      <c r="CN39" s="1" t="s">
        <v>47</v>
      </c>
      <c r="CO39" s="1" t="s">
        <v>46</v>
      </c>
      <c r="CP39" s="1" t="s">
        <v>47</v>
      </c>
      <c r="CQ39" s="1" t="s">
        <v>56</v>
      </c>
      <c r="CR39" s="1" t="s">
        <v>56</v>
      </c>
      <c r="CS39" s="1" t="s">
        <v>47</v>
      </c>
      <c r="CT39" s="1" t="s">
        <v>47</v>
      </c>
      <c r="CU39" s="1" t="s">
        <v>47</v>
      </c>
      <c r="CV39" s="1" t="s">
        <v>47</v>
      </c>
      <c r="CW39" s="1" t="s">
        <v>46</v>
      </c>
      <c r="CX39" s="1" t="s">
        <v>47</v>
      </c>
      <c r="CY39" s="1" t="s">
        <v>46</v>
      </c>
      <c r="CZ39" s="1" t="s">
        <v>46</v>
      </c>
      <c r="DA39" s="1" t="s">
        <v>46</v>
      </c>
      <c r="DB39" s="1" t="s">
        <v>47</v>
      </c>
      <c r="DC39" s="1" t="s">
        <v>47</v>
      </c>
      <c r="DD39" s="1" t="s">
        <v>47</v>
      </c>
      <c r="DE39" s="1" t="s">
        <v>56</v>
      </c>
      <c r="DF39" s="1" t="s">
        <v>47</v>
      </c>
      <c r="DG39" s="1" t="s">
        <v>47</v>
      </c>
      <c r="DH39" s="1" t="s">
        <v>46</v>
      </c>
      <c r="DI39" s="1" t="s">
        <v>56</v>
      </c>
      <c r="DJ39" s="1" t="s">
        <v>47</v>
      </c>
      <c r="DK39" s="1" t="s">
        <v>47</v>
      </c>
      <c r="DL39" s="1" t="s">
        <v>47</v>
      </c>
      <c r="DM39" s="1" t="s">
        <v>47</v>
      </c>
      <c r="DN39" s="1" t="s">
        <v>56</v>
      </c>
      <c r="DO39" s="1" t="s">
        <v>56</v>
      </c>
      <c r="DP39" s="1" t="s">
        <v>47</v>
      </c>
      <c r="DQ39" s="1" t="s">
        <v>47</v>
      </c>
      <c r="DR39" s="1" t="s">
        <v>47</v>
      </c>
      <c r="DS39" s="1" t="s">
        <v>47</v>
      </c>
      <c r="DT39" s="1" t="s">
        <v>47</v>
      </c>
      <c r="DU39" s="1" t="s">
        <v>47</v>
      </c>
      <c r="DV39" s="1" t="s">
        <v>47</v>
      </c>
      <c r="DW39" s="1" t="s">
        <v>47</v>
      </c>
      <c r="DX39" s="1" t="s">
        <v>46</v>
      </c>
      <c r="DY39" s="1" t="s">
        <v>46</v>
      </c>
      <c r="DZ39" s="1" t="s">
        <v>56</v>
      </c>
      <c r="EA39" s="1" t="s">
        <v>47</v>
      </c>
      <c r="EB39" s="1" t="s">
        <v>46</v>
      </c>
      <c r="EC39" s="1" t="s">
        <v>46</v>
      </c>
      <c r="ED39" s="1" t="s">
        <v>47</v>
      </c>
      <c r="EE39" s="1" t="s">
        <v>47</v>
      </c>
      <c r="EF39" s="1" t="s">
        <v>47</v>
      </c>
      <c r="EG39" s="1" t="s">
        <v>47</v>
      </c>
      <c r="EH39" s="1" t="s">
        <v>47</v>
      </c>
      <c r="EI39" s="1" t="s">
        <v>46</v>
      </c>
      <c r="EJ39" s="1" t="s">
        <v>46</v>
      </c>
      <c r="EK39" s="1" t="s">
        <v>47</v>
      </c>
      <c r="EL39" s="40" t="s">
        <v>47</v>
      </c>
      <c r="EM39" s="1" t="s">
        <v>47</v>
      </c>
      <c r="EN39" s="1" t="s">
        <v>46</v>
      </c>
      <c r="EO39" s="1" t="s">
        <v>47</v>
      </c>
      <c r="EP39" s="1" t="s">
        <v>47</v>
      </c>
      <c r="EQ39" s="1" t="s">
        <v>46</v>
      </c>
      <c r="ER39" s="1" t="s">
        <v>47</v>
      </c>
      <c r="ES39" s="1" t="s">
        <v>47</v>
      </c>
      <c r="ET39" s="1" t="s">
        <v>47</v>
      </c>
      <c r="EU39" s="1" t="s">
        <v>47</v>
      </c>
      <c r="EV39" s="1" t="s">
        <v>46</v>
      </c>
      <c r="EW39" s="1" t="s">
        <v>46</v>
      </c>
      <c r="EX39" s="1" t="s">
        <v>47</v>
      </c>
      <c r="EY39" s="1" t="s">
        <v>46</v>
      </c>
      <c r="EZ39" s="1" t="s">
        <v>47</v>
      </c>
      <c r="FA39" s="1" t="s">
        <v>47</v>
      </c>
      <c r="FB39" s="1" t="s">
        <v>47</v>
      </c>
      <c r="FC39" s="1" t="s">
        <v>47</v>
      </c>
      <c r="FD39" s="1" t="s">
        <v>47</v>
      </c>
      <c r="FE39" s="1" t="s">
        <v>47</v>
      </c>
      <c r="FF39" s="1" t="s">
        <v>47</v>
      </c>
      <c r="FG39" s="1" t="s">
        <v>46</v>
      </c>
      <c r="FH39" s="1" t="s">
        <v>46</v>
      </c>
    </row>
    <row r="40" spans="1:164" ht="20" customHeight="1" x14ac:dyDescent="0.2">
      <c r="A40" s="2" t="s">
        <v>37</v>
      </c>
      <c r="B40" s="1" t="s">
        <v>56</v>
      </c>
      <c r="C40" s="1" t="s">
        <v>47</v>
      </c>
      <c r="D40" s="1" t="s">
        <v>47</v>
      </c>
      <c r="E40" s="1" t="s">
        <v>56</v>
      </c>
      <c r="F40" s="1" t="s">
        <v>56</v>
      </c>
      <c r="G40" s="1" t="s">
        <v>56</v>
      </c>
      <c r="H40" s="1" t="s">
        <v>46</v>
      </c>
      <c r="I40" s="1" t="s">
        <v>56</v>
      </c>
      <c r="J40" s="1" t="s">
        <v>46</v>
      </c>
      <c r="K40" s="1" t="s">
        <v>46</v>
      </c>
      <c r="L40" s="1" t="s">
        <v>56</v>
      </c>
      <c r="M40" s="1" t="s">
        <v>47</v>
      </c>
      <c r="N40" s="1" t="s">
        <v>56</v>
      </c>
      <c r="O40" s="1" t="s">
        <v>47</v>
      </c>
      <c r="P40" s="1" t="s">
        <v>56</v>
      </c>
      <c r="Q40" s="1" t="s">
        <v>56</v>
      </c>
      <c r="R40" s="1" t="s">
        <v>56</v>
      </c>
      <c r="S40" s="1" t="s">
        <v>46</v>
      </c>
      <c r="T40" s="1" t="s">
        <v>46</v>
      </c>
      <c r="U40" s="1" t="s">
        <v>47</v>
      </c>
      <c r="V40" s="1" t="s">
        <v>47</v>
      </c>
      <c r="W40" s="1" t="s">
        <v>47</v>
      </c>
      <c r="X40" s="1" t="s">
        <v>56</v>
      </c>
      <c r="Y40" s="1" t="s">
        <v>56</v>
      </c>
      <c r="Z40" s="1" t="s">
        <v>56</v>
      </c>
      <c r="AA40" s="1" t="s">
        <v>56</v>
      </c>
      <c r="AB40" s="1" t="s">
        <v>56</v>
      </c>
      <c r="AC40" s="1" t="s">
        <v>47</v>
      </c>
      <c r="AD40" s="1" t="s">
        <v>46</v>
      </c>
      <c r="AE40" s="1" t="s">
        <v>47</v>
      </c>
      <c r="AF40" s="1" t="s">
        <v>46</v>
      </c>
      <c r="AG40" s="1" t="s">
        <v>56</v>
      </c>
      <c r="AH40" s="1" t="s">
        <v>46</v>
      </c>
      <c r="AI40" s="1" t="s">
        <v>47</v>
      </c>
      <c r="AJ40" s="1" t="s">
        <v>47</v>
      </c>
      <c r="AK40" s="1" t="s">
        <v>47</v>
      </c>
      <c r="AL40" s="1" t="s">
        <v>46</v>
      </c>
      <c r="AM40" s="1" t="s">
        <v>56</v>
      </c>
      <c r="AN40" s="1" t="s">
        <v>46</v>
      </c>
      <c r="AO40" s="1" t="s">
        <v>46</v>
      </c>
      <c r="AP40" s="1" t="s">
        <v>47</v>
      </c>
      <c r="AQ40" s="1" t="s">
        <v>47</v>
      </c>
      <c r="AR40" s="1" t="s">
        <v>46</v>
      </c>
      <c r="AS40" s="1" t="s">
        <v>56</v>
      </c>
      <c r="AT40" s="1" t="s">
        <v>56</v>
      </c>
      <c r="AU40" s="1" t="s">
        <v>47</v>
      </c>
      <c r="AV40" s="1" t="s">
        <v>47</v>
      </c>
      <c r="AW40" s="1" t="s">
        <v>47</v>
      </c>
      <c r="AX40" s="1" t="s">
        <v>56</v>
      </c>
      <c r="AY40" s="1" t="s">
        <v>56</v>
      </c>
      <c r="AZ40" s="1" t="s">
        <v>56</v>
      </c>
      <c r="BA40" s="1" t="s">
        <v>56</v>
      </c>
      <c r="BB40" s="1" t="s">
        <v>46</v>
      </c>
      <c r="BC40" s="1" t="s">
        <v>47</v>
      </c>
      <c r="BD40" s="1" t="s">
        <v>47</v>
      </c>
      <c r="BE40" s="1" t="s">
        <v>56</v>
      </c>
      <c r="BF40" s="1" t="s">
        <v>46</v>
      </c>
      <c r="BG40" s="1" t="s">
        <v>47</v>
      </c>
      <c r="BH40" s="1" t="s">
        <v>56</v>
      </c>
      <c r="BI40" s="1" t="s">
        <v>47</v>
      </c>
      <c r="BJ40" s="1" t="s">
        <v>47</v>
      </c>
      <c r="BK40" s="1" t="s">
        <v>56</v>
      </c>
      <c r="BL40" s="1" t="s">
        <v>47</v>
      </c>
      <c r="BM40" s="1" t="s">
        <v>46</v>
      </c>
      <c r="BN40" s="1" t="s">
        <v>56</v>
      </c>
      <c r="BO40" s="1" t="s">
        <v>47</v>
      </c>
      <c r="BP40" s="1" t="s">
        <v>46</v>
      </c>
      <c r="BQ40" s="1" t="s">
        <v>56</v>
      </c>
      <c r="BR40" s="1" t="s">
        <v>56</v>
      </c>
      <c r="BS40" s="1" t="s">
        <v>47</v>
      </c>
      <c r="BT40" s="1" t="s">
        <v>46</v>
      </c>
      <c r="BU40" s="1" t="s">
        <v>56</v>
      </c>
      <c r="BV40" s="1" t="s">
        <v>56</v>
      </c>
      <c r="BW40" s="1" t="s">
        <v>47</v>
      </c>
      <c r="BX40" s="1" t="s">
        <v>46</v>
      </c>
      <c r="BY40" s="1" t="s">
        <v>46</v>
      </c>
      <c r="BZ40" s="1" t="s">
        <v>47</v>
      </c>
      <c r="CA40" s="1" t="s">
        <v>56</v>
      </c>
      <c r="CB40" s="1" t="s">
        <v>56</v>
      </c>
      <c r="CC40" s="1" t="s">
        <v>47</v>
      </c>
      <c r="CD40" s="1" t="s">
        <v>47</v>
      </c>
      <c r="CE40" s="1" t="s">
        <v>46</v>
      </c>
      <c r="CF40" s="1" t="s">
        <v>46</v>
      </c>
      <c r="CG40" s="1" t="s">
        <v>47</v>
      </c>
      <c r="CH40" s="1" t="s">
        <v>56</v>
      </c>
      <c r="CI40" s="1" t="s">
        <v>46</v>
      </c>
      <c r="CJ40" s="1" t="s">
        <v>56</v>
      </c>
      <c r="CK40" s="1" t="s">
        <v>46</v>
      </c>
      <c r="CL40" s="1" t="s">
        <v>56</v>
      </c>
      <c r="CM40" s="1" t="s">
        <v>56</v>
      </c>
      <c r="CN40" s="1" t="s">
        <v>46</v>
      </c>
      <c r="CO40" s="1" t="s">
        <v>56</v>
      </c>
      <c r="CP40" s="1" t="s">
        <v>46</v>
      </c>
      <c r="CQ40" s="1" t="s">
        <v>56</v>
      </c>
      <c r="CR40" s="1" t="s">
        <v>56</v>
      </c>
      <c r="CS40" s="1" t="s">
        <v>47</v>
      </c>
      <c r="CT40" s="1" t="s">
        <v>47</v>
      </c>
      <c r="CU40" s="1" t="s">
        <v>47</v>
      </c>
      <c r="CV40" s="1" t="s">
        <v>46</v>
      </c>
      <c r="CW40" s="1" t="s">
        <v>56</v>
      </c>
      <c r="CX40" s="1" t="s">
        <v>47</v>
      </c>
      <c r="CY40" s="1" t="s">
        <v>56</v>
      </c>
      <c r="CZ40" s="1" t="s">
        <v>56</v>
      </c>
      <c r="DA40" s="1" t="s">
        <v>56</v>
      </c>
      <c r="DB40" s="1" t="s">
        <v>46</v>
      </c>
      <c r="DC40" s="1" t="s">
        <v>46</v>
      </c>
      <c r="DD40" s="1" t="s">
        <v>46</v>
      </c>
      <c r="DE40" s="1" t="s">
        <v>56</v>
      </c>
      <c r="DF40" s="1" t="s">
        <v>47</v>
      </c>
      <c r="DG40" s="1" t="s">
        <v>47</v>
      </c>
      <c r="DH40" s="1" t="s">
        <v>56</v>
      </c>
      <c r="DI40" s="1" t="s">
        <v>56</v>
      </c>
      <c r="DJ40" s="1" t="s">
        <v>47</v>
      </c>
      <c r="DK40" s="1" t="s">
        <v>47</v>
      </c>
      <c r="DL40" s="1" t="s">
        <v>46</v>
      </c>
      <c r="DM40" s="1" t="s">
        <v>46</v>
      </c>
      <c r="DN40" s="1" t="s">
        <v>56</v>
      </c>
      <c r="DO40" s="1" t="s">
        <v>56</v>
      </c>
      <c r="DP40" s="1" t="s">
        <v>47</v>
      </c>
      <c r="DQ40" s="1" t="s">
        <v>47</v>
      </c>
      <c r="DR40" s="1" t="s">
        <v>47</v>
      </c>
      <c r="DS40" s="1" t="s">
        <v>47</v>
      </c>
      <c r="DT40" s="1" t="s">
        <v>46</v>
      </c>
      <c r="DU40" s="1" t="s">
        <v>46</v>
      </c>
      <c r="DV40" s="1" t="s">
        <v>47</v>
      </c>
      <c r="DW40" s="1" t="s">
        <v>47</v>
      </c>
      <c r="DX40" s="1" t="s">
        <v>56</v>
      </c>
      <c r="DY40" s="1" t="s">
        <v>56</v>
      </c>
      <c r="DZ40" s="1" t="s">
        <v>56</v>
      </c>
      <c r="EA40" s="1" t="s">
        <v>46</v>
      </c>
      <c r="EB40" s="1" t="s">
        <v>56</v>
      </c>
      <c r="EC40" s="1" t="s">
        <v>56</v>
      </c>
      <c r="ED40" s="1" t="s">
        <v>47</v>
      </c>
      <c r="EE40" s="1" t="s">
        <v>47</v>
      </c>
      <c r="EF40" s="1" t="s">
        <v>46</v>
      </c>
      <c r="EG40" s="1" t="s">
        <v>47</v>
      </c>
      <c r="EH40" s="1" t="s">
        <v>47</v>
      </c>
      <c r="EI40" s="1" t="s">
        <v>56</v>
      </c>
      <c r="EJ40" s="1" t="s">
        <v>56</v>
      </c>
      <c r="EK40" s="1" t="s">
        <v>46</v>
      </c>
      <c r="EL40" s="40" t="s">
        <v>47</v>
      </c>
      <c r="EM40" s="1" t="s">
        <v>46</v>
      </c>
      <c r="EN40" s="1" t="s">
        <v>56</v>
      </c>
      <c r="EO40" s="1" t="s">
        <v>47</v>
      </c>
      <c r="EP40" s="1" t="s">
        <v>46</v>
      </c>
      <c r="EQ40" s="1" t="s">
        <v>56</v>
      </c>
      <c r="ER40" s="1" t="s">
        <v>47</v>
      </c>
      <c r="ES40" s="1" t="s">
        <v>46</v>
      </c>
      <c r="ET40" s="1" t="s">
        <v>46</v>
      </c>
      <c r="EU40" s="1" t="s">
        <v>46</v>
      </c>
      <c r="EV40" s="1" t="s">
        <v>56</v>
      </c>
      <c r="EW40" s="1" t="s">
        <v>56</v>
      </c>
      <c r="EX40" s="1" t="s">
        <v>46</v>
      </c>
      <c r="EY40" s="1" t="s">
        <v>56</v>
      </c>
      <c r="EZ40" s="1" t="s">
        <v>46</v>
      </c>
      <c r="FA40" s="1" t="s">
        <v>46</v>
      </c>
      <c r="FB40" s="1" t="s">
        <v>47</v>
      </c>
      <c r="FC40" s="1" t="s">
        <v>46</v>
      </c>
      <c r="FD40" s="1" t="s">
        <v>47</v>
      </c>
      <c r="FE40" s="1" t="s">
        <v>47</v>
      </c>
      <c r="FF40" s="1" t="s">
        <v>46</v>
      </c>
      <c r="FG40" s="1" t="s">
        <v>56</v>
      </c>
      <c r="FH40" s="1" t="s">
        <v>56</v>
      </c>
    </row>
    <row r="41" spans="1:164" ht="20" customHeight="1" x14ac:dyDescent="0.2">
      <c r="A41" s="2" t="s">
        <v>38</v>
      </c>
      <c r="B41" s="1"/>
      <c r="C41" s="1" t="s">
        <v>68</v>
      </c>
      <c r="D41" s="1" t="s">
        <v>78</v>
      </c>
      <c r="E41" s="1"/>
      <c r="F41" s="1"/>
      <c r="G41" s="1"/>
      <c r="H41" s="1" t="s">
        <v>109</v>
      </c>
      <c r="I41" s="1"/>
      <c r="J41" s="1" t="s">
        <v>129</v>
      </c>
      <c r="K41" s="1" t="s">
        <v>139</v>
      </c>
      <c r="L41" s="1"/>
      <c r="M41" s="1" t="s">
        <v>161</v>
      </c>
      <c r="N41" s="1"/>
      <c r="O41" s="1" t="s">
        <v>183</v>
      </c>
      <c r="P41" s="1"/>
      <c r="Q41" s="1"/>
      <c r="R41" s="1"/>
      <c r="S41" s="1" t="s">
        <v>222</v>
      </c>
      <c r="T41" s="1" t="s">
        <v>232</v>
      </c>
      <c r="U41" s="1" t="s">
        <v>241</v>
      </c>
      <c r="V41" s="1" t="s">
        <v>252</v>
      </c>
      <c r="W41" s="1" t="s">
        <v>263</v>
      </c>
      <c r="X41" s="1"/>
      <c r="Y41" s="1"/>
      <c r="Z41" s="1"/>
      <c r="AA41" s="1"/>
      <c r="AB41" s="1"/>
      <c r="AC41" s="1" t="s">
        <v>316</v>
      </c>
      <c r="AD41" s="1" t="s">
        <v>327</v>
      </c>
      <c r="AE41" s="1" t="s">
        <v>337</v>
      </c>
      <c r="AF41" s="1" t="s">
        <v>347</v>
      </c>
      <c r="AG41" s="1"/>
      <c r="AH41" s="1" t="s">
        <v>366</v>
      </c>
      <c r="AI41" s="1" t="s">
        <v>375</v>
      </c>
      <c r="AJ41" s="1" t="s">
        <v>386</v>
      </c>
      <c r="AK41" s="1" t="s">
        <v>395</v>
      </c>
      <c r="AL41" s="1" t="s">
        <v>405</v>
      </c>
      <c r="AM41" s="1"/>
      <c r="AN41" s="1" t="s">
        <v>423</v>
      </c>
      <c r="AO41" s="1" t="s">
        <v>430</v>
      </c>
      <c r="AP41" s="1" t="s">
        <v>440</v>
      </c>
      <c r="AQ41" s="1" t="s">
        <v>452</v>
      </c>
      <c r="AR41" s="1" t="s">
        <v>462</v>
      </c>
      <c r="AS41" s="1"/>
      <c r="AT41" s="1"/>
      <c r="AU41" s="1" t="s">
        <v>487</v>
      </c>
      <c r="AV41" s="1" t="s">
        <v>498</v>
      </c>
      <c r="AW41" s="1" t="s">
        <v>508</v>
      </c>
      <c r="AX41" s="1"/>
      <c r="AY41" s="1"/>
      <c r="AZ41" s="1"/>
      <c r="BA41" s="1"/>
      <c r="BB41" s="1" t="s">
        <v>553</v>
      </c>
      <c r="BC41" s="1" t="s">
        <v>561</v>
      </c>
      <c r="BD41" s="1" t="s">
        <v>571</v>
      </c>
      <c r="BE41" s="1"/>
      <c r="BF41" s="1" t="s">
        <v>585</v>
      </c>
      <c r="BG41" s="1" t="s">
        <v>593</v>
      </c>
      <c r="BH41" s="1"/>
      <c r="BI41" s="1" t="s">
        <v>610</v>
      </c>
      <c r="BJ41" s="1" t="s">
        <v>617</v>
      </c>
      <c r="BK41" s="1"/>
      <c r="BL41" s="1" t="s">
        <v>636</v>
      </c>
      <c r="BM41" s="1" t="s">
        <v>645</v>
      </c>
      <c r="BN41" s="1"/>
      <c r="BO41" s="1" t="s">
        <v>663</v>
      </c>
      <c r="BP41" s="1" t="s">
        <v>673</v>
      </c>
      <c r="BQ41" s="1"/>
      <c r="BR41" s="1"/>
      <c r="BS41" s="1" t="s">
        <v>697</v>
      </c>
      <c r="BT41" s="1" t="s">
        <v>709</v>
      </c>
      <c r="BU41" s="1"/>
      <c r="BV41" s="1"/>
      <c r="BW41" s="1" t="s">
        <v>737</v>
      </c>
      <c r="BX41" s="1" t="s">
        <v>748</v>
      </c>
      <c r="BY41" s="1" t="s">
        <v>758</v>
      </c>
      <c r="BZ41" s="1" t="s">
        <v>768</v>
      </c>
      <c r="CA41" s="1"/>
      <c r="CB41" s="1"/>
      <c r="CC41" s="1" t="s">
        <v>792</v>
      </c>
      <c r="CD41" s="1" t="s">
        <v>801</v>
      </c>
      <c r="CE41" s="1" t="s">
        <v>810</v>
      </c>
      <c r="CF41" s="1" t="s">
        <v>819</v>
      </c>
      <c r="CG41" s="1" t="s">
        <v>829</v>
      </c>
      <c r="CH41" s="1"/>
      <c r="CI41" s="1" t="s">
        <v>843</v>
      </c>
      <c r="CJ41" s="1"/>
      <c r="CK41" s="1" t="s">
        <v>863</v>
      </c>
      <c r="CL41" s="1"/>
      <c r="CM41" s="1"/>
      <c r="CN41" s="1" t="s">
        <v>887</v>
      </c>
      <c r="CO41" s="1"/>
      <c r="CP41" s="1" t="s">
        <v>899</v>
      </c>
      <c r="CQ41" s="1"/>
      <c r="CR41" s="1"/>
      <c r="CS41" s="1" t="s">
        <v>923</v>
      </c>
      <c r="CT41" s="1" t="s">
        <v>932</v>
      </c>
      <c r="CU41" s="1" t="s">
        <v>942</v>
      </c>
      <c r="CV41" s="1" t="s">
        <v>952</v>
      </c>
      <c r="CW41" s="1"/>
      <c r="CX41" s="1" t="s">
        <v>968</v>
      </c>
      <c r="CY41" s="1"/>
      <c r="CZ41" s="1"/>
      <c r="DA41" s="1"/>
      <c r="DB41" s="1" t="s">
        <v>819</v>
      </c>
      <c r="DC41" s="1" t="s">
        <v>1007</v>
      </c>
      <c r="DD41" s="1" t="s">
        <v>1016</v>
      </c>
      <c r="DE41" s="1"/>
      <c r="DF41" s="1" t="s">
        <v>1034</v>
      </c>
      <c r="DG41" s="1" t="s">
        <v>1045</v>
      </c>
      <c r="DH41" s="1"/>
      <c r="DI41" s="1"/>
      <c r="DJ41" s="1" t="s">
        <v>1067</v>
      </c>
      <c r="DK41" s="1" t="s">
        <v>1076</v>
      </c>
      <c r="DL41" s="1" t="s">
        <v>1086</v>
      </c>
      <c r="DM41" s="1" t="s">
        <v>1094</v>
      </c>
      <c r="DN41" s="1"/>
      <c r="DO41" s="1"/>
      <c r="DP41" s="1" t="s">
        <v>1123</v>
      </c>
      <c r="DQ41" s="1" t="s">
        <v>1133</v>
      </c>
      <c r="DR41" s="1" t="s">
        <v>1142</v>
      </c>
      <c r="DS41" s="1" t="s">
        <v>1153</v>
      </c>
      <c r="DT41" s="1" t="s">
        <v>1162</v>
      </c>
      <c r="DU41" s="1" t="s">
        <v>1172</v>
      </c>
      <c r="DV41" s="1" t="s">
        <v>1181</v>
      </c>
      <c r="DW41" s="1" t="s">
        <v>1191</v>
      </c>
      <c r="DX41" s="1"/>
      <c r="DY41" s="1"/>
      <c r="DZ41" s="1"/>
      <c r="EA41" s="1" t="s">
        <v>1229</v>
      </c>
      <c r="EB41" s="1"/>
      <c r="EC41" s="1"/>
      <c r="ED41" s="1" t="s">
        <v>1253</v>
      </c>
      <c r="EE41" s="1" t="s">
        <v>1261</v>
      </c>
      <c r="EF41" s="1" t="s">
        <v>1271</v>
      </c>
      <c r="EG41" s="1" t="s">
        <v>1281</v>
      </c>
      <c r="EH41" s="1" t="s">
        <v>1289</v>
      </c>
      <c r="EI41" s="1"/>
      <c r="EJ41" s="1"/>
      <c r="EK41" s="1" t="s">
        <v>1312</v>
      </c>
      <c r="EL41" s="40" t="s">
        <v>1320</v>
      </c>
      <c r="EM41" s="1" t="s">
        <v>1328</v>
      </c>
      <c r="EN41" s="1"/>
      <c r="EO41" s="1" t="s">
        <v>1344</v>
      </c>
      <c r="EP41" s="1" t="s">
        <v>1353</v>
      </c>
      <c r="EQ41" s="1"/>
      <c r="ER41" s="1" t="s">
        <v>1452</v>
      </c>
      <c r="ES41" s="1" t="s">
        <v>1453</v>
      </c>
      <c r="ET41" s="1" t="s">
        <v>1454</v>
      </c>
      <c r="EU41" s="1" t="s">
        <v>1455</v>
      </c>
      <c r="EV41" s="1"/>
      <c r="EW41" s="1"/>
      <c r="EX41" s="1" t="s">
        <v>1456</v>
      </c>
      <c r="EY41" s="1"/>
      <c r="EZ41" s="1" t="s">
        <v>1457</v>
      </c>
      <c r="FA41" s="1" t="s">
        <v>1458</v>
      </c>
      <c r="FB41" s="1" t="s">
        <v>1459</v>
      </c>
      <c r="FC41" s="1" t="s">
        <v>1460</v>
      </c>
      <c r="FD41" s="1" t="s">
        <v>1521</v>
      </c>
      <c r="FE41" s="1" t="s">
        <v>1522</v>
      </c>
      <c r="FF41" s="1" t="s">
        <v>1523</v>
      </c>
      <c r="FG41" s="1"/>
      <c r="FH41" s="1"/>
    </row>
    <row r="42" spans="1:164" ht="20" customHeight="1" x14ac:dyDescent="0.2">
      <c r="A42" s="2" t="s">
        <v>39</v>
      </c>
      <c r="B42" s="1" t="s">
        <v>56</v>
      </c>
      <c r="C42" s="1" t="s">
        <v>56</v>
      </c>
      <c r="D42" s="1" t="s">
        <v>56</v>
      </c>
      <c r="E42" s="1" t="s">
        <v>56</v>
      </c>
      <c r="F42" s="1" t="s">
        <v>46</v>
      </c>
      <c r="G42" s="1" t="s">
        <v>47</v>
      </c>
      <c r="H42" s="1" t="s">
        <v>56</v>
      </c>
      <c r="I42" s="1" t="s">
        <v>47</v>
      </c>
      <c r="J42" s="1" t="s">
        <v>56</v>
      </c>
      <c r="K42" s="1" t="s">
        <v>56</v>
      </c>
      <c r="L42" s="1" t="s">
        <v>56</v>
      </c>
      <c r="M42" s="1" t="s">
        <v>56</v>
      </c>
      <c r="N42" s="1" t="s">
        <v>56</v>
      </c>
      <c r="O42" s="1" t="s">
        <v>56</v>
      </c>
      <c r="P42" s="1" t="s">
        <v>56</v>
      </c>
      <c r="Q42" s="1" t="s">
        <v>56</v>
      </c>
      <c r="R42" s="1" t="s">
        <v>56</v>
      </c>
      <c r="S42" s="1" t="s">
        <v>56</v>
      </c>
      <c r="T42" s="1" t="s">
        <v>56</v>
      </c>
      <c r="U42" s="1" t="s">
        <v>56</v>
      </c>
      <c r="V42" s="1" t="s">
        <v>56</v>
      </c>
      <c r="W42" s="1" t="s">
        <v>56</v>
      </c>
      <c r="X42" s="1" t="s">
        <v>56</v>
      </c>
      <c r="Y42" s="1" t="s">
        <v>56</v>
      </c>
      <c r="Z42" s="1" t="s">
        <v>56</v>
      </c>
      <c r="AA42" s="1" t="s">
        <v>56</v>
      </c>
      <c r="AB42" s="1" t="s">
        <v>47</v>
      </c>
      <c r="AC42" s="1" t="s">
        <v>56</v>
      </c>
      <c r="AD42" s="1" t="s">
        <v>56</v>
      </c>
      <c r="AE42" s="1" t="s">
        <v>56</v>
      </c>
      <c r="AF42" s="1" t="s">
        <v>56</v>
      </c>
      <c r="AG42" s="1" t="s">
        <v>56</v>
      </c>
      <c r="AH42" s="1" t="s">
        <v>56</v>
      </c>
      <c r="AI42" s="1" t="s">
        <v>56</v>
      </c>
      <c r="AJ42" s="1" t="s">
        <v>56</v>
      </c>
      <c r="AK42" s="1" t="s">
        <v>56</v>
      </c>
      <c r="AL42" s="1" t="s">
        <v>56</v>
      </c>
      <c r="AM42" s="1" t="s">
        <v>56</v>
      </c>
      <c r="AN42" s="1" t="s">
        <v>56</v>
      </c>
      <c r="AO42" s="1" t="s">
        <v>56</v>
      </c>
      <c r="AP42" s="1" t="s">
        <v>56</v>
      </c>
      <c r="AQ42" s="1" t="s">
        <v>56</v>
      </c>
      <c r="AR42" s="1" t="s">
        <v>56</v>
      </c>
      <c r="AS42" s="1" t="s">
        <v>56</v>
      </c>
      <c r="AT42" s="1" t="s">
        <v>56</v>
      </c>
      <c r="AU42" s="1" t="s">
        <v>56</v>
      </c>
      <c r="AV42" s="1" t="s">
        <v>56</v>
      </c>
      <c r="AW42" s="1" t="s">
        <v>56</v>
      </c>
      <c r="AX42" s="1" t="s">
        <v>56</v>
      </c>
      <c r="AY42" s="1" t="s">
        <v>56</v>
      </c>
      <c r="AZ42" s="1" t="s">
        <v>56</v>
      </c>
      <c r="BA42" s="1" t="s">
        <v>56</v>
      </c>
      <c r="BB42" s="1" t="s">
        <v>56</v>
      </c>
      <c r="BC42" s="1" t="s">
        <v>56</v>
      </c>
      <c r="BD42" s="1" t="s">
        <v>56</v>
      </c>
      <c r="BE42" s="1" t="s">
        <v>56</v>
      </c>
      <c r="BF42" s="1" t="s">
        <v>56</v>
      </c>
      <c r="BG42" s="1" t="s">
        <v>56</v>
      </c>
      <c r="BH42" s="1" t="s">
        <v>56</v>
      </c>
      <c r="BI42" s="1" t="s">
        <v>56</v>
      </c>
      <c r="BJ42" s="1" t="s">
        <v>56</v>
      </c>
      <c r="BK42" s="1" t="s">
        <v>56</v>
      </c>
      <c r="BL42" s="1" t="s">
        <v>56</v>
      </c>
      <c r="BM42" s="1" t="s">
        <v>56</v>
      </c>
      <c r="BN42" s="1" t="s">
        <v>56</v>
      </c>
      <c r="BO42" s="1" t="s">
        <v>56</v>
      </c>
      <c r="BP42" s="1" t="s">
        <v>56</v>
      </c>
      <c r="BQ42" s="1" t="s">
        <v>56</v>
      </c>
      <c r="BR42" s="1" t="s">
        <v>56</v>
      </c>
      <c r="BS42" s="1" t="s">
        <v>56</v>
      </c>
      <c r="BT42" s="1" t="s">
        <v>56</v>
      </c>
      <c r="BU42" s="1" t="s">
        <v>56</v>
      </c>
      <c r="BV42" s="1" t="s">
        <v>56</v>
      </c>
      <c r="BW42" s="1" t="s">
        <v>56</v>
      </c>
      <c r="BX42" s="1" t="s">
        <v>56</v>
      </c>
      <c r="BY42" s="1" t="s">
        <v>56</v>
      </c>
      <c r="BZ42" s="1" t="s">
        <v>56</v>
      </c>
      <c r="CA42" s="1" t="s">
        <v>46</v>
      </c>
      <c r="CB42" s="1" t="s">
        <v>56</v>
      </c>
      <c r="CC42" s="1" t="s">
        <v>56</v>
      </c>
      <c r="CD42" s="1" t="s">
        <v>56</v>
      </c>
      <c r="CE42" s="1" t="s">
        <v>56</v>
      </c>
      <c r="CF42" s="1" t="s">
        <v>56</v>
      </c>
      <c r="CG42" s="1" t="s">
        <v>56</v>
      </c>
      <c r="CH42" s="1" t="s">
        <v>47</v>
      </c>
      <c r="CI42" s="1" t="s">
        <v>56</v>
      </c>
      <c r="CJ42" s="1" t="s">
        <v>56</v>
      </c>
      <c r="CK42" s="1" t="s">
        <v>56</v>
      </c>
      <c r="CL42" s="1" t="s">
        <v>47</v>
      </c>
      <c r="CM42" s="1" t="s">
        <v>46</v>
      </c>
      <c r="CN42" s="1" t="s">
        <v>56</v>
      </c>
      <c r="CO42" s="1" t="s">
        <v>56</v>
      </c>
      <c r="CP42" s="1" t="s">
        <v>56</v>
      </c>
      <c r="CQ42" s="1" t="s">
        <v>47</v>
      </c>
      <c r="CR42" s="1" t="s">
        <v>47</v>
      </c>
      <c r="CS42" s="1" t="s">
        <v>56</v>
      </c>
      <c r="CT42" s="1" t="s">
        <v>56</v>
      </c>
      <c r="CU42" s="1" t="s">
        <v>56</v>
      </c>
      <c r="CV42" s="1" t="s">
        <v>56</v>
      </c>
      <c r="CW42" s="1" t="s">
        <v>56</v>
      </c>
      <c r="CX42" s="1" t="s">
        <v>56</v>
      </c>
      <c r="CY42" s="1" t="s">
        <v>56</v>
      </c>
      <c r="CZ42" s="1" t="s">
        <v>56</v>
      </c>
      <c r="DA42" s="1" t="s">
        <v>56</v>
      </c>
      <c r="DB42" s="1" t="s">
        <v>56</v>
      </c>
      <c r="DC42" s="1" t="s">
        <v>56</v>
      </c>
      <c r="DD42" s="1" t="s">
        <v>56</v>
      </c>
      <c r="DE42" s="1" t="s">
        <v>47</v>
      </c>
      <c r="DF42" s="1" t="s">
        <v>56</v>
      </c>
      <c r="DG42" s="1" t="s">
        <v>56</v>
      </c>
      <c r="DH42" s="1" t="s">
        <v>56</v>
      </c>
      <c r="DI42" s="1" t="s">
        <v>46</v>
      </c>
      <c r="DJ42" s="1" t="s">
        <v>56</v>
      </c>
      <c r="DK42" s="1" t="s">
        <v>56</v>
      </c>
      <c r="DL42" s="1" t="s">
        <v>56</v>
      </c>
      <c r="DM42" s="1" t="s">
        <v>56</v>
      </c>
      <c r="DN42" s="1" t="s">
        <v>47</v>
      </c>
      <c r="DO42" s="1" t="s">
        <v>47</v>
      </c>
      <c r="DP42" s="1" t="s">
        <v>56</v>
      </c>
      <c r="DQ42" s="1" t="s">
        <v>56</v>
      </c>
      <c r="DR42" s="1" t="s">
        <v>56</v>
      </c>
      <c r="DS42" s="1" t="s">
        <v>56</v>
      </c>
      <c r="DT42" s="1" t="s">
        <v>56</v>
      </c>
      <c r="DU42" s="1" t="s">
        <v>56</v>
      </c>
      <c r="DV42" s="1" t="s">
        <v>56</v>
      </c>
      <c r="DW42" s="1" t="s">
        <v>56</v>
      </c>
      <c r="DX42" s="1" t="s">
        <v>56</v>
      </c>
      <c r="DY42" s="1" t="s">
        <v>56</v>
      </c>
      <c r="DZ42" s="1" t="s">
        <v>47</v>
      </c>
      <c r="EA42" s="1" t="s">
        <v>56</v>
      </c>
      <c r="EB42" s="1" t="s">
        <v>56</v>
      </c>
      <c r="EC42" s="1" t="s">
        <v>56</v>
      </c>
      <c r="ED42" s="1" t="s">
        <v>56</v>
      </c>
      <c r="EE42" s="1" t="s">
        <v>56</v>
      </c>
      <c r="EF42" s="1" t="s">
        <v>56</v>
      </c>
      <c r="EG42" s="1" t="s">
        <v>56</v>
      </c>
      <c r="EH42" s="1" t="s">
        <v>56</v>
      </c>
      <c r="EI42" s="1" t="s">
        <v>56</v>
      </c>
      <c r="EJ42" s="1" t="s">
        <v>56</v>
      </c>
      <c r="EK42" s="1" t="s">
        <v>56</v>
      </c>
      <c r="EL42" s="40" t="s">
        <v>56</v>
      </c>
      <c r="EM42" s="1" t="s">
        <v>56</v>
      </c>
      <c r="EN42" s="1" t="s">
        <v>56</v>
      </c>
      <c r="EO42" s="1" t="s">
        <v>56</v>
      </c>
      <c r="EP42" s="1" t="s">
        <v>56</v>
      </c>
      <c r="EQ42" s="1" t="s">
        <v>56</v>
      </c>
      <c r="ER42" s="1" t="s">
        <v>56</v>
      </c>
      <c r="ES42" s="1" t="s">
        <v>56</v>
      </c>
      <c r="ET42" s="1" t="s">
        <v>56</v>
      </c>
      <c r="EU42" s="1" t="s">
        <v>56</v>
      </c>
      <c r="EV42" s="1" t="s">
        <v>56</v>
      </c>
      <c r="EW42" s="1" t="s">
        <v>56</v>
      </c>
      <c r="EX42" s="1" t="s">
        <v>56</v>
      </c>
      <c r="EY42" s="1" t="s">
        <v>56</v>
      </c>
      <c r="EZ42" s="1" t="s">
        <v>56</v>
      </c>
      <c r="FA42" s="1" t="s">
        <v>56</v>
      </c>
      <c r="FB42" s="1" t="s">
        <v>56</v>
      </c>
      <c r="FC42" s="1" t="s">
        <v>56</v>
      </c>
      <c r="FD42" s="1" t="s">
        <v>56</v>
      </c>
      <c r="FE42" s="1" t="s">
        <v>56</v>
      </c>
      <c r="FF42" s="1" t="s">
        <v>56</v>
      </c>
      <c r="FG42" s="1" t="s">
        <v>56</v>
      </c>
      <c r="FH42" s="1" t="s">
        <v>56</v>
      </c>
    </row>
    <row r="43" spans="1:164" ht="20" customHeight="1" x14ac:dyDescent="0.2">
      <c r="A43" s="2" t="s">
        <v>40</v>
      </c>
      <c r="B43" s="1"/>
      <c r="C43" s="1"/>
      <c r="D43" s="1"/>
      <c r="E43" s="1"/>
      <c r="F43" s="1"/>
      <c r="G43" s="1" t="s">
        <v>100</v>
      </c>
      <c r="H43" s="1"/>
      <c r="I43" s="1" t="s">
        <v>118</v>
      </c>
      <c r="J43" s="1"/>
      <c r="K43" s="1"/>
      <c r="L43" s="1"/>
      <c r="M43" s="1"/>
      <c r="N43" s="1"/>
      <c r="O43" s="1"/>
      <c r="P43" s="1"/>
      <c r="Q43" s="1"/>
      <c r="R43" s="1"/>
      <c r="S43" s="1"/>
      <c r="T43" s="1"/>
      <c r="U43" s="1"/>
      <c r="V43" s="1"/>
      <c r="W43" s="1"/>
      <c r="X43" s="1"/>
      <c r="Y43" s="1"/>
      <c r="Z43" s="1"/>
      <c r="AA43" s="1"/>
      <c r="AB43" s="1" t="s">
        <v>305</v>
      </c>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t="s">
        <v>835</v>
      </c>
      <c r="CI43" s="1"/>
      <c r="CJ43" s="1"/>
      <c r="CK43" s="1"/>
      <c r="CL43" s="1" t="s">
        <v>870</v>
      </c>
      <c r="CM43" s="1"/>
      <c r="CN43" s="1"/>
      <c r="CO43" s="1"/>
      <c r="CP43" s="1"/>
      <c r="CQ43" s="1" t="s">
        <v>908</v>
      </c>
      <c r="CR43" s="1" t="s">
        <v>914</v>
      </c>
      <c r="CS43" s="1"/>
      <c r="CT43" s="1"/>
      <c r="CU43" s="1"/>
      <c r="CV43" s="1"/>
      <c r="CW43" s="1"/>
      <c r="CX43" s="1"/>
      <c r="CY43" s="1"/>
      <c r="CZ43" s="1"/>
      <c r="DA43" s="1"/>
      <c r="DB43" s="1"/>
      <c r="DC43" s="1"/>
      <c r="DD43" s="1"/>
      <c r="DE43" s="1" t="s">
        <v>1024</v>
      </c>
      <c r="DF43" s="1"/>
      <c r="DG43" s="1"/>
      <c r="DH43" s="1"/>
      <c r="DI43" s="1"/>
      <c r="DJ43" s="1"/>
      <c r="DK43" s="1"/>
      <c r="DL43" s="1"/>
      <c r="DM43" s="1"/>
      <c r="DN43" s="1" t="s">
        <v>1103</v>
      </c>
      <c r="DO43" s="1" t="s">
        <v>1111</v>
      </c>
      <c r="DP43" s="1"/>
      <c r="DQ43" s="1"/>
      <c r="DR43" s="1"/>
      <c r="DS43" s="1"/>
      <c r="DT43" s="1"/>
      <c r="DU43" s="1"/>
      <c r="DV43" s="1"/>
      <c r="DW43" s="1"/>
      <c r="DX43" s="1"/>
      <c r="DY43" s="1"/>
      <c r="DZ43" s="1" t="s">
        <v>1219</v>
      </c>
      <c r="EA43" s="1"/>
      <c r="EB43" s="1"/>
      <c r="EC43" s="1"/>
      <c r="ED43" s="1"/>
      <c r="EE43" s="1"/>
      <c r="EF43" s="1"/>
      <c r="EG43" s="1"/>
      <c r="EH43" s="1"/>
      <c r="EI43" s="1"/>
      <c r="EJ43" s="1"/>
      <c r="EK43" s="1"/>
      <c r="EL43" s="40"/>
      <c r="EM43" s="1"/>
      <c r="EN43" s="1"/>
      <c r="EO43" s="1"/>
      <c r="EP43" s="1"/>
      <c r="EQ43" s="1"/>
      <c r="ER43" s="1"/>
      <c r="ES43" s="1"/>
      <c r="ET43" s="1"/>
      <c r="EU43" s="1"/>
      <c r="EV43" s="1"/>
      <c r="EW43" s="1"/>
      <c r="EX43" s="1"/>
      <c r="EY43" s="1"/>
      <c r="EZ43" s="1"/>
      <c r="FA43" s="1"/>
      <c r="FB43" s="1"/>
      <c r="FC43" s="1"/>
      <c r="FD43" s="1"/>
      <c r="FE43" s="1"/>
      <c r="FF43" s="1"/>
      <c r="FG43" s="1"/>
      <c r="FH43" s="1"/>
    </row>
    <row r="44" spans="1:164" ht="30.75" customHeight="1" x14ac:dyDescent="0.2">
      <c r="A44" s="2" t="s">
        <v>41</v>
      </c>
      <c r="B44" s="1"/>
      <c r="C44" s="1"/>
      <c r="D44" s="1"/>
      <c r="E44" s="1"/>
      <c r="F44" s="1"/>
      <c r="G44" s="1" t="s">
        <v>103</v>
      </c>
      <c r="H44" s="1"/>
      <c r="I44" s="1" t="s">
        <v>119</v>
      </c>
      <c r="J44" s="1"/>
      <c r="K44" s="1"/>
      <c r="L44" s="1"/>
      <c r="M44" s="1"/>
      <c r="N44" s="1"/>
      <c r="O44" s="1"/>
      <c r="P44" s="1"/>
      <c r="Q44" s="1"/>
      <c r="R44" s="1"/>
      <c r="S44" s="1"/>
      <c r="T44" s="1"/>
      <c r="U44" s="1"/>
      <c r="V44" s="1"/>
      <c r="W44" s="1"/>
      <c r="X44" s="1"/>
      <c r="Y44" s="1"/>
      <c r="Z44" s="1"/>
      <c r="AA44" s="1"/>
      <c r="AB44" s="1" t="s">
        <v>306</v>
      </c>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t="s">
        <v>836</v>
      </c>
      <c r="CI44" s="1"/>
      <c r="CJ44" s="1"/>
      <c r="CK44" s="1"/>
      <c r="CL44" s="1" t="s">
        <v>871</v>
      </c>
      <c r="CM44" s="1"/>
      <c r="CN44" s="1"/>
      <c r="CO44" s="1"/>
      <c r="CP44" s="1"/>
      <c r="CQ44" s="1" t="s">
        <v>909</v>
      </c>
      <c r="CR44" s="1" t="s">
        <v>915</v>
      </c>
      <c r="CS44" s="1"/>
      <c r="CT44" s="1"/>
      <c r="CU44" s="1"/>
      <c r="CV44" s="1"/>
      <c r="CW44" s="1"/>
      <c r="CX44" s="1"/>
      <c r="CY44" s="1"/>
      <c r="CZ44" s="1"/>
      <c r="DA44" s="1"/>
      <c r="DB44" s="1"/>
      <c r="DC44" s="1"/>
      <c r="DD44" s="1"/>
      <c r="DE44" s="1" t="s">
        <v>1025</v>
      </c>
      <c r="DF44" s="1"/>
      <c r="DG44" s="1"/>
      <c r="DH44" s="1"/>
      <c r="DI44" s="1"/>
      <c r="DJ44" s="1"/>
      <c r="DK44" s="1"/>
      <c r="DL44" s="1"/>
      <c r="DM44" s="1"/>
      <c r="DN44" s="1" t="s">
        <v>1104</v>
      </c>
      <c r="DO44" s="1" t="s">
        <v>1112</v>
      </c>
      <c r="DP44" s="1"/>
      <c r="DQ44" s="1"/>
      <c r="DR44" s="1"/>
      <c r="DS44" s="1"/>
      <c r="DT44" s="1"/>
      <c r="DU44" s="1"/>
      <c r="DV44" s="1"/>
      <c r="DW44" s="1"/>
      <c r="DX44" s="1"/>
      <c r="DY44" s="1"/>
      <c r="DZ44" s="1" t="s">
        <v>1220</v>
      </c>
      <c r="EA44" s="1"/>
      <c r="EB44" s="1"/>
      <c r="EC44" s="1"/>
      <c r="ED44" s="1"/>
      <c r="EE44" s="1"/>
      <c r="EF44" s="1"/>
      <c r="EG44" s="1"/>
      <c r="EH44" s="1"/>
      <c r="EI44" s="1"/>
      <c r="EJ44" s="1"/>
      <c r="EK44" s="1"/>
      <c r="EL44" s="40"/>
      <c r="EM44" s="1"/>
      <c r="EN44" s="1"/>
      <c r="EO44" s="1"/>
      <c r="EP44" s="1"/>
      <c r="EQ44" s="1"/>
      <c r="ER44" s="1"/>
      <c r="ES44" s="1"/>
      <c r="ET44" s="1"/>
      <c r="EU44" s="1"/>
      <c r="EV44" s="1"/>
      <c r="EW44" s="1"/>
      <c r="EX44" s="1"/>
      <c r="EY44" s="1"/>
      <c r="EZ44" s="1"/>
      <c r="FA44" s="1"/>
      <c r="FB44" s="1"/>
      <c r="FC44" s="1"/>
      <c r="FD44" s="1"/>
      <c r="FE44" s="1"/>
      <c r="FF44" s="1"/>
      <c r="FG44" s="1"/>
      <c r="FH44" s="1"/>
    </row>
    <row r="45" spans="1:164" ht="41.25" customHeight="1" x14ac:dyDescent="0.2">
      <c r="A45" s="2" t="s">
        <v>42</v>
      </c>
      <c r="B45" s="1" t="s">
        <v>57</v>
      </c>
      <c r="C45" s="1" t="s">
        <v>69</v>
      </c>
      <c r="D45" s="1" t="s">
        <v>79</v>
      </c>
      <c r="E45" s="1" t="s">
        <v>90</v>
      </c>
      <c r="F45" s="1" t="s">
        <v>97</v>
      </c>
      <c r="G45" s="1" t="s">
        <v>104</v>
      </c>
      <c r="H45" s="1" t="s">
        <v>110</v>
      </c>
      <c r="I45" s="1" t="s">
        <v>120</v>
      </c>
      <c r="J45" s="1" t="s">
        <v>130</v>
      </c>
      <c r="K45" s="1" t="s">
        <v>140</v>
      </c>
      <c r="L45" s="1" t="s">
        <v>152</v>
      </c>
      <c r="M45" s="1" t="s">
        <v>162</v>
      </c>
      <c r="N45" s="1" t="s">
        <v>173</v>
      </c>
      <c r="O45" s="1" t="s">
        <v>184</v>
      </c>
      <c r="P45" s="1" t="s">
        <v>195</v>
      </c>
      <c r="Q45" s="1" t="s">
        <v>204</v>
      </c>
      <c r="R45" s="1" t="s">
        <v>214</v>
      </c>
      <c r="S45" s="1" t="s">
        <v>223</v>
      </c>
      <c r="T45" s="1" t="s">
        <v>233</v>
      </c>
      <c r="U45" s="1" t="s">
        <v>242</v>
      </c>
      <c r="V45" s="1" t="s">
        <v>253</v>
      </c>
      <c r="W45" s="1" t="s">
        <v>264</v>
      </c>
      <c r="X45" s="1" t="s">
        <v>273</v>
      </c>
      <c r="Y45" s="1" t="s">
        <v>282</v>
      </c>
      <c r="Z45" s="1" t="s">
        <v>289</v>
      </c>
      <c r="AA45" s="1" t="s">
        <v>297</v>
      </c>
      <c r="AB45" s="1" t="s">
        <v>307</v>
      </c>
      <c r="AC45" s="1" t="s">
        <v>317</v>
      </c>
      <c r="AD45" s="1" t="s">
        <v>328</v>
      </c>
      <c r="AE45" s="1" t="s">
        <v>338</v>
      </c>
      <c r="AF45" s="1" t="s">
        <v>348</v>
      </c>
      <c r="AG45" s="1" t="s">
        <v>356</v>
      </c>
      <c r="AH45" s="1" t="s">
        <v>367</v>
      </c>
      <c r="AI45" s="1" t="s">
        <v>376</v>
      </c>
      <c r="AJ45" s="1" t="s">
        <v>387</v>
      </c>
      <c r="AK45" s="1" t="s">
        <v>396</v>
      </c>
      <c r="AL45" s="1" t="s">
        <v>406</v>
      </c>
      <c r="AM45" s="1" t="s">
        <v>412</v>
      </c>
      <c r="AN45" s="1" t="s">
        <v>424</v>
      </c>
      <c r="AO45" s="1" t="s">
        <v>431</v>
      </c>
      <c r="AP45" s="1" t="s">
        <v>441</v>
      </c>
      <c r="AQ45" s="1" t="s">
        <v>453</v>
      </c>
      <c r="AR45" s="1" t="s">
        <v>463</v>
      </c>
      <c r="AS45" s="1" t="s">
        <v>470</v>
      </c>
      <c r="AT45" s="1" t="s">
        <v>478</v>
      </c>
      <c r="AU45" s="1" t="s">
        <v>488</v>
      </c>
      <c r="AV45" s="1" t="s">
        <v>499</v>
      </c>
      <c r="AW45" s="1" t="s">
        <v>509</v>
      </c>
      <c r="AX45" s="1" t="s">
        <v>518</v>
      </c>
      <c r="AY45" s="1" t="s">
        <v>525</v>
      </c>
      <c r="AZ45" s="1" t="s">
        <v>534</v>
      </c>
      <c r="BA45" s="1" t="s">
        <v>545</v>
      </c>
      <c r="BB45" s="1" t="s">
        <v>554</v>
      </c>
      <c r="BC45" s="1" t="s">
        <v>562</v>
      </c>
      <c r="BD45" s="1" t="s">
        <v>572</v>
      </c>
      <c r="BE45" s="1" t="s">
        <v>470</v>
      </c>
      <c r="BF45" s="1" t="s">
        <v>79</v>
      </c>
      <c r="BG45" s="1" t="s">
        <v>594</v>
      </c>
      <c r="BH45" s="1" t="s">
        <v>601</v>
      </c>
      <c r="BI45" s="1" t="s">
        <v>611</v>
      </c>
      <c r="BJ45" s="1" t="s">
        <v>618</v>
      </c>
      <c r="BK45" s="1" t="s">
        <v>627</v>
      </c>
      <c r="BL45" s="1" t="s">
        <v>637</v>
      </c>
      <c r="BM45" s="1" t="s">
        <v>646</v>
      </c>
      <c r="BN45" s="1" t="s">
        <v>653</v>
      </c>
      <c r="BO45" s="1" t="s">
        <v>664</v>
      </c>
      <c r="BP45" s="1" t="s">
        <v>674</v>
      </c>
      <c r="BQ45" s="1" t="s">
        <v>683</v>
      </c>
      <c r="BR45" s="1" t="s">
        <v>431</v>
      </c>
      <c r="BS45" s="1" t="s">
        <v>698</v>
      </c>
      <c r="BT45" s="1" t="s">
        <v>710</v>
      </c>
      <c r="BU45" s="1" t="s">
        <v>719</v>
      </c>
      <c r="BV45" s="1" t="s">
        <v>728</v>
      </c>
      <c r="BW45" s="1" t="s">
        <v>738</v>
      </c>
      <c r="BX45" s="1" t="s">
        <v>749</v>
      </c>
      <c r="BY45" s="1" t="s">
        <v>759</v>
      </c>
      <c r="BZ45" s="1" t="s">
        <v>769</v>
      </c>
      <c r="CA45" s="1" t="s">
        <v>771</v>
      </c>
      <c r="CB45" s="1" t="s">
        <v>79</v>
      </c>
      <c r="CC45" s="1" t="s">
        <v>793</v>
      </c>
      <c r="CD45" s="1" t="s">
        <v>802</v>
      </c>
      <c r="CE45" s="1" t="s">
        <v>811</v>
      </c>
      <c r="CF45" s="1" t="s">
        <v>820</v>
      </c>
      <c r="CG45" s="1" t="s">
        <v>830</v>
      </c>
      <c r="CH45" s="1" t="s">
        <v>837</v>
      </c>
      <c r="CI45" s="1" t="s">
        <v>844</v>
      </c>
      <c r="CJ45" s="1" t="s">
        <v>852</v>
      </c>
      <c r="CK45" s="1" t="s">
        <v>864</v>
      </c>
      <c r="CL45" s="1" t="s">
        <v>872</v>
      </c>
      <c r="CM45" s="1" t="s">
        <v>877</v>
      </c>
      <c r="CN45" s="1" t="s">
        <v>888</v>
      </c>
      <c r="CO45" s="1" t="s">
        <v>769</v>
      </c>
      <c r="CP45" s="1" t="s">
        <v>900</v>
      </c>
      <c r="CQ45" s="1" t="s">
        <v>910</v>
      </c>
      <c r="CR45" s="1" t="s">
        <v>916</v>
      </c>
      <c r="CS45" s="1" t="s">
        <v>924</v>
      </c>
      <c r="CT45" s="1" t="s">
        <v>933</v>
      </c>
      <c r="CU45" s="1" t="s">
        <v>943</v>
      </c>
      <c r="CV45" s="1" t="s">
        <v>953</v>
      </c>
      <c r="CW45" s="1" t="s">
        <v>960</v>
      </c>
      <c r="CX45" s="1" t="s">
        <v>969</v>
      </c>
      <c r="CY45" s="1" t="s">
        <v>977</v>
      </c>
      <c r="CZ45" s="1" t="s">
        <v>470</v>
      </c>
      <c r="DA45" s="1" t="s">
        <v>991</v>
      </c>
      <c r="DB45" s="1" t="s">
        <v>998</v>
      </c>
      <c r="DC45" s="1" t="s">
        <v>1008</v>
      </c>
      <c r="DD45" s="1" t="s">
        <v>1017</v>
      </c>
      <c r="DE45" s="1" t="s">
        <v>1026</v>
      </c>
      <c r="DF45" s="1" t="s">
        <v>1035</v>
      </c>
      <c r="DG45" s="1" t="s">
        <v>1046</v>
      </c>
      <c r="DH45" s="1" t="s">
        <v>1056</v>
      </c>
      <c r="DI45" s="1" t="s">
        <v>233</v>
      </c>
      <c r="DJ45" s="1" t="s">
        <v>1068</v>
      </c>
      <c r="DK45" s="1" t="s">
        <v>1077</v>
      </c>
      <c r="DL45" s="1" t="s">
        <v>1087</v>
      </c>
      <c r="DM45" s="1" t="s">
        <v>1095</v>
      </c>
      <c r="DN45" s="1" t="s">
        <v>1105</v>
      </c>
      <c r="DO45" s="1" t="s">
        <v>1113</v>
      </c>
      <c r="DP45" s="1" t="s">
        <v>1124</v>
      </c>
      <c r="DQ45" s="1" t="s">
        <v>1134</v>
      </c>
      <c r="DR45" s="1" t="s">
        <v>1143</v>
      </c>
      <c r="DS45" s="1" t="s">
        <v>1154</v>
      </c>
      <c r="DT45" s="1" t="s">
        <v>1163</v>
      </c>
      <c r="DU45" s="1" t="s">
        <v>1173</v>
      </c>
      <c r="DV45" s="1" t="s">
        <v>1182</v>
      </c>
      <c r="DW45" s="1" t="s">
        <v>1192</v>
      </c>
      <c r="DX45" s="1" t="s">
        <v>1202</v>
      </c>
      <c r="DY45" s="1" t="s">
        <v>1214</v>
      </c>
      <c r="DZ45" s="1" t="s">
        <v>1221</v>
      </c>
      <c r="EA45" s="1" t="s">
        <v>431</v>
      </c>
      <c r="EB45" s="1" t="s">
        <v>1235</v>
      </c>
      <c r="EC45" s="1" t="s">
        <v>1244</v>
      </c>
      <c r="ED45" s="1" t="s">
        <v>1254</v>
      </c>
      <c r="EE45" s="1" t="s">
        <v>1262</v>
      </c>
      <c r="EF45" s="1" t="s">
        <v>1272</v>
      </c>
      <c r="EG45" s="1" t="s">
        <v>1282</v>
      </c>
      <c r="EH45" s="1" t="s">
        <v>1290</v>
      </c>
      <c r="EI45" s="1" t="s">
        <v>1297</v>
      </c>
      <c r="EJ45" s="1" t="s">
        <v>1304</v>
      </c>
      <c r="EK45" s="1" t="s">
        <v>1313</v>
      </c>
      <c r="EL45" s="40" t="s">
        <v>233</v>
      </c>
      <c r="EM45" s="1" t="s">
        <v>1329</v>
      </c>
      <c r="EN45" s="1" t="s">
        <v>1339</v>
      </c>
      <c r="EO45" s="1" t="s">
        <v>1345</v>
      </c>
      <c r="EP45" s="1" t="s">
        <v>1354</v>
      </c>
      <c r="EQ45" s="1" t="s">
        <v>1461</v>
      </c>
      <c r="ER45" s="1" t="s">
        <v>1462</v>
      </c>
      <c r="ES45" s="1" t="s">
        <v>1463</v>
      </c>
      <c r="ET45" s="1" t="s">
        <v>1464</v>
      </c>
      <c r="EU45" s="1" t="s">
        <v>1465</v>
      </c>
      <c r="EV45" s="1" t="s">
        <v>1466</v>
      </c>
      <c r="EW45" s="1" t="s">
        <v>1467</v>
      </c>
      <c r="EX45" s="1" t="s">
        <v>163</v>
      </c>
      <c r="EY45" s="1" t="s">
        <v>1468</v>
      </c>
      <c r="EZ45" s="1" t="s">
        <v>233</v>
      </c>
      <c r="FA45" s="1" t="s">
        <v>1469</v>
      </c>
      <c r="FB45" s="1" t="s">
        <v>1470</v>
      </c>
      <c r="FC45" s="1" t="s">
        <v>1471</v>
      </c>
      <c r="FD45" s="1" t="s">
        <v>1524</v>
      </c>
      <c r="FE45" s="1" t="s">
        <v>1525</v>
      </c>
      <c r="FF45" s="1" t="s">
        <v>1526</v>
      </c>
      <c r="FG45" s="1" t="s">
        <v>1516</v>
      </c>
      <c r="FH45" s="1" t="s">
        <v>1527</v>
      </c>
    </row>
    <row r="46" spans="1:164" ht="50.25" customHeight="1" x14ac:dyDescent="0.2">
      <c r="A46" s="2" t="s">
        <v>43</v>
      </c>
      <c r="B46" s="1" t="s">
        <v>58</v>
      </c>
      <c r="C46" s="1" t="s">
        <v>70</v>
      </c>
      <c r="D46" s="1" t="s">
        <v>80</v>
      </c>
      <c r="E46" s="1" t="s">
        <v>91</v>
      </c>
      <c r="F46" s="1" t="s">
        <v>98</v>
      </c>
      <c r="G46" s="1" t="s">
        <v>47</v>
      </c>
      <c r="H46" s="1" t="s">
        <v>111</v>
      </c>
      <c r="I46" s="1" t="s">
        <v>121</v>
      </c>
      <c r="J46" s="1" t="s">
        <v>131</v>
      </c>
      <c r="K46" s="1" t="s">
        <v>141</v>
      </c>
      <c r="L46" s="1" t="s">
        <v>153</v>
      </c>
      <c r="M46" s="1" t="s">
        <v>163</v>
      </c>
      <c r="N46" s="1" t="s">
        <v>174</v>
      </c>
      <c r="O46" s="1" t="s">
        <v>185</v>
      </c>
      <c r="P46" s="1" t="s">
        <v>196</v>
      </c>
      <c r="Q46" s="1" t="s">
        <v>205</v>
      </c>
      <c r="R46" s="1" t="s">
        <v>215</v>
      </c>
      <c r="S46" s="1" t="s">
        <v>224</v>
      </c>
      <c r="T46" s="1" t="s">
        <v>234</v>
      </c>
      <c r="U46" s="1" t="s">
        <v>243</v>
      </c>
      <c r="V46" s="1" t="s">
        <v>254</v>
      </c>
      <c r="W46" s="1" t="s">
        <v>265</v>
      </c>
      <c r="X46" s="1" t="s">
        <v>274</v>
      </c>
      <c r="Y46" s="1" t="s">
        <v>283</v>
      </c>
      <c r="Z46" s="1" t="s">
        <v>163</v>
      </c>
      <c r="AA46" s="1" t="s">
        <v>298</v>
      </c>
      <c r="AB46" s="1" t="s">
        <v>308</v>
      </c>
      <c r="AC46" s="1" t="s">
        <v>318</v>
      </c>
      <c r="AD46" s="1" t="s">
        <v>329</v>
      </c>
      <c r="AE46" s="1" t="s">
        <v>339</v>
      </c>
      <c r="AF46" s="1" t="s">
        <v>349</v>
      </c>
      <c r="AG46" s="1" t="s">
        <v>357</v>
      </c>
      <c r="AH46" s="1" t="s">
        <v>368</v>
      </c>
      <c r="AI46" s="1" t="s">
        <v>377</v>
      </c>
      <c r="AJ46" s="1" t="s">
        <v>47</v>
      </c>
      <c r="AK46" s="1" t="s">
        <v>397</v>
      </c>
      <c r="AL46" s="1" t="s">
        <v>407</v>
      </c>
      <c r="AM46" s="1" t="s">
        <v>413</v>
      </c>
      <c r="AN46" s="1" t="s">
        <v>163</v>
      </c>
      <c r="AO46" s="1" t="s">
        <v>432</v>
      </c>
      <c r="AP46" s="1" t="s">
        <v>442</v>
      </c>
      <c r="AQ46" s="1" t="s">
        <v>454</v>
      </c>
      <c r="AR46" s="1" t="s">
        <v>464</v>
      </c>
      <c r="AS46" s="1" t="s">
        <v>471</v>
      </c>
      <c r="AT46" s="1" t="s">
        <v>479</v>
      </c>
      <c r="AU46" s="1" t="s">
        <v>489</v>
      </c>
      <c r="AV46" s="1" t="s">
        <v>500</v>
      </c>
      <c r="AW46" s="1" t="s">
        <v>510</v>
      </c>
      <c r="AX46" s="1" t="s">
        <v>519</v>
      </c>
      <c r="AY46" s="1" t="s">
        <v>526</v>
      </c>
      <c r="AZ46" s="1" t="s">
        <v>535</v>
      </c>
      <c r="BA46" s="1" t="s">
        <v>546</v>
      </c>
      <c r="BB46" s="1" t="s">
        <v>555</v>
      </c>
      <c r="BC46" s="1" t="s">
        <v>563</v>
      </c>
      <c r="BD46" s="1" t="s">
        <v>573</v>
      </c>
      <c r="BE46" s="1" t="s">
        <v>579</v>
      </c>
      <c r="BF46" s="1" t="s">
        <v>163</v>
      </c>
      <c r="BG46" s="1" t="s">
        <v>595</v>
      </c>
      <c r="BH46" s="1" t="s">
        <v>163</v>
      </c>
      <c r="BI46" s="1" t="s">
        <v>612</v>
      </c>
      <c r="BJ46" s="1" t="s">
        <v>619</v>
      </c>
      <c r="BK46" s="1" t="s">
        <v>628</v>
      </c>
      <c r="BL46" s="1" t="s">
        <v>638</v>
      </c>
      <c r="BM46" s="1" t="s">
        <v>647</v>
      </c>
      <c r="BN46" s="1" t="s">
        <v>654</v>
      </c>
      <c r="BO46" s="1" t="s">
        <v>665</v>
      </c>
      <c r="BP46" s="1" t="s">
        <v>675</v>
      </c>
      <c r="BQ46" s="1" t="s">
        <v>684</v>
      </c>
      <c r="BR46" s="1" t="s">
        <v>690</v>
      </c>
      <c r="BS46" s="1" t="s">
        <v>699</v>
      </c>
      <c r="BT46" s="1" t="s">
        <v>711</v>
      </c>
      <c r="BU46" s="1" t="s">
        <v>720</v>
      </c>
      <c r="BV46" s="1" t="s">
        <v>729</v>
      </c>
      <c r="BW46" s="1" t="s">
        <v>739</v>
      </c>
      <c r="BX46" s="1" t="s">
        <v>750</v>
      </c>
      <c r="BY46" s="1" t="s">
        <v>760</v>
      </c>
      <c r="BZ46" s="1" t="s">
        <v>163</v>
      </c>
      <c r="CA46" s="1" t="s">
        <v>772</v>
      </c>
      <c r="CB46" s="1" t="s">
        <v>782</v>
      </c>
      <c r="CC46" s="1" t="s">
        <v>794</v>
      </c>
      <c r="CD46" s="1" t="s">
        <v>803</v>
      </c>
      <c r="CE46" s="1" t="s">
        <v>812</v>
      </c>
      <c r="CF46" s="1" t="s">
        <v>821</v>
      </c>
      <c r="CG46" s="1" t="s">
        <v>831</v>
      </c>
      <c r="CH46" s="1" t="s">
        <v>838</v>
      </c>
      <c r="CI46" s="1" t="s">
        <v>845</v>
      </c>
      <c r="CJ46" s="1" t="s">
        <v>853</v>
      </c>
      <c r="CK46" s="1" t="s">
        <v>865</v>
      </c>
      <c r="CL46" s="1" t="s">
        <v>873</v>
      </c>
      <c r="CM46" s="1" t="s">
        <v>878</v>
      </c>
      <c r="CN46" s="1" t="s">
        <v>889</v>
      </c>
      <c r="CO46" s="1" t="s">
        <v>153</v>
      </c>
      <c r="CP46" s="1" t="s">
        <v>901</v>
      </c>
      <c r="CQ46" s="1" t="s">
        <v>911</v>
      </c>
      <c r="CR46" s="1" t="s">
        <v>917</v>
      </c>
      <c r="CS46" s="1" t="s">
        <v>925</v>
      </c>
      <c r="CT46" s="1" t="s">
        <v>934</v>
      </c>
      <c r="CU46" s="1" t="s">
        <v>944</v>
      </c>
      <c r="CV46" s="1" t="s">
        <v>954</v>
      </c>
      <c r="CW46" s="1" t="s">
        <v>961</v>
      </c>
      <c r="CX46" s="1" t="s">
        <v>970</v>
      </c>
      <c r="CY46" s="1" t="s">
        <v>978</v>
      </c>
      <c r="CZ46" s="1" t="s">
        <v>985</v>
      </c>
      <c r="DA46" s="1" t="s">
        <v>699</v>
      </c>
      <c r="DB46" s="1" t="s">
        <v>999</v>
      </c>
      <c r="DC46" s="1" t="s">
        <v>1009</v>
      </c>
      <c r="DD46" s="1" t="s">
        <v>1018</v>
      </c>
      <c r="DE46" s="1" t="s">
        <v>1027</v>
      </c>
      <c r="DF46" s="1" t="s">
        <v>1036</v>
      </c>
      <c r="DG46" s="1" t="s">
        <v>1047</v>
      </c>
      <c r="DH46" s="1" t="s">
        <v>163</v>
      </c>
      <c r="DI46" s="1" t="s">
        <v>1060</v>
      </c>
      <c r="DJ46" s="1" t="s">
        <v>1069</v>
      </c>
      <c r="DK46" s="1" t="s">
        <v>1078</v>
      </c>
      <c r="DL46" s="1" t="s">
        <v>1088</v>
      </c>
      <c r="DM46" s="1" t="s">
        <v>1096</v>
      </c>
      <c r="DN46" s="1" t="s">
        <v>163</v>
      </c>
      <c r="DO46" s="1" t="s">
        <v>1114</v>
      </c>
      <c r="DP46" s="1" t="s">
        <v>1125</v>
      </c>
      <c r="DQ46" s="1" t="s">
        <v>1135</v>
      </c>
      <c r="DR46" s="1" t="s">
        <v>1144</v>
      </c>
      <c r="DS46" s="1" t="s">
        <v>1155</v>
      </c>
      <c r="DT46" s="1" t="s">
        <v>1164</v>
      </c>
      <c r="DU46" s="1" t="s">
        <v>1174</v>
      </c>
      <c r="DV46" s="1" t="s">
        <v>1183</v>
      </c>
      <c r="DW46" s="1" t="s">
        <v>1193</v>
      </c>
      <c r="DX46" s="1" t="s">
        <v>1203</v>
      </c>
      <c r="DY46" s="1" t="s">
        <v>163</v>
      </c>
      <c r="DZ46" s="1" t="s">
        <v>1222</v>
      </c>
      <c r="EA46" s="1" t="s">
        <v>163</v>
      </c>
      <c r="EB46" s="1" t="s">
        <v>1236</v>
      </c>
      <c r="EC46" s="1" t="s">
        <v>1245</v>
      </c>
      <c r="ED46" s="1" t="s">
        <v>1255</v>
      </c>
      <c r="EE46" s="1" t="s">
        <v>1263</v>
      </c>
      <c r="EF46" s="1" t="s">
        <v>1273</v>
      </c>
      <c r="EG46" s="1" t="s">
        <v>1283</v>
      </c>
      <c r="EH46" s="1" t="s">
        <v>1291</v>
      </c>
      <c r="EI46" s="1" t="s">
        <v>1298</v>
      </c>
      <c r="EJ46" s="1" t="s">
        <v>1305</v>
      </c>
      <c r="EK46" s="1" t="s">
        <v>1314</v>
      </c>
      <c r="EL46" s="40" t="s">
        <v>1321</v>
      </c>
      <c r="EM46" s="1" t="s">
        <v>1330</v>
      </c>
      <c r="EN46" s="1" t="s">
        <v>1340</v>
      </c>
      <c r="EO46" s="1" t="s">
        <v>1346</v>
      </c>
      <c r="EP46" s="1" t="s">
        <v>1355</v>
      </c>
      <c r="EQ46" s="1" t="s">
        <v>1472</v>
      </c>
      <c r="ER46" s="1" t="s">
        <v>1473</v>
      </c>
      <c r="ES46" s="1" t="s">
        <v>1474</v>
      </c>
      <c r="ET46" s="1" t="s">
        <v>1475</v>
      </c>
      <c r="EU46" s="1" t="s">
        <v>1476</v>
      </c>
      <c r="EV46" s="1" t="s">
        <v>47</v>
      </c>
      <c r="EW46" s="1" t="s">
        <v>1477</v>
      </c>
      <c r="EX46" s="1" t="s">
        <v>163</v>
      </c>
      <c r="EY46" s="1" t="s">
        <v>1478</v>
      </c>
      <c r="EZ46" s="1" t="s">
        <v>1479</v>
      </c>
      <c r="FA46" s="1" t="s">
        <v>1480</v>
      </c>
      <c r="FB46" s="1" t="s">
        <v>1481</v>
      </c>
      <c r="FC46" s="1" t="s">
        <v>1482</v>
      </c>
      <c r="FD46" s="1" t="s">
        <v>1528</v>
      </c>
      <c r="FE46" s="1" t="s">
        <v>1529</v>
      </c>
      <c r="FF46" s="1" t="s">
        <v>1530</v>
      </c>
      <c r="FG46" s="1" t="s">
        <v>1516</v>
      </c>
      <c r="FH46" s="1" t="s">
        <v>699</v>
      </c>
    </row>
    <row r="47" spans="1:164" ht="57.75" customHeight="1" x14ac:dyDescent="0.2">
      <c r="A47" s="2" t="s">
        <v>44</v>
      </c>
      <c r="B47" s="1" t="s">
        <v>59</v>
      </c>
      <c r="C47" s="1" t="s">
        <v>71</v>
      </c>
      <c r="D47" s="1" t="s">
        <v>81</v>
      </c>
      <c r="E47" s="1" t="s">
        <v>92</v>
      </c>
      <c r="F47" s="1" t="s">
        <v>99</v>
      </c>
      <c r="G47" s="1" t="s">
        <v>46</v>
      </c>
      <c r="H47" s="1" t="s">
        <v>112</v>
      </c>
      <c r="I47" s="1" t="s">
        <v>122</v>
      </c>
      <c r="J47" s="1" t="s">
        <v>132</v>
      </c>
      <c r="K47" s="1" t="s">
        <v>142</v>
      </c>
      <c r="L47" s="1" t="s">
        <v>154</v>
      </c>
      <c r="M47" s="1" t="s">
        <v>164</v>
      </c>
      <c r="N47" s="1" t="s">
        <v>175</v>
      </c>
      <c r="O47" s="1" t="s">
        <v>186</v>
      </c>
      <c r="P47" s="1" t="s">
        <v>197</v>
      </c>
      <c r="Q47" s="1" t="s">
        <v>206</v>
      </c>
      <c r="R47" s="1" t="s">
        <v>216</v>
      </c>
      <c r="S47" s="1" t="s">
        <v>225</v>
      </c>
      <c r="T47" s="1" t="s">
        <v>235</v>
      </c>
      <c r="U47" s="1" t="s">
        <v>244</v>
      </c>
      <c r="V47" s="1" t="s">
        <v>255</v>
      </c>
      <c r="W47" s="1" t="s">
        <v>266</v>
      </c>
      <c r="X47" s="1" t="s">
        <v>275</v>
      </c>
      <c r="Y47" s="1" t="s">
        <v>284</v>
      </c>
      <c r="Z47" s="1" t="s">
        <v>163</v>
      </c>
      <c r="AA47" s="1" t="s">
        <v>299</v>
      </c>
      <c r="AB47" s="1" t="s">
        <v>309</v>
      </c>
      <c r="AC47" s="1" t="s">
        <v>319</v>
      </c>
      <c r="AD47" s="1" t="s">
        <v>330</v>
      </c>
      <c r="AE47" s="1" t="s">
        <v>340</v>
      </c>
      <c r="AF47" s="1" t="s">
        <v>350</v>
      </c>
      <c r="AG47" s="1" t="s">
        <v>358</v>
      </c>
      <c r="AH47" s="1" t="s">
        <v>369</v>
      </c>
      <c r="AI47" s="1" t="s">
        <v>378</v>
      </c>
      <c r="AJ47" s="1" t="s">
        <v>47</v>
      </c>
      <c r="AK47" s="1" t="s">
        <v>398</v>
      </c>
      <c r="AL47" s="1" t="s">
        <v>408</v>
      </c>
      <c r="AM47" s="1" t="s">
        <v>414</v>
      </c>
      <c r="AN47" s="1" t="s">
        <v>425</v>
      </c>
      <c r="AO47" s="1" t="s">
        <v>433</v>
      </c>
      <c r="AP47" s="1" t="s">
        <v>443</v>
      </c>
      <c r="AQ47" s="1" t="s">
        <v>455</v>
      </c>
      <c r="AR47" s="1" t="s">
        <v>465</v>
      </c>
      <c r="AS47" s="1" t="s">
        <v>472</v>
      </c>
      <c r="AT47" s="1" t="s">
        <v>480</v>
      </c>
      <c r="AU47" s="1" t="s">
        <v>490</v>
      </c>
      <c r="AV47" s="1" t="s">
        <v>501</v>
      </c>
      <c r="AW47" s="1" t="s">
        <v>511</v>
      </c>
      <c r="AX47" s="1" t="s">
        <v>520</v>
      </c>
      <c r="AY47" s="1" t="s">
        <v>527</v>
      </c>
      <c r="AZ47" s="1" t="s">
        <v>536</v>
      </c>
      <c r="BA47" s="1" t="s">
        <v>547</v>
      </c>
      <c r="BB47" s="1" t="s">
        <v>163</v>
      </c>
      <c r="BC47" s="1" t="s">
        <v>564</v>
      </c>
      <c r="BD47" s="1" t="s">
        <v>574</v>
      </c>
      <c r="BE47" s="1" t="s">
        <v>580</v>
      </c>
      <c r="BF47" s="1" t="s">
        <v>163</v>
      </c>
      <c r="BG47" s="1" t="s">
        <v>596</v>
      </c>
      <c r="BH47" s="1" t="s">
        <v>602</v>
      </c>
      <c r="BI47" s="1" t="s">
        <v>613</v>
      </c>
      <c r="BJ47" s="1" t="s">
        <v>620</v>
      </c>
      <c r="BK47" s="1" t="s">
        <v>629</v>
      </c>
      <c r="BL47" s="1" t="s">
        <v>639</v>
      </c>
      <c r="BM47" s="1" t="s">
        <v>648</v>
      </c>
      <c r="BN47" s="1" t="s">
        <v>655</v>
      </c>
      <c r="BO47" s="1" t="s">
        <v>666</v>
      </c>
      <c r="BP47" s="1" t="s">
        <v>676</v>
      </c>
      <c r="BQ47" s="1" t="s">
        <v>685</v>
      </c>
      <c r="BR47" s="1" t="s">
        <v>691</v>
      </c>
      <c r="BS47" s="1" t="s">
        <v>700</v>
      </c>
      <c r="BT47" s="1" t="s">
        <v>712</v>
      </c>
      <c r="BU47" s="1" t="s">
        <v>721</v>
      </c>
      <c r="BV47" s="1" t="s">
        <v>730</v>
      </c>
      <c r="BW47" s="1" t="s">
        <v>740</v>
      </c>
      <c r="BX47" s="1" t="s">
        <v>699</v>
      </c>
      <c r="BY47" s="1" t="s">
        <v>761</v>
      </c>
      <c r="BZ47" s="1" t="s">
        <v>163</v>
      </c>
      <c r="CA47" s="1" t="s">
        <v>773</v>
      </c>
      <c r="CB47" s="1" t="s">
        <v>783</v>
      </c>
      <c r="CC47" s="1" t="s">
        <v>795</v>
      </c>
      <c r="CD47" s="1" t="s">
        <v>804</v>
      </c>
      <c r="CE47" s="1" t="s">
        <v>813</v>
      </c>
      <c r="CF47" s="1" t="s">
        <v>822</v>
      </c>
      <c r="CG47" s="1" t="s">
        <v>832</v>
      </c>
      <c r="CH47" s="1" t="s">
        <v>839</v>
      </c>
      <c r="CI47" s="1" t="s">
        <v>845</v>
      </c>
      <c r="CJ47" s="1" t="s">
        <v>854</v>
      </c>
      <c r="CK47" s="1" t="s">
        <v>866</v>
      </c>
      <c r="CL47" s="1" t="s">
        <v>874</v>
      </c>
      <c r="CM47" s="1" t="s">
        <v>879</v>
      </c>
      <c r="CN47" s="1" t="s">
        <v>890</v>
      </c>
      <c r="CO47" s="1" t="s">
        <v>894</v>
      </c>
      <c r="CP47" s="1" t="s">
        <v>902</v>
      </c>
      <c r="CQ47" s="1" t="s">
        <v>912</v>
      </c>
      <c r="CR47" s="1" t="s">
        <v>918</v>
      </c>
      <c r="CS47" s="1" t="s">
        <v>926</v>
      </c>
      <c r="CT47" s="1" t="s">
        <v>935</v>
      </c>
      <c r="CU47" s="1" t="s">
        <v>945</v>
      </c>
      <c r="CV47" s="1" t="s">
        <v>955</v>
      </c>
      <c r="CW47" s="1" t="s">
        <v>962</v>
      </c>
      <c r="CX47" s="1" t="s">
        <v>971</v>
      </c>
      <c r="CY47" s="1" t="s">
        <v>979</v>
      </c>
      <c r="CZ47" s="1" t="s">
        <v>986</v>
      </c>
      <c r="DA47" s="1" t="s">
        <v>699</v>
      </c>
      <c r="DB47" s="1" t="s">
        <v>1000</v>
      </c>
      <c r="DC47" s="1" t="s">
        <v>1010</v>
      </c>
      <c r="DD47" s="1" t="s">
        <v>1019</v>
      </c>
      <c r="DE47" s="1" t="s">
        <v>1028</v>
      </c>
      <c r="DF47" s="1" t="s">
        <v>1037</v>
      </c>
      <c r="DG47" s="1" t="s">
        <v>1048</v>
      </c>
      <c r="DH47" s="1" t="s">
        <v>163</v>
      </c>
      <c r="DI47" s="1" t="s">
        <v>1061</v>
      </c>
      <c r="DJ47" s="1" t="s">
        <v>1070</v>
      </c>
      <c r="DK47" s="1" t="s">
        <v>1079</v>
      </c>
      <c r="DL47" s="1" t="s">
        <v>1089</v>
      </c>
      <c r="DM47" s="1" t="s">
        <v>1097</v>
      </c>
      <c r="DN47" s="1" t="s">
        <v>1106</v>
      </c>
      <c r="DO47" s="1" t="s">
        <v>1115</v>
      </c>
      <c r="DP47" s="1" t="s">
        <v>1126</v>
      </c>
      <c r="DQ47" s="1" t="s">
        <v>1136</v>
      </c>
      <c r="DR47" s="1" t="s">
        <v>1145</v>
      </c>
      <c r="DS47" s="1" t="s">
        <v>1156</v>
      </c>
      <c r="DT47" s="1" t="s">
        <v>1165</v>
      </c>
      <c r="DU47" s="1" t="s">
        <v>1174</v>
      </c>
      <c r="DV47" s="1" t="s">
        <v>1184</v>
      </c>
      <c r="DW47" s="1" t="s">
        <v>1194</v>
      </c>
      <c r="DX47" s="1" t="s">
        <v>1204</v>
      </c>
      <c r="DY47" s="1" t="s">
        <v>163</v>
      </c>
      <c r="DZ47" s="1" t="s">
        <v>1223</v>
      </c>
      <c r="EA47" s="1" t="s">
        <v>163</v>
      </c>
      <c r="EB47" s="1" t="s">
        <v>1237</v>
      </c>
      <c r="EC47" s="1" t="s">
        <v>1246</v>
      </c>
      <c r="ED47" s="1" t="s">
        <v>163</v>
      </c>
      <c r="EE47" s="1" t="s">
        <v>1264</v>
      </c>
      <c r="EF47" s="1" t="s">
        <v>1274</v>
      </c>
      <c r="EG47" s="1" t="s">
        <v>1284</v>
      </c>
      <c r="EH47" s="1" t="s">
        <v>1292</v>
      </c>
      <c r="EI47" s="1" t="s">
        <v>1299</v>
      </c>
      <c r="EJ47" s="1" t="s">
        <v>1306</v>
      </c>
      <c r="EK47" s="1" t="s">
        <v>1315</v>
      </c>
      <c r="EL47" s="40" t="s">
        <v>1322</v>
      </c>
      <c r="EM47" s="1" t="s">
        <v>1331</v>
      </c>
      <c r="EN47" s="1" t="s">
        <v>699</v>
      </c>
      <c r="EO47" s="1" t="s">
        <v>163</v>
      </c>
      <c r="EP47" s="1" t="s">
        <v>1356</v>
      </c>
      <c r="EQ47" s="1" t="s">
        <v>1483</v>
      </c>
      <c r="ER47" s="1" t="s">
        <v>1484</v>
      </c>
      <c r="ES47" s="1" t="s">
        <v>1485</v>
      </c>
      <c r="ET47" s="1" t="s">
        <v>1486</v>
      </c>
      <c r="EU47" s="1" t="s">
        <v>1487</v>
      </c>
      <c r="EV47" s="1" t="s">
        <v>1488</v>
      </c>
      <c r="EW47" s="1" t="s">
        <v>699</v>
      </c>
      <c r="EX47" s="1" t="s">
        <v>163</v>
      </c>
      <c r="EY47" s="1" t="s">
        <v>1489</v>
      </c>
      <c r="EZ47" s="1" t="s">
        <v>47</v>
      </c>
      <c r="FA47" s="1" t="s">
        <v>1490</v>
      </c>
      <c r="FB47" s="1" t="s">
        <v>1491</v>
      </c>
      <c r="FC47" s="1" t="s">
        <v>1492</v>
      </c>
      <c r="FD47" s="1" t="s">
        <v>1531</v>
      </c>
      <c r="FE47" s="1" t="s">
        <v>1532</v>
      </c>
      <c r="FF47" s="1" t="s">
        <v>1533</v>
      </c>
      <c r="FG47" s="1" t="s">
        <v>1534</v>
      </c>
      <c r="FH47" s="1" t="s">
        <v>1535</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4"/>
  <sheetViews>
    <sheetView workbookViewId="0">
      <selection activeCell="F3" sqref="F3"/>
    </sheetView>
  </sheetViews>
  <sheetFormatPr baseColWidth="10" defaultColWidth="9.1640625" defaultRowHeight="15" x14ac:dyDescent="0.2"/>
  <cols>
    <col min="1" max="1" width="11.83203125" style="8" bestFit="1" customWidth="1"/>
    <col min="2" max="2" width="44" style="8" customWidth="1"/>
    <col min="3" max="3" width="9.1640625" style="8"/>
    <col min="4" max="4" width="10" style="8" bestFit="1" customWidth="1"/>
    <col min="5" max="16384" width="9.1640625" style="8"/>
  </cols>
  <sheetData>
    <row r="1" spans="1:6" x14ac:dyDescent="0.2">
      <c r="A1" s="1" t="s">
        <v>0</v>
      </c>
      <c r="B1" s="1" t="s">
        <v>23</v>
      </c>
    </row>
    <row r="2" spans="1:6" x14ac:dyDescent="0.2">
      <c r="A2" s="1">
        <v>2</v>
      </c>
      <c r="B2" s="1" t="s">
        <v>47</v>
      </c>
      <c r="D2" s="22" t="s">
        <v>1373</v>
      </c>
      <c r="E2" s="23">
        <f>COUNTA(B2:B164)</f>
        <v>163</v>
      </c>
      <c r="F2" s="24" t="s">
        <v>1375</v>
      </c>
    </row>
    <row r="3" spans="1:6" x14ac:dyDescent="0.2">
      <c r="A3" s="1">
        <v>5</v>
      </c>
      <c r="B3" s="1" t="s">
        <v>47</v>
      </c>
      <c r="D3" s="11" t="s">
        <v>163</v>
      </c>
      <c r="E3" s="16">
        <f>COUNTIF(B:B,"Yes")</f>
        <v>148</v>
      </c>
      <c r="F3" s="19">
        <f>E3/E2*100</f>
        <v>90.797546012269933</v>
      </c>
    </row>
    <row r="4" spans="1:6" x14ac:dyDescent="0.2">
      <c r="A4" s="1">
        <v>6</v>
      </c>
      <c r="B4" s="1" t="s">
        <v>47</v>
      </c>
      <c r="D4" s="10" t="s">
        <v>270</v>
      </c>
      <c r="E4" s="25">
        <f>COUNTIF(B:B,"No")</f>
        <v>15</v>
      </c>
      <c r="F4" s="21">
        <f>E4/E2*100</f>
        <v>9.2024539877300615</v>
      </c>
    </row>
    <row r="5" spans="1:6" x14ac:dyDescent="0.2">
      <c r="A5" s="1">
        <v>11</v>
      </c>
      <c r="B5" s="1" t="s">
        <v>47</v>
      </c>
    </row>
    <row r="6" spans="1:6" x14ac:dyDescent="0.2">
      <c r="A6" s="1">
        <v>18</v>
      </c>
      <c r="B6" s="1" t="s">
        <v>46</v>
      </c>
    </row>
    <row r="7" spans="1:6" x14ac:dyDescent="0.2">
      <c r="A7" s="1">
        <v>21</v>
      </c>
      <c r="B7" s="1" t="s">
        <v>46</v>
      </c>
    </row>
    <row r="8" spans="1:6" x14ac:dyDescent="0.2">
      <c r="A8" s="1">
        <v>22</v>
      </c>
      <c r="B8" s="1" t="s">
        <v>47</v>
      </c>
    </row>
    <row r="9" spans="1:6" x14ac:dyDescent="0.2">
      <c r="A9" s="1">
        <v>26</v>
      </c>
      <c r="B9" s="1" t="s">
        <v>46</v>
      </c>
    </row>
    <row r="10" spans="1:6" x14ac:dyDescent="0.2">
      <c r="A10" s="1">
        <v>30</v>
      </c>
      <c r="B10" s="1" t="s">
        <v>47</v>
      </c>
    </row>
    <row r="11" spans="1:6" x14ac:dyDescent="0.2">
      <c r="A11" s="1">
        <v>31</v>
      </c>
      <c r="B11" s="1" t="s">
        <v>47</v>
      </c>
    </row>
    <row r="12" spans="1:6" x14ac:dyDescent="0.2">
      <c r="A12" s="1">
        <v>28</v>
      </c>
      <c r="B12" s="1" t="s">
        <v>47</v>
      </c>
    </row>
    <row r="13" spans="1:6" x14ac:dyDescent="0.2">
      <c r="A13" s="1">
        <v>32</v>
      </c>
      <c r="B13" s="1" t="s">
        <v>47</v>
      </c>
    </row>
    <row r="14" spans="1:6" x14ac:dyDescent="0.2">
      <c r="A14" s="1">
        <v>34</v>
      </c>
      <c r="B14" s="1" t="s">
        <v>47</v>
      </c>
    </row>
    <row r="15" spans="1:6" x14ac:dyDescent="0.2">
      <c r="A15" s="1">
        <v>35</v>
      </c>
      <c r="B15" s="1" t="s">
        <v>47</v>
      </c>
    </row>
    <row r="16" spans="1:6" x14ac:dyDescent="0.2">
      <c r="A16" s="1">
        <v>36</v>
      </c>
      <c r="B16" s="1" t="s">
        <v>47</v>
      </c>
    </row>
    <row r="17" spans="1:2" x14ac:dyDescent="0.2">
      <c r="A17" s="1">
        <v>38</v>
      </c>
      <c r="B17" s="1" t="s">
        <v>47</v>
      </c>
    </row>
    <row r="18" spans="1:2" x14ac:dyDescent="0.2">
      <c r="A18" s="1">
        <v>40</v>
      </c>
      <c r="B18" s="1" t="s">
        <v>47</v>
      </c>
    </row>
    <row r="19" spans="1:2" x14ac:dyDescent="0.2">
      <c r="A19" s="1">
        <v>41</v>
      </c>
      <c r="B19" s="1" t="s">
        <v>47</v>
      </c>
    </row>
    <row r="20" spans="1:2" x14ac:dyDescent="0.2">
      <c r="A20" s="1">
        <v>42</v>
      </c>
      <c r="B20" s="1" t="s">
        <v>47</v>
      </c>
    </row>
    <row r="21" spans="1:2" x14ac:dyDescent="0.2">
      <c r="A21" s="1">
        <v>44</v>
      </c>
      <c r="B21" s="1" t="s">
        <v>47</v>
      </c>
    </row>
    <row r="22" spans="1:2" x14ac:dyDescent="0.2">
      <c r="A22" s="1">
        <v>46</v>
      </c>
      <c r="B22" s="1" t="s">
        <v>47</v>
      </c>
    </row>
    <row r="23" spans="1:2" x14ac:dyDescent="0.2">
      <c r="A23" s="1">
        <v>47</v>
      </c>
      <c r="B23" s="1" t="s">
        <v>47</v>
      </c>
    </row>
    <row r="24" spans="1:2" x14ac:dyDescent="0.2">
      <c r="A24" s="1">
        <v>49</v>
      </c>
      <c r="B24" s="1" t="s">
        <v>47</v>
      </c>
    </row>
    <row r="25" spans="1:2" x14ac:dyDescent="0.2">
      <c r="A25" s="1">
        <v>50</v>
      </c>
      <c r="B25" s="1" t="s">
        <v>47</v>
      </c>
    </row>
    <row r="26" spans="1:2" x14ac:dyDescent="0.2">
      <c r="A26" s="1">
        <v>51</v>
      </c>
      <c r="B26" s="1" t="s">
        <v>47</v>
      </c>
    </row>
    <row r="27" spans="1:2" x14ac:dyDescent="0.2">
      <c r="A27" s="1">
        <v>53</v>
      </c>
      <c r="B27" s="1" t="s">
        <v>47</v>
      </c>
    </row>
    <row r="28" spans="1:2" x14ac:dyDescent="0.2">
      <c r="A28" s="1">
        <v>55</v>
      </c>
      <c r="B28" s="1" t="s">
        <v>46</v>
      </c>
    </row>
    <row r="29" spans="1:2" x14ac:dyDescent="0.2">
      <c r="A29" s="1">
        <v>60</v>
      </c>
      <c r="B29" s="1" t="s">
        <v>47</v>
      </c>
    </row>
    <row r="30" spans="1:2" x14ac:dyDescent="0.2">
      <c r="A30" s="1">
        <v>61</v>
      </c>
      <c r="B30" s="1" t="s">
        <v>47</v>
      </c>
    </row>
    <row r="31" spans="1:2" x14ac:dyDescent="0.2">
      <c r="A31" s="1">
        <v>62</v>
      </c>
      <c r="B31" s="1" t="s">
        <v>47</v>
      </c>
    </row>
    <row r="32" spans="1:2" x14ac:dyDescent="0.2">
      <c r="A32" s="1">
        <v>65</v>
      </c>
      <c r="B32" s="1" t="s">
        <v>47</v>
      </c>
    </row>
    <row r="33" spans="1:2" x14ac:dyDescent="0.2">
      <c r="A33" s="1">
        <v>70</v>
      </c>
      <c r="B33" s="1" t="s">
        <v>47</v>
      </c>
    </row>
    <row r="34" spans="1:2" x14ac:dyDescent="0.2">
      <c r="A34" s="1">
        <v>71</v>
      </c>
      <c r="B34" s="1" t="s">
        <v>47</v>
      </c>
    </row>
    <row r="35" spans="1:2" x14ac:dyDescent="0.2">
      <c r="A35" s="1">
        <v>72</v>
      </c>
      <c r="B35" s="1" t="s">
        <v>47</v>
      </c>
    </row>
    <row r="36" spans="1:2" x14ac:dyDescent="0.2">
      <c r="A36" s="1">
        <v>74</v>
      </c>
      <c r="B36" s="1" t="s">
        <v>47</v>
      </c>
    </row>
    <row r="37" spans="1:2" x14ac:dyDescent="0.2">
      <c r="A37" s="1">
        <v>75</v>
      </c>
      <c r="B37" s="1" t="s">
        <v>47</v>
      </c>
    </row>
    <row r="38" spans="1:2" x14ac:dyDescent="0.2">
      <c r="A38" s="1">
        <v>76</v>
      </c>
      <c r="B38" s="1" t="s">
        <v>47</v>
      </c>
    </row>
    <row r="39" spans="1:2" x14ac:dyDescent="0.2">
      <c r="A39" s="1">
        <v>78</v>
      </c>
      <c r="B39" s="1" t="s">
        <v>47</v>
      </c>
    </row>
    <row r="40" spans="1:2" x14ac:dyDescent="0.2">
      <c r="A40" s="1">
        <v>79</v>
      </c>
      <c r="B40" s="1" t="s">
        <v>47</v>
      </c>
    </row>
    <row r="41" spans="1:2" x14ac:dyDescent="0.2">
      <c r="A41" s="1">
        <v>80</v>
      </c>
      <c r="B41" s="1" t="s">
        <v>47</v>
      </c>
    </row>
    <row r="42" spans="1:2" x14ac:dyDescent="0.2">
      <c r="A42" s="1">
        <v>87</v>
      </c>
      <c r="B42" s="1" t="s">
        <v>47</v>
      </c>
    </row>
    <row r="43" spans="1:2" x14ac:dyDescent="0.2">
      <c r="A43" s="1">
        <v>89</v>
      </c>
      <c r="B43" s="1" t="s">
        <v>47</v>
      </c>
    </row>
    <row r="44" spans="1:2" x14ac:dyDescent="0.2">
      <c r="A44" s="1">
        <v>90</v>
      </c>
      <c r="B44" s="1" t="s">
        <v>47</v>
      </c>
    </row>
    <row r="45" spans="1:2" x14ac:dyDescent="0.2">
      <c r="A45" s="1">
        <v>91</v>
      </c>
      <c r="B45" s="1" t="s">
        <v>47</v>
      </c>
    </row>
    <row r="46" spans="1:2" x14ac:dyDescent="0.2">
      <c r="A46" s="1">
        <v>92</v>
      </c>
      <c r="B46" s="1" t="s">
        <v>47</v>
      </c>
    </row>
    <row r="47" spans="1:2" x14ac:dyDescent="0.2">
      <c r="A47" s="1">
        <v>93</v>
      </c>
      <c r="B47" s="1" t="s">
        <v>47</v>
      </c>
    </row>
    <row r="48" spans="1:2" x14ac:dyDescent="0.2">
      <c r="A48" s="1">
        <v>95</v>
      </c>
      <c r="B48" s="1" t="s">
        <v>47</v>
      </c>
    </row>
    <row r="49" spans="1:2" x14ac:dyDescent="0.2">
      <c r="A49" s="1">
        <v>96</v>
      </c>
      <c r="B49" s="1" t="s">
        <v>47</v>
      </c>
    </row>
    <row r="50" spans="1:2" x14ac:dyDescent="0.2">
      <c r="A50" s="1">
        <v>100</v>
      </c>
      <c r="B50" s="1" t="s">
        <v>47</v>
      </c>
    </row>
    <row r="51" spans="1:2" x14ac:dyDescent="0.2">
      <c r="A51" s="1">
        <v>104</v>
      </c>
      <c r="B51" s="1" t="s">
        <v>47</v>
      </c>
    </row>
    <row r="52" spans="1:2" x14ac:dyDescent="0.2">
      <c r="A52" s="1">
        <v>107</v>
      </c>
      <c r="B52" s="1" t="s">
        <v>47</v>
      </c>
    </row>
    <row r="53" spans="1:2" x14ac:dyDescent="0.2">
      <c r="A53" s="1">
        <v>109</v>
      </c>
      <c r="B53" s="1" t="s">
        <v>47</v>
      </c>
    </row>
    <row r="54" spans="1:2" x14ac:dyDescent="0.2">
      <c r="A54" s="1">
        <v>110</v>
      </c>
      <c r="B54" s="1" t="s">
        <v>47</v>
      </c>
    </row>
    <row r="55" spans="1:2" x14ac:dyDescent="0.2">
      <c r="A55" s="1">
        <v>112</v>
      </c>
      <c r="B55" s="1" t="s">
        <v>47</v>
      </c>
    </row>
    <row r="56" spans="1:2" x14ac:dyDescent="0.2">
      <c r="A56" s="1">
        <v>118</v>
      </c>
      <c r="B56" s="1" t="s">
        <v>47</v>
      </c>
    </row>
    <row r="57" spans="1:2" x14ac:dyDescent="0.2">
      <c r="A57" s="1">
        <v>119</v>
      </c>
      <c r="B57" s="1" t="s">
        <v>47</v>
      </c>
    </row>
    <row r="58" spans="1:2" x14ac:dyDescent="0.2">
      <c r="A58" s="1">
        <v>120</v>
      </c>
      <c r="B58" s="1" t="s">
        <v>47</v>
      </c>
    </row>
    <row r="59" spans="1:2" x14ac:dyDescent="0.2">
      <c r="A59" s="1">
        <v>121</v>
      </c>
      <c r="B59" s="1" t="s">
        <v>47</v>
      </c>
    </row>
    <row r="60" spans="1:2" x14ac:dyDescent="0.2">
      <c r="A60" s="1">
        <v>122</v>
      </c>
      <c r="B60" s="1" t="s">
        <v>47</v>
      </c>
    </row>
    <row r="61" spans="1:2" x14ac:dyDescent="0.2">
      <c r="A61" s="1">
        <v>127</v>
      </c>
      <c r="B61" s="1" t="s">
        <v>47</v>
      </c>
    </row>
    <row r="62" spans="1:2" x14ac:dyDescent="0.2">
      <c r="A62" s="1">
        <v>128</v>
      </c>
      <c r="B62" s="1" t="s">
        <v>47</v>
      </c>
    </row>
    <row r="63" spans="1:2" x14ac:dyDescent="0.2">
      <c r="A63" s="1">
        <v>132</v>
      </c>
      <c r="B63" s="1" t="s">
        <v>47</v>
      </c>
    </row>
    <row r="64" spans="1:2" x14ac:dyDescent="0.2">
      <c r="A64" s="1">
        <v>135</v>
      </c>
      <c r="B64" s="1" t="s">
        <v>47</v>
      </c>
    </row>
    <row r="65" spans="1:2" x14ac:dyDescent="0.2">
      <c r="A65" s="1">
        <v>136</v>
      </c>
      <c r="B65" s="1" t="s">
        <v>47</v>
      </c>
    </row>
    <row r="66" spans="1:2" x14ac:dyDescent="0.2">
      <c r="A66" s="1">
        <v>138</v>
      </c>
      <c r="B66" s="1" t="s">
        <v>47</v>
      </c>
    </row>
    <row r="67" spans="1:2" x14ac:dyDescent="0.2">
      <c r="A67" s="1">
        <v>139</v>
      </c>
      <c r="B67" s="1" t="s">
        <v>47</v>
      </c>
    </row>
    <row r="68" spans="1:2" x14ac:dyDescent="0.2">
      <c r="A68" s="1">
        <v>140</v>
      </c>
      <c r="B68" s="1" t="s">
        <v>47</v>
      </c>
    </row>
    <row r="69" spans="1:2" x14ac:dyDescent="0.2">
      <c r="A69" s="1">
        <v>148</v>
      </c>
      <c r="B69" s="1" t="s">
        <v>47</v>
      </c>
    </row>
    <row r="70" spans="1:2" x14ac:dyDescent="0.2">
      <c r="A70" s="1">
        <v>149</v>
      </c>
      <c r="B70" s="1" t="s">
        <v>47</v>
      </c>
    </row>
    <row r="71" spans="1:2" x14ac:dyDescent="0.2">
      <c r="A71" s="1">
        <v>150</v>
      </c>
      <c r="B71" s="1" t="s">
        <v>47</v>
      </c>
    </row>
    <row r="72" spans="1:2" x14ac:dyDescent="0.2">
      <c r="A72" s="1">
        <v>151</v>
      </c>
      <c r="B72" s="1" t="s">
        <v>47</v>
      </c>
    </row>
    <row r="73" spans="1:2" x14ac:dyDescent="0.2">
      <c r="A73" s="1">
        <v>152</v>
      </c>
      <c r="B73" s="1" t="s">
        <v>47</v>
      </c>
    </row>
    <row r="74" spans="1:2" x14ac:dyDescent="0.2">
      <c r="A74" s="1">
        <v>153</v>
      </c>
      <c r="B74" s="1" t="s">
        <v>47</v>
      </c>
    </row>
    <row r="75" spans="1:2" x14ac:dyDescent="0.2">
      <c r="A75" s="1">
        <v>157</v>
      </c>
      <c r="B75" s="1" t="s">
        <v>47</v>
      </c>
    </row>
    <row r="76" spans="1:2" x14ac:dyDescent="0.2">
      <c r="A76" s="1">
        <v>156</v>
      </c>
      <c r="B76" s="1" t="s">
        <v>47</v>
      </c>
    </row>
    <row r="77" spans="1:2" x14ac:dyDescent="0.2">
      <c r="A77" s="1">
        <v>162</v>
      </c>
      <c r="B77" s="1" t="s">
        <v>47</v>
      </c>
    </row>
    <row r="78" spans="1:2" x14ac:dyDescent="0.2">
      <c r="A78" s="1">
        <v>164</v>
      </c>
      <c r="B78" s="1" t="s">
        <v>47</v>
      </c>
    </row>
    <row r="79" spans="1:2" x14ac:dyDescent="0.2">
      <c r="A79" s="1">
        <v>166</v>
      </c>
      <c r="B79" s="1" t="s">
        <v>46</v>
      </c>
    </row>
    <row r="80" spans="1:2" x14ac:dyDescent="0.2">
      <c r="A80" s="1">
        <v>170</v>
      </c>
      <c r="B80" s="1" t="s">
        <v>47</v>
      </c>
    </row>
    <row r="81" spans="1:2" x14ac:dyDescent="0.2">
      <c r="A81" s="1">
        <v>173</v>
      </c>
      <c r="B81" s="1" t="s">
        <v>47</v>
      </c>
    </row>
    <row r="82" spans="1:2" x14ac:dyDescent="0.2">
      <c r="A82" s="1">
        <v>175</v>
      </c>
      <c r="B82" s="1" t="s">
        <v>47</v>
      </c>
    </row>
    <row r="83" spans="1:2" x14ac:dyDescent="0.2">
      <c r="A83" s="1">
        <v>178</v>
      </c>
      <c r="B83" s="1" t="s">
        <v>47</v>
      </c>
    </row>
    <row r="84" spans="1:2" x14ac:dyDescent="0.2">
      <c r="A84" s="1">
        <v>183</v>
      </c>
      <c r="B84" s="1" t="s">
        <v>47</v>
      </c>
    </row>
    <row r="85" spans="1:2" x14ac:dyDescent="0.2">
      <c r="A85" s="1">
        <v>185</v>
      </c>
      <c r="B85" s="1" t="s">
        <v>47</v>
      </c>
    </row>
    <row r="86" spans="1:2" x14ac:dyDescent="0.2">
      <c r="A86" s="1">
        <v>186</v>
      </c>
      <c r="B86" s="1" t="s">
        <v>46</v>
      </c>
    </row>
    <row r="87" spans="1:2" x14ac:dyDescent="0.2">
      <c r="A87" s="1">
        <v>189</v>
      </c>
      <c r="B87" s="1" t="s">
        <v>47</v>
      </c>
    </row>
    <row r="88" spans="1:2" x14ac:dyDescent="0.2">
      <c r="A88" s="1">
        <v>190</v>
      </c>
      <c r="B88" s="1" t="s">
        <v>47</v>
      </c>
    </row>
    <row r="89" spans="1:2" x14ac:dyDescent="0.2">
      <c r="A89" s="1">
        <v>192</v>
      </c>
      <c r="B89" s="1" t="s">
        <v>47</v>
      </c>
    </row>
    <row r="90" spans="1:2" x14ac:dyDescent="0.2">
      <c r="A90" s="1">
        <v>193</v>
      </c>
      <c r="B90" s="1" t="s">
        <v>46</v>
      </c>
    </row>
    <row r="91" spans="1:2" x14ac:dyDescent="0.2">
      <c r="A91" s="1">
        <v>196</v>
      </c>
      <c r="B91" s="1" t="s">
        <v>46</v>
      </c>
    </row>
    <row r="92" spans="1:2" x14ac:dyDescent="0.2">
      <c r="A92" s="1">
        <v>197</v>
      </c>
      <c r="B92" s="1" t="s">
        <v>47</v>
      </c>
    </row>
    <row r="93" spans="1:2" x14ac:dyDescent="0.2">
      <c r="A93" s="1">
        <v>200</v>
      </c>
      <c r="B93" s="1" t="s">
        <v>47</v>
      </c>
    </row>
    <row r="94" spans="1:2" x14ac:dyDescent="0.2">
      <c r="A94" s="1">
        <v>203</v>
      </c>
      <c r="B94" s="1" t="s">
        <v>47</v>
      </c>
    </row>
    <row r="95" spans="1:2" x14ac:dyDescent="0.2">
      <c r="A95" s="1">
        <v>204</v>
      </c>
      <c r="B95" s="1" t="s">
        <v>46</v>
      </c>
    </row>
    <row r="96" spans="1:2" x14ac:dyDescent="0.2">
      <c r="A96" s="1">
        <v>207</v>
      </c>
      <c r="B96" s="1" t="s">
        <v>46</v>
      </c>
    </row>
    <row r="97" spans="1:2" x14ac:dyDescent="0.2">
      <c r="A97" s="1">
        <v>208</v>
      </c>
      <c r="B97" s="1" t="s">
        <v>47</v>
      </c>
    </row>
    <row r="98" spans="1:2" x14ac:dyDescent="0.2">
      <c r="A98" s="1">
        <v>210</v>
      </c>
      <c r="B98" s="1" t="s">
        <v>47</v>
      </c>
    </row>
    <row r="99" spans="1:2" x14ac:dyDescent="0.2">
      <c r="A99" s="1">
        <v>212</v>
      </c>
      <c r="B99" s="1" t="s">
        <v>47</v>
      </c>
    </row>
    <row r="100" spans="1:2" x14ac:dyDescent="0.2">
      <c r="A100" s="1">
        <v>215</v>
      </c>
      <c r="B100" s="1" t="s">
        <v>47</v>
      </c>
    </row>
    <row r="101" spans="1:2" x14ac:dyDescent="0.2">
      <c r="A101" s="1">
        <v>217</v>
      </c>
      <c r="B101" s="1" t="s">
        <v>47</v>
      </c>
    </row>
    <row r="102" spans="1:2" x14ac:dyDescent="0.2">
      <c r="A102" s="1">
        <v>219</v>
      </c>
      <c r="B102" s="1" t="s">
        <v>47</v>
      </c>
    </row>
    <row r="103" spans="1:2" x14ac:dyDescent="0.2">
      <c r="A103" s="1">
        <v>221</v>
      </c>
      <c r="B103" s="1" t="s">
        <v>47</v>
      </c>
    </row>
    <row r="104" spans="1:2" x14ac:dyDescent="0.2">
      <c r="A104" s="1">
        <v>222</v>
      </c>
      <c r="B104" s="1" t="s">
        <v>47</v>
      </c>
    </row>
    <row r="105" spans="1:2" x14ac:dyDescent="0.2">
      <c r="A105" s="1">
        <v>223</v>
      </c>
      <c r="B105" s="1" t="s">
        <v>47</v>
      </c>
    </row>
    <row r="106" spans="1:2" x14ac:dyDescent="0.2">
      <c r="A106" s="1">
        <v>226</v>
      </c>
      <c r="B106" s="1" t="s">
        <v>47</v>
      </c>
    </row>
    <row r="107" spans="1:2" x14ac:dyDescent="0.2">
      <c r="A107" s="1">
        <v>231</v>
      </c>
      <c r="B107" s="1" t="s">
        <v>47</v>
      </c>
    </row>
    <row r="108" spans="1:2" x14ac:dyDescent="0.2">
      <c r="A108" s="1">
        <v>232</v>
      </c>
      <c r="B108" s="1" t="s">
        <v>47</v>
      </c>
    </row>
    <row r="109" spans="1:2" x14ac:dyDescent="0.2">
      <c r="A109" s="1">
        <v>233</v>
      </c>
      <c r="B109" s="1" t="s">
        <v>46</v>
      </c>
    </row>
    <row r="110" spans="1:2" x14ac:dyDescent="0.2">
      <c r="A110" s="1">
        <v>236</v>
      </c>
      <c r="B110" s="1" t="s">
        <v>47</v>
      </c>
    </row>
    <row r="111" spans="1:2" x14ac:dyDescent="0.2">
      <c r="A111" s="1">
        <v>238</v>
      </c>
      <c r="B111" s="1" t="s">
        <v>47</v>
      </c>
    </row>
    <row r="112" spans="1:2" x14ac:dyDescent="0.2">
      <c r="A112" s="1">
        <v>241</v>
      </c>
      <c r="B112" s="1" t="s">
        <v>47</v>
      </c>
    </row>
    <row r="113" spans="1:2" x14ac:dyDescent="0.2">
      <c r="A113" s="1">
        <v>242</v>
      </c>
      <c r="B113" s="1" t="s">
        <v>46</v>
      </c>
    </row>
    <row r="114" spans="1:2" x14ac:dyDescent="0.2">
      <c r="A114" s="1">
        <v>245</v>
      </c>
      <c r="B114" s="1" t="s">
        <v>47</v>
      </c>
    </row>
    <row r="115" spans="1:2" x14ac:dyDescent="0.2">
      <c r="A115" s="1">
        <v>247</v>
      </c>
      <c r="B115" s="1" t="s">
        <v>47</v>
      </c>
    </row>
    <row r="116" spans="1:2" x14ac:dyDescent="0.2">
      <c r="A116" s="1">
        <v>249</v>
      </c>
      <c r="B116" s="1" t="s">
        <v>47</v>
      </c>
    </row>
    <row r="117" spans="1:2" x14ac:dyDescent="0.2">
      <c r="A117" s="1">
        <v>250</v>
      </c>
      <c r="B117" s="1" t="s">
        <v>47</v>
      </c>
    </row>
    <row r="118" spans="1:2" x14ac:dyDescent="0.2">
      <c r="A118" s="1">
        <v>254</v>
      </c>
      <c r="B118" s="1" t="s">
        <v>46</v>
      </c>
    </row>
    <row r="119" spans="1:2" x14ac:dyDescent="0.2">
      <c r="A119" s="1">
        <v>256</v>
      </c>
      <c r="B119" s="1" t="s">
        <v>46</v>
      </c>
    </row>
    <row r="120" spans="1:2" x14ac:dyDescent="0.2">
      <c r="A120" s="1">
        <v>257</v>
      </c>
      <c r="B120" s="1" t="s">
        <v>47</v>
      </c>
    </row>
    <row r="121" spans="1:2" x14ac:dyDescent="0.2">
      <c r="A121" s="1">
        <v>260</v>
      </c>
      <c r="B121" s="1" t="s">
        <v>47</v>
      </c>
    </row>
    <row r="122" spans="1:2" x14ac:dyDescent="0.2">
      <c r="A122" s="1">
        <v>262</v>
      </c>
      <c r="B122" s="1" t="s">
        <v>47</v>
      </c>
    </row>
    <row r="123" spans="1:2" x14ac:dyDescent="0.2">
      <c r="A123" s="1">
        <v>263</v>
      </c>
      <c r="B123" s="1" t="s">
        <v>47</v>
      </c>
    </row>
    <row r="124" spans="1:2" x14ac:dyDescent="0.2">
      <c r="A124" s="1">
        <v>272</v>
      </c>
      <c r="B124" s="1" t="s">
        <v>47</v>
      </c>
    </row>
    <row r="125" spans="1:2" x14ac:dyDescent="0.2">
      <c r="A125" s="1">
        <v>273</v>
      </c>
      <c r="B125" s="1" t="s">
        <v>47</v>
      </c>
    </row>
    <row r="126" spans="1:2" x14ac:dyDescent="0.2">
      <c r="A126" s="1">
        <v>280</v>
      </c>
      <c r="B126" s="1" t="s">
        <v>47</v>
      </c>
    </row>
    <row r="127" spans="1:2" x14ac:dyDescent="0.2">
      <c r="A127" s="1">
        <v>282</v>
      </c>
      <c r="B127" s="1" t="s">
        <v>47</v>
      </c>
    </row>
    <row r="128" spans="1:2" x14ac:dyDescent="0.2">
      <c r="A128" s="1">
        <v>286</v>
      </c>
      <c r="B128" s="1" t="s">
        <v>47</v>
      </c>
    </row>
    <row r="129" spans="1:2" x14ac:dyDescent="0.2">
      <c r="A129" s="1">
        <v>287</v>
      </c>
      <c r="B129" s="1" t="s">
        <v>47</v>
      </c>
    </row>
    <row r="130" spans="1:2" x14ac:dyDescent="0.2">
      <c r="A130" s="1">
        <v>288</v>
      </c>
      <c r="B130" s="1" t="s">
        <v>46</v>
      </c>
    </row>
    <row r="131" spans="1:2" x14ac:dyDescent="0.2">
      <c r="A131" s="1">
        <v>289</v>
      </c>
      <c r="B131" s="1" t="s">
        <v>47</v>
      </c>
    </row>
    <row r="132" spans="1:2" x14ac:dyDescent="0.2">
      <c r="A132" s="1">
        <v>290</v>
      </c>
      <c r="B132" s="1" t="s">
        <v>47</v>
      </c>
    </row>
    <row r="133" spans="1:2" x14ac:dyDescent="0.2">
      <c r="A133" s="1">
        <v>291</v>
      </c>
      <c r="B133" s="1" t="s">
        <v>47</v>
      </c>
    </row>
    <row r="134" spans="1:2" x14ac:dyDescent="0.2">
      <c r="A134" s="1">
        <v>293</v>
      </c>
      <c r="B134" s="1" t="s">
        <v>47</v>
      </c>
    </row>
    <row r="135" spans="1:2" x14ac:dyDescent="0.2">
      <c r="A135" s="1">
        <v>294</v>
      </c>
      <c r="B135" s="1" t="s">
        <v>47</v>
      </c>
    </row>
    <row r="136" spans="1:2" x14ac:dyDescent="0.2">
      <c r="A136" s="1">
        <v>295</v>
      </c>
      <c r="B136" s="1" t="s">
        <v>47</v>
      </c>
    </row>
    <row r="137" spans="1:2" x14ac:dyDescent="0.2">
      <c r="A137" s="1">
        <v>297</v>
      </c>
      <c r="B137" s="1" t="s">
        <v>47</v>
      </c>
    </row>
    <row r="138" spans="1:2" x14ac:dyDescent="0.2">
      <c r="A138" s="1">
        <v>298</v>
      </c>
      <c r="B138" s="1" t="s">
        <v>47</v>
      </c>
    </row>
    <row r="139" spans="1:2" x14ac:dyDescent="0.2">
      <c r="A139" s="1">
        <v>300</v>
      </c>
      <c r="B139" s="1" t="s">
        <v>47</v>
      </c>
    </row>
    <row r="140" spans="1:2" x14ac:dyDescent="0.2">
      <c r="A140" s="1">
        <v>301</v>
      </c>
      <c r="B140" s="1" t="s">
        <v>47</v>
      </c>
    </row>
    <row r="141" spans="1:2" x14ac:dyDescent="0.2">
      <c r="A141" s="1">
        <v>302</v>
      </c>
      <c r="B141" s="1" t="s">
        <v>47</v>
      </c>
    </row>
    <row r="142" spans="1:2" x14ac:dyDescent="0.2">
      <c r="A142" s="6">
        <v>303</v>
      </c>
      <c r="B142" s="6" t="s">
        <v>47</v>
      </c>
    </row>
    <row r="143" spans="1:2" x14ac:dyDescent="0.2">
      <c r="A143" s="1">
        <v>304</v>
      </c>
      <c r="B143" s="1" t="s">
        <v>47</v>
      </c>
    </row>
    <row r="144" spans="1:2" x14ac:dyDescent="0.2">
      <c r="A144" s="1">
        <v>305</v>
      </c>
      <c r="B144" s="1" t="s">
        <v>47</v>
      </c>
    </row>
    <row r="145" spans="1:2" x14ac:dyDescent="0.2">
      <c r="A145" s="1">
        <v>307</v>
      </c>
      <c r="B145" s="1" t="s">
        <v>47</v>
      </c>
    </row>
    <row r="146" spans="1:2" x14ac:dyDescent="0.2">
      <c r="A146" s="1">
        <v>308</v>
      </c>
      <c r="B146" s="1" t="s">
        <v>47</v>
      </c>
    </row>
    <row r="147" spans="1:2" x14ac:dyDescent="0.2">
      <c r="A147" s="8">
        <v>310</v>
      </c>
      <c r="B147" s="8" t="s">
        <v>47</v>
      </c>
    </row>
    <row r="148" spans="1:2" x14ac:dyDescent="0.2">
      <c r="A148" s="8">
        <v>312</v>
      </c>
      <c r="B148" s="8" t="s">
        <v>47</v>
      </c>
    </row>
    <row r="149" spans="1:2" x14ac:dyDescent="0.2">
      <c r="A149" s="8">
        <v>314</v>
      </c>
      <c r="B149" s="8" t="s">
        <v>47</v>
      </c>
    </row>
    <row r="150" spans="1:2" x14ac:dyDescent="0.2">
      <c r="A150" s="8">
        <v>315</v>
      </c>
      <c r="B150" s="8" t="s">
        <v>47</v>
      </c>
    </row>
    <row r="151" spans="1:2" x14ac:dyDescent="0.2">
      <c r="A151" s="8">
        <v>316</v>
      </c>
      <c r="B151" s="8" t="s">
        <v>47</v>
      </c>
    </row>
    <row r="152" spans="1:2" x14ac:dyDescent="0.2">
      <c r="A152" s="8">
        <v>317</v>
      </c>
      <c r="B152" s="8" t="s">
        <v>47</v>
      </c>
    </row>
    <row r="153" spans="1:2" x14ac:dyDescent="0.2">
      <c r="A153" s="8">
        <v>319</v>
      </c>
      <c r="B153" s="8" t="s">
        <v>47</v>
      </c>
    </row>
    <row r="154" spans="1:2" x14ac:dyDescent="0.2">
      <c r="A154" s="8">
        <v>323</v>
      </c>
      <c r="B154" s="8" t="s">
        <v>47</v>
      </c>
    </row>
    <row r="155" spans="1:2" x14ac:dyDescent="0.2">
      <c r="A155" s="8">
        <v>324</v>
      </c>
      <c r="B155" s="8" t="s">
        <v>47</v>
      </c>
    </row>
    <row r="156" spans="1:2" x14ac:dyDescent="0.2">
      <c r="A156" s="8">
        <v>325</v>
      </c>
      <c r="B156" s="8" t="s">
        <v>47</v>
      </c>
    </row>
    <row r="157" spans="1:2" x14ac:dyDescent="0.2">
      <c r="A157" s="8">
        <v>327</v>
      </c>
      <c r="B157" s="8" t="s">
        <v>47</v>
      </c>
    </row>
    <row r="158" spans="1:2" x14ac:dyDescent="0.2">
      <c r="A158" s="8">
        <v>328</v>
      </c>
      <c r="B158" s="8" t="s">
        <v>47</v>
      </c>
    </row>
    <row r="159" spans="1:2" x14ac:dyDescent="0.2">
      <c r="A159" s="8">
        <v>329</v>
      </c>
      <c r="B159" s="8" t="s">
        <v>47</v>
      </c>
    </row>
    <row r="160" spans="1:2" x14ac:dyDescent="0.2">
      <c r="A160" s="8">
        <v>331</v>
      </c>
      <c r="B160" s="1" t="s">
        <v>47</v>
      </c>
    </row>
    <row r="161" spans="1:2" x14ac:dyDescent="0.2">
      <c r="A161" s="8">
        <v>332</v>
      </c>
      <c r="B161" s="1" t="s">
        <v>47</v>
      </c>
    </row>
    <row r="162" spans="1:2" x14ac:dyDescent="0.2">
      <c r="A162" s="8">
        <v>334</v>
      </c>
      <c r="B162" s="1" t="s">
        <v>47</v>
      </c>
    </row>
    <row r="163" spans="1:2" x14ac:dyDescent="0.2">
      <c r="A163" s="8">
        <v>336</v>
      </c>
      <c r="B163" s="1" t="s">
        <v>47</v>
      </c>
    </row>
    <row r="164" spans="1:2" x14ac:dyDescent="0.2">
      <c r="A164" s="8">
        <v>337</v>
      </c>
      <c r="B164" s="1" t="s">
        <v>47</v>
      </c>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164"/>
  <sheetViews>
    <sheetView workbookViewId="0">
      <selection activeCell="I18" sqref="I18"/>
    </sheetView>
  </sheetViews>
  <sheetFormatPr baseColWidth="10" defaultColWidth="9.1640625" defaultRowHeight="15" x14ac:dyDescent="0.2"/>
  <cols>
    <col min="1" max="1" width="11.83203125" style="8" bestFit="1" customWidth="1"/>
    <col min="2" max="3" width="32.83203125" style="8" customWidth="1"/>
    <col min="4" max="4" width="13" style="8" customWidth="1"/>
    <col min="5" max="5" width="6.5" style="8" bestFit="1" customWidth="1"/>
    <col min="6" max="6" width="10.5" style="8" bestFit="1" customWidth="1"/>
    <col min="7" max="16384" width="9.1640625" style="8"/>
  </cols>
  <sheetData>
    <row r="1" spans="1:14" ht="18" customHeight="1" x14ac:dyDescent="0.2">
      <c r="A1" s="1" t="s">
        <v>0</v>
      </c>
      <c r="B1" s="1" t="s">
        <v>24</v>
      </c>
      <c r="C1" s="1" t="s">
        <v>1929</v>
      </c>
      <c r="D1" s="1"/>
      <c r="E1" s="158" t="s">
        <v>1930</v>
      </c>
      <c r="F1" s="158"/>
    </row>
    <row r="2" spans="1:14" x14ac:dyDescent="0.2">
      <c r="A2" s="1">
        <v>2</v>
      </c>
      <c r="B2" s="1">
        <v>2013</v>
      </c>
      <c r="C2" s="1">
        <f>B2</f>
        <v>2013</v>
      </c>
      <c r="D2" s="1"/>
      <c r="E2" s="68" t="s">
        <v>1582</v>
      </c>
      <c r="F2" s="69">
        <f>AVERAGE(C2:C164)</f>
        <v>2009.9932432432433</v>
      </c>
      <c r="G2" s="46"/>
      <c r="H2" s="46"/>
      <c r="I2" s="46"/>
      <c r="J2" s="46"/>
      <c r="K2" s="46"/>
      <c r="L2" s="46"/>
      <c r="M2" s="46"/>
      <c r="N2" s="46"/>
    </row>
    <row r="3" spans="1:14" x14ac:dyDescent="0.2">
      <c r="A3" s="1">
        <v>5</v>
      </c>
      <c r="B3" s="1">
        <v>2010</v>
      </c>
      <c r="C3" s="1">
        <f t="shared" ref="C3:C66" si="0">B3</f>
        <v>2010</v>
      </c>
      <c r="D3" s="1"/>
      <c r="E3" s="70" t="s">
        <v>1370</v>
      </c>
      <c r="F3" s="71">
        <f>_xlfn.STDEV.S(C2:C164)</f>
        <v>3.9408839465995773</v>
      </c>
      <c r="G3" s="46"/>
      <c r="H3" s="46"/>
      <c r="I3" s="46"/>
      <c r="J3" s="46"/>
      <c r="K3" s="46"/>
      <c r="L3" s="46"/>
      <c r="M3" s="46"/>
      <c r="N3" s="46"/>
    </row>
    <row r="4" spans="1:14" x14ac:dyDescent="0.2">
      <c r="A4" s="1">
        <v>6</v>
      </c>
      <c r="B4" s="1">
        <v>1996</v>
      </c>
      <c r="C4" s="1">
        <f t="shared" si="0"/>
        <v>1996</v>
      </c>
      <c r="D4" s="1"/>
      <c r="E4" s="72" t="s">
        <v>1552</v>
      </c>
      <c r="F4" s="73" t="s">
        <v>1931</v>
      </c>
      <c r="G4" s="46"/>
      <c r="H4" s="46"/>
      <c r="I4" s="46"/>
      <c r="J4" s="46"/>
      <c r="K4" s="46"/>
      <c r="L4" s="46"/>
      <c r="M4" s="46"/>
      <c r="N4" s="46"/>
    </row>
    <row r="5" spans="1:14" x14ac:dyDescent="0.2">
      <c r="A5" s="1">
        <v>11</v>
      </c>
      <c r="B5" s="1">
        <v>2009</v>
      </c>
      <c r="C5" s="1">
        <f t="shared" si="0"/>
        <v>2009</v>
      </c>
      <c r="D5" s="1"/>
      <c r="E5" s="1"/>
      <c r="F5" s="1"/>
      <c r="G5" s="46"/>
      <c r="H5" s="46"/>
      <c r="I5" s="46"/>
      <c r="J5" s="46"/>
      <c r="K5" s="46"/>
      <c r="L5" s="46"/>
      <c r="M5" s="46"/>
      <c r="N5" s="46"/>
    </row>
    <row r="6" spans="1:14" x14ac:dyDescent="0.2">
      <c r="A6" s="1">
        <v>18</v>
      </c>
      <c r="B6" s="1"/>
      <c r="C6" s="1"/>
      <c r="D6" s="1"/>
      <c r="E6" s="1"/>
      <c r="F6" s="1"/>
      <c r="G6" s="46"/>
      <c r="H6" s="46"/>
      <c r="I6" s="46"/>
      <c r="J6" s="46"/>
      <c r="K6" s="46"/>
      <c r="L6" s="46"/>
      <c r="M6" s="46"/>
      <c r="N6" s="46"/>
    </row>
    <row r="7" spans="1:14" x14ac:dyDescent="0.2">
      <c r="A7" s="1">
        <v>21</v>
      </c>
      <c r="B7" s="1"/>
      <c r="C7" s="1"/>
      <c r="D7" s="1"/>
      <c r="E7" s="1"/>
      <c r="F7" s="1"/>
      <c r="G7" s="46"/>
      <c r="H7" s="46"/>
      <c r="I7" s="46"/>
      <c r="J7" s="46"/>
      <c r="K7" s="46"/>
      <c r="L7" s="46"/>
      <c r="M7" s="46"/>
      <c r="N7" s="46"/>
    </row>
    <row r="8" spans="1:14" x14ac:dyDescent="0.2">
      <c r="A8" s="1">
        <v>22</v>
      </c>
      <c r="B8" s="1">
        <v>2011</v>
      </c>
      <c r="C8" s="1">
        <f t="shared" si="0"/>
        <v>2011</v>
      </c>
      <c r="D8" s="1"/>
      <c r="E8" s="1"/>
      <c r="F8" s="1"/>
      <c r="G8" s="46"/>
      <c r="H8" s="46"/>
      <c r="I8" s="46"/>
      <c r="J8" s="46"/>
      <c r="K8" s="46"/>
      <c r="L8" s="46"/>
      <c r="M8" s="46"/>
      <c r="N8" s="46"/>
    </row>
    <row r="9" spans="1:14" x14ac:dyDescent="0.2">
      <c r="A9" s="1">
        <v>26</v>
      </c>
      <c r="B9" s="1"/>
      <c r="C9" s="1"/>
      <c r="D9" s="1"/>
      <c r="E9" s="1"/>
      <c r="F9" s="1"/>
      <c r="G9" s="46"/>
      <c r="H9" s="46"/>
      <c r="I9" s="46"/>
      <c r="J9" s="46"/>
      <c r="K9" s="46"/>
      <c r="L9" s="46"/>
      <c r="M9" s="46"/>
      <c r="N9" s="46"/>
    </row>
    <row r="10" spans="1:14" x14ac:dyDescent="0.2">
      <c r="A10" s="1">
        <v>30</v>
      </c>
      <c r="B10" s="1">
        <v>2008</v>
      </c>
      <c r="C10" s="1">
        <f t="shared" si="0"/>
        <v>2008</v>
      </c>
      <c r="D10" s="1"/>
      <c r="E10" s="1"/>
      <c r="F10" s="1"/>
    </row>
    <row r="11" spans="1:14" x14ac:dyDescent="0.2">
      <c r="A11" s="1">
        <v>31</v>
      </c>
      <c r="B11" s="1">
        <v>2008</v>
      </c>
      <c r="C11" s="1">
        <f t="shared" si="0"/>
        <v>2008</v>
      </c>
      <c r="D11" s="1"/>
      <c r="E11" s="1"/>
      <c r="F11" s="1"/>
    </row>
    <row r="12" spans="1:14" x14ac:dyDescent="0.2">
      <c r="A12" s="1">
        <v>28</v>
      </c>
      <c r="B12" s="1">
        <v>2014</v>
      </c>
      <c r="C12" s="1">
        <f t="shared" si="0"/>
        <v>2014</v>
      </c>
      <c r="D12" s="1"/>
      <c r="E12" s="1"/>
      <c r="F12" s="1"/>
    </row>
    <row r="13" spans="1:14" x14ac:dyDescent="0.2">
      <c r="A13" s="1">
        <v>32</v>
      </c>
      <c r="B13" s="1">
        <v>2011</v>
      </c>
      <c r="C13" s="1">
        <f t="shared" si="0"/>
        <v>2011</v>
      </c>
      <c r="D13" s="1"/>
      <c r="E13" s="1"/>
      <c r="F13" s="1"/>
    </row>
    <row r="14" spans="1:14" x14ac:dyDescent="0.2">
      <c r="A14" s="1">
        <v>34</v>
      </c>
      <c r="B14" s="1">
        <v>2010</v>
      </c>
      <c r="C14" s="1">
        <f t="shared" si="0"/>
        <v>2010</v>
      </c>
      <c r="D14" s="1"/>
      <c r="E14" s="1"/>
      <c r="F14" s="1"/>
    </row>
    <row r="15" spans="1:14" x14ac:dyDescent="0.2">
      <c r="A15" s="1">
        <v>35</v>
      </c>
      <c r="B15" s="1">
        <v>5</v>
      </c>
      <c r="C15" s="1">
        <v>2010</v>
      </c>
      <c r="D15" s="1"/>
      <c r="E15" s="1"/>
      <c r="F15" s="1"/>
    </row>
    <row r="16" spans="1:14" x14ac:dyDescent="0.2">
      <c r="A16" s="1">
        <v>36</v>
      </c>
      <c r="B16" s="1">
        <v>1</v>
      </c>
      <c r="C16" s="1">
        <v>2014</v>
      </c>
      <c r="D16" s="1"/>
      <c r="E16" s="1"/>
      <c r="F16" s="1"/>
    </row>
    <row r="17" spans="1:6" x14ac:dyDescent="0.2">
      <c r="A17" s="1">
        <v>38</v>
      </c>
      <c r="B17" s="1">
        <v>2007</v>
      </c>
      <c r="C17" s="1">
        <f t="shared" si="0"/>
        <v>2007</v>
      </c>
      <c r="D17" s="1"/>
      <c r="E17" s="1"/>
      <c r="F17" s="1"/>
    </row>
    <row r="18" spans="1:6" x14ac:dyDescent="0.2">
      <c r="A18" s="1">
        <v>40</v>
      </c>
      <c r="B18" s="1">
        <v>2013</v>
      </c>
      <c r="C18" s="1">
        <f t="shared" si="0"/>
        <v>2013</v>
      </c>
      <c r="D18" s="1"/>
      <c r="E18" s="1"/>
      <c r="F18" s="1"/>
    </row>
    <row r="19" spans="1:6" x14ac:dyDescent="0.2">
      <c r="A19" s="1">
        <v>41</v>
      </c>
      <c r="B19" s="1">
        <v>2012</v>
      </c>
      <c r="C19" s="1">
        <f t="shared" si="0"/>
        <v>2012</v>
      </c>
      <c r="D19" s="1"/>
      <c r="E19" s="1"/>
      <c r="F19" s="1"/>
    </row>
    <row r="20" spans="1:6" x14ac:dyDescent="0.2">
      <c r="A20" s="1">
        <v>42</v>
      </c>
      <c r="B20" s="1">
        <v>2012</v>
      </c>
      <c r="C20" s="1">
        <f t="shared" si="0"/>
        <v>2012</v>
      </c>
      <c r="D20" s="1"/>
      <c r="E20" s="1"/>
      <c r="F20" s="1"/>
    </row>
    <row r="21" spans="1:6" x14ac:dyDescent="0.2">
      <c r="A21" s="1">
        <v>44</v>
      </c>
      <c r="B21" s="1">
        <v>7</v>
      </c>
      <c r="C21" s="1">
        <v>2008</v>
      </c>
      <c r="D21" s="1"/>
      <c r="E21" s="1"/>
      <c r="F21" s="1"/>
    </row>
    <row r="22" spans="1:6" x14ac:dyDescent="0.2">
      <c r="A22" s="1">
        <v>46</v>
      </c>
      <c r="B22" s="1">
        <v>2010</v>
      </c>
      <c r="C22" s="1">
        <f t="shared" si="0"/>
        <v>2010</v>
      </c>
      <c r="D22" s="1"/>
      <c r="E22" s="1"/>
      <c r="F22" s="1"/>
    </row>
    <row r="23" spans="1:6" x14ac:dyDescent="0.2">
      <c r="A23" s="1">
        <v>47</v>
      </c>
      <c r="B23" s="1">
        <v>2006</v>
      </c>
      <c r="C23" s="1">
        <f t="shared" si="0"/>
        <v>2006</v>
      </c>
      <c r="D23" s="1"/>
      <c r="E23" s="1"/>
      <c r="F23" s="1"/>
    </row>
    <row r="24" spans="1:6" x14ac:dyDescent="0.2">
      <c r="A24" s="1">
        <v>49</v>
      </c>
      <c r="B24" s="1">
        <v>2013</v>
      </c>
      <c r="C24" s="1">
        <f t="shared" si="0"/>
        <v>2013</v>
      </c>
      <c r="D24" s="1"/>
      <c r="E24" s="1"/>
      <c r="F24" s="1"/>
    </row>
    <row r="25" spans="1:6" x14ac:dyDescent="0.2">
      <c r="A25" s="1">
        <v>50</v>
      </c>
      <c r="B25" s="1">
        <v>2012</v>
      </c>
      <c r="C25" s="1">
        <f t="shared" si="0"/>
        <v>2012</v>
      </c>
      <c r="D25" s="1"/>
      <c r="E25" s="1"/>
      <c r="F25" s="1"/>
    </row>
    <row r="26" spans="1:6" x14ac:dyDescent="0.2">
      <c r="A26" s="1">
        <v>51</v>
      </c>
      <c r="B26" s="1">
        <v>2012</v>
      </c>
      <c r="C26" s="1">
        <f t="shared" si="0"/>
        <v>2012</v>
      </c>
      <c r="D26" s="1"/>
      <c r="E26" s="1"/>
      <c r="F26" s="1"/>
    </row>
    <row r="27" spans="1:6" x14ac:dyDescent="0.2">
      <c r="A27" s="1">
        <v>53</v>
      </c>
      <c r="B27" s="1">
        <v>2013</v>
      </c>
      <c r="C27" s="1">
        <f t="shared" si="0"/>
        <v>2013</v>
      </c>
      <c r="D27" s="1"/>
      <c r="E27" s="1"/>
      <c r="F27" s="1"/>
    </row>
    <row r="28" spans="1:6" x14ac:dyDescent="0.2">
      <c r="A28" s="1">
        <v>55</v>
      </c>
      <c r="B28" s="1"/>
      <c r="C28" s="1"/>
      <c r="D28" s="1"/>
      <c r="E28" s="1"/>
      <c r="F28" s="1"/>
    </row>
    <row r="29" spans="1:6" x14ac:dyDescent="0.2">
      <c r="A29" s="1">
        <v>60</v>
      </c>
      <c r="B29" s="1">
        <v>2011</v>
      </c>
      <c r="C29" s="1">
        <f t="shared" si="0"/>
        <v>2011</v>
      </c>
      <c r="D29" s="1"/>
      <c r="E29" s="1"/>
      <c r="F29" s="1"/>
    </row>
    <row r="30" spans="1:6" x14ac:dyDescent="0.2">
      <c r="A30" s="1">
        <v>61</v>
      </c>
      <c r="B30" s="1">
        <v>2009</v>
      </c>
      <c r="C30" s="1">
        <f t="shared" si="0"/>
        <v>2009</v>
      </c>
      <c r="D30" s="1"/>
      <c r="E30" s="1"/>
      <c r="F30" s="1"/>
    </row>
    <row r="31" spans="1:6" x14ac:dyDescent="0.2">
      <c r="A31" s="1">
        <v>62</v>
      </c>
      <c r="B31" s="1">
        <v>2009</v>
      </c>
      <c r="C31" s="1">
        <f t="shared" si="0"/>
        <v>2009</v>
      </c>
      <c r="D31" s="1"/>
      <c r="E31" s="1"/>
      <c r="F31" s="1"/>
    </row>
    <row r="32" spans="1:6" x14ac:dyDescent="0.2">
      <c r="A32" s="1">
        <v>65</v>
      </c>
      <c r="B32" s="1">
        <v>2012</v>
      </c>
      <c r="C32" s="1">
        <f t="shared" si="0"/>
        <v>2012</v>
      </c>
      <c r="D32" s="1"/>
      <c r="E32" s="1"/>
      <c r="F32" s="1"/>
    </row>
    <row r="33" spans="1:6" x14ac:dyDescent="0.2">
      <c r="A33" s="1">
        <v>70</v>
      </c>
      <c r="B33" s="1">
        <v>2013</v>
      </c>
      <c r="C33" s="1">
        <f t="shared" si="0"/>
        <v>2013</v>
      </c>
      <c r="D33" s="1"/>
      <c r="E33" s="1"/>
      <c r="F33" s="1"/>
    </row>
    <row r="34" spans="1:6" x14ac:dyDescent="0.2">
      <c r="A34" s="1">
        <v>71</v>
      </c>
      <c r="B34" s="1">
        <v>2007</v>
      </c>
      <c r="C34" s="1">
        <f t="shared" si="0"/>
        <v>2007</v>
      </c>
      <c r="D34" s="1"/>
      <c r="E34" s="1"/>
      <c r="F34" s="1"/>
    </row>
    <row r="35" spans="1:6" x14ac:dyDescent="0.2">
      <c r="A35" s="1">
        <v>72</v>
      </c>
      <c r="B35" s="1">
        <v>2010</v>
      </c>
      <c r="C35" s="1">
        <f t="shared" si="0"/>
        <v>2010</v>
      </c>
      <c r="D35" s="1"/>
      <c r="E35" s="1"/>
      <c r="F35" s="1"/>
    </row>
    <row r="36" spans="1:6" x14ac:dyDescent="0.2">
      <c r="A36" s="1">
        <v>74</v>
      </c>
      <c r="B36" s="1">
        <v>2014</v>
      </c>
      <c r="C36" s="1">
        <f t="shared" si="0"/>
        <v>2014</v>
      </c>
      <c r="D36" s="1"/>
      <c r="E36" s="1"/>
      <c r="F36" s="1"/>
    </row>
    <row r="37" spans="1:6" x14ac:dyDescent="0.2">
      <c r="A37" s="1">
        <v>75</v>
      </c>
      <c r="B37" s="1">
        <v>2008</v>
      </c>
      <c r="C37" s="1">
        <f t="shared" si="0"/>
        <v>2008</v>
      </c>
      <c r="D37" s="1"/>
      <c r="E37" s="1"/>
      <c r="F37" s="1"/>
    </row>
    <row r="38" spans="1:6" x14ac:dyDescent="0.2">
      <c r="A38" s="1">
        <v>76</v>
      </c>
      <c r="B38" s="1">
        <v>2005</v>
      </c>
      <c r="C38" s="1">
        <f t="shared" si="0"/>
        <v>2005</v>
      </c>
      <c r="D38" s="1"/>
      <c r="E38" s="1"/>
      <c r="F38" s="1"/>
    </row>
    <row r="39" spans="1:6" x14ac:dyDescent="0.2">
      <c r="A39" s="1">
        <v>78</v>
      </c>
      <c r="B39" s="1">
        <v>2009</v>
      </c>
      <c r="C39" s="1">
        <f t="shared" si="0"/>
        <v>2009</v>
      </c>
      <c r="D39" s="1"/>
      <c r="E39" s="1"/>
      <c r="F39" s="1"/>
    </row>
    <row r="40" spans="1:6" x14ac:dyDescent="0.2">
      <c r="A40" s="1">
        <v>79</v>
      </c>
      <c r="B40" s="1">
        <v>2013</v>
      </c>
      <c r="C40" s="1">
        <f t="shared" si="0"/>
        <v>2013</v>
      </c>
      <c r="D40" s="1"/>
      <c r="E40" s="1"/>
      <c r="F40" s="1"/>
    </row>
    <row r="41" spans="1:6" x14ac:dyDescent="0.2">
      <c r="A41" s="1">
        <v>80</v>
      </c>
      <c r="B41" s="1">
        <v>2010</v>
      </c>
      <c r="C41" s="1">
        <f t="shared" si="0"/>
        <v>2010</v>
      </c>
      <c r="D41" s="1"/>
      <c r="E41" s="1"/>
      <c r="F41" s="1"/>
    </row>
    <row r="42" spans="1:6" x14ac:dyDescent="0.2">
      <c r="A42" s="1">
        <v>87</v>
      </c>
      <c r="B42" s="1">
        <v>2008</v>
      </c>
      <c r="C42" s="1">
        <f t="shared" si="0"/>
        <v>2008</v>
      </c>
      <c r="D42" s="1"/>
      <c r="E42" s="1"/>
      <c r="F42" s="1"/>
    </row>
    <row r="43" spans="1:6" x14ac:dyDescent="0.2">
      <c r="A43" s="1">
        <v>89</v>
      </c>
      <c r="B43" s="1">
        <v>2012</v>
      </c>
      <c r="C43" s="1">
        <f t="shared" si="0"/>
        <v>2012</v>
      </c>
      <c r="D43" s="1"/>
      <c r="E43" s="1"/>
      <c r="F43" s="1"/>
    </row>
    <row r="44" spans="1:6" x14ac:dyDescent="0.2">
      <c r="A44" s="1">
        <v>90</v>
      </c>
      <c r="B44" s="1">
        <v>2</v>
      </c>
      <c r="C44" s="1">
        <v>2013</v>
      </c>
      <c r="D44" s="1"/>
      <c r="E44" s="1"/>
      <c r="F44" s="1"/>
    </row>
    <row r="45" spans="1:6" x14ac:dyDescent="0.2">
      <c r="A45" s="1">
        <v>91</v>
      </c>
      <c r="B45" s="1">
        <v>2014</v>
      </c>
      <c r="C45" s="1">
        <f t="shared" si="0"/>
        <v>2014</v>
      </c>
      <c r="D45" s="1"/>
      <c r="E45" s="1"/>
      <c r="F45" s="1"/>
    </row>
    <row r="46" spans="1:6" x14ac:dyDescent="0.2">
      <c r="A46" s="1">
        <v>92</v>
      </c>
      <c r="B46" s="1">
        <v>2008</v>
      </c>
      <c r="C46" s="1">
        <f t="shared" si="0"/>
        <v>2008</v>
      </c>
      <c r="D46" s="1"/>
      <c r="E46" s="1"/>
      <c r="F46" s="1"/>
    </row>
    <row r="47" spans="1:6" x14ac:dyDescent="0.2">
      <c r="A47" s="1">
        <v>93</v>
      </c>
      <c r="B47" s="1">
        <v>2007</v>
      </c>
      <c r="C47" s="1">
        <f t="shared" si="0"/>
        <v>2007</v>
      </c>
      <c r="D47" s="1"/>
      <c r="E47" s="1"/>
      <c r="F47" s="1"/>
    </row>
    <row r="48" spans="1:6" x14ac:dyDescent="0.2">
      <c r="A48" s="1">
        <v>95</v>
      </c>
      <c r="B48" s="1">
        <v>1997</v>
      </c>
      <c r="C48" s="1">
        <f t="shared" si="0"/>
        <v>1997</v>
      </c>
      <c r="D48" s="1"/>
      <c r="E48" s="1"/>
      <c r="F48" s="1"/>
    </row>
    <row r="49" spans="1:6" x14ac:dyDescent="0.2">
      <c r="A49" s="1">
        <v>96</v>
      </c>
      <c r="B49" s="1">
        <v>2013</v>
      </c>
      <c r="C49" s="1">
        <f t="shared" si="0"/>
        <v>2013</v>
      </c>
      <c r="D49" s="1"/>
      <c r="E49" s="1"/>
      <c r="F49" s="1"/>
    </row>
    <row r="50" spans="1:6" x14ac:dyDescent="0.2">
      <c r="A50" s="1">
        <v>100</v>
      </c>
      <c r="B50" s="1">
        <v>2013</v>
      </c>
      <c r="C50" s="1">
        <f t="shared" si="0"/>
        <v>2013</v>
      </c>
      <c r="D50" s="1"/>
      <c r="E50" s="1"/>
      <c r="F50" s="1"/>
    </row>
    <row r="51" spans="1:6" x14ac:dyDescent="0.2">
      <c r="A51" s="1">
        <v>104</v>
      </c>
      <c r="B51" s="1">
        <v>2013</v>
      </c>
      <c r="C51" s="1">
        <f t="shared" si="0"/>
        <v>2013</v>
      </c>
      <c r="D51" s="1"/>
      <c r="E51" s="1"/>
      <c r="F51" s="1"/>
    </row>
    <row r="52" spans="1:6" x14ac:dyDescent="0.2">
      <c r="A52" s="1">
        <v>107</v>
      </c>
      <c r="B52" s="1">
        <v>2012</v>
      </c>
      <c r="C52" s="1">
        <f t="shared" si="0"/>
        <v>2012</v>
      </c>
      <c r="D52" s="1"/>
      <c r="E52" s="1"/>
      <c r="F52" s="1"/>
    </row>
    <row r="53" spans="1:6" x14ac:dyDescent="0.2">
      <c r="A53" s="1">
        <v>109</v>
      </c>
      <c r="B53" s="1">
        <v>2009</v>
      </c>
      <c r="C53" s="1">
        <f t="shared" si="0"/>
        <v>2009</v>
      </c>
      <c r="D53" s="1"/>
      <c r="E53" s="1"/>
      <c r="F53" s="1"/>
    </row>
    <row r="54" spans="1:6" x14ac:dyDescent="0.2">
      <c r="A54" s="1">
        <v>110</v>
      </c>
      <c r="B54" s="1">
        <v>2012</v>
      </c>
      <c r="C54" s="1">
        <f t="shared" si="0"/>
        <v>2012</v>
      </c>
      <c r="D54" s="1"/>
      <c r="E54" s="1"/>
      <c r="F54" s="1"/>
    </row>
    <row r="55" spans="1:6" x14ac:dyDescent="0.2">
      <c r="A55" s="1">
        <v>112</v>
      </c>
      <c r="B55" s="1">
        <v>2008</v>
      </c>
      <c r="C55" s="1">
        <f t="shared" si="0"/>
        <v>2008</v>
      </c>
      <c r="D55" s="1"/>
      <c r="E55" s="1"/>
      <c r="F55" s="1"/>
    </row>
    <row r="56" spans="1:6" x14ac:dyDescent="0.2">
      <c r="A56" s="1">
        <v>118</v>
      </c>
      <c r="B56" s="1">
        <v>2012</v>
      </c>
      <c r="C56" s="1">
        <f t="shared" si="0"/>
        <v>2012</v>
      </c>
      <c r="D56" s="1"/>
      <c r="E56" s="1"/>
      <c r="F56" s="1"/>
    </row>
    <row r="57" spans="1:6" x14ac:dyDescent="0.2">
      <c r="A57" s="1">
        <v>119</v>
      </c>
      <c r="B57" s="1">
        <v>2007</v>
      </c>
      <c r="C57" s="1">
        <f t="shared" si="0"/>
        <v>2007</v>
      </c>
      <c r="D57" s="1"/>
      <c r="E57" s="1"/>
      <c r="F57" s="1"/>
    </row>
    <row r="58" spans="1:6" x14ac:dyDescent="0.2">
      <c r="A58" s="1">
        <v>120</v>
      </c>
      <c r="B58" s="1">
        <v>2007</v>
      </c>
      <c r="C58" s="1">
        <f t="shared" si="0"/>
        <v>2007</v>
      </c>
      <c r="D58" s="1"/>
      <c r="E58" s="1"/>
      <c r="F58" s="1"/>
    </row>
    <row r="59" spans="1:6" x14ac:dyDescent="0.2">
      <c r="A59" s="1">
        <v>121</v>
      </c>
      <c r="B59" s="1">
        <v>2014</v>
      </c>
      <c r="C59" s="1">
        <f t="shared" si="0"/>
        <v>2014</v>
      </c>
      <c r="D59" s="1"/>
      <c r="E59" s="1"/>
      <c r="F59" s="1"/>
    </row>
    <row r="60" spans="1:6" x14ac:dyDescent="0.2">
      <c r="A60" s="1">
        <v>122</v>
      </c>
      <c r="B60" s="1">
        <v>2010</v>
      </c>
      <c r="C60" s="1">
        <f t="shared" si="0"/>
        <v>2010</v>
      </c>
      <c r="D60" s="1"/>
      <c r="E60" s="1"/>
      <c r="F60" s="1"/>
    </row>
    <row r="61" spans="1:6" x14ac:dyDescent="0.2">
      <c r="A61" s="1">
        <v>127</v>
      </c>
      <c r="B61" s="1">
        <v>2009</v>
      </c>
      <c r="C61" s="1">
        <f t="shared" si="0"/>
        <v>2009</v>
      </c>
      <c r="D61" s="1"/>
      <c r="E61" s="1"/>
      <c r="F61" s="1"/>
    </row>
    <row r="62" spans="1:6" x14ac:dyDescent="0.2">
      <c r="A62" s="1">
        <v>128</v>
      </c>
      <c r="B62" s="1">
        <v>2012</v>
      </c>
      <c r="C62" s="1">
        <f t="shared" si="0"/>
        <v>2012</v>
      </c>
      <c r="D62" s="1"/>
      <c r="E62" s="1"/>
      <c r="F62" s="1"/>
    </row>
    <row r="63" spans="1:6" x14ac:dyDescent="0.2">
      <c r="A63" s="1">
        <v>132</v>
      </c>
      <c r="B63" s="1">
        <v>2010</v>
      </c>
      <c r="C63" s="1">
        <f t="shared" si="0"/>
        <v>2010</v>
      </c>
      <c r="D63" s="1"/>
      <c r="E63" s="1"/>
      <c r="F63" s="1"/>
    </row>
    <row r="64" spans="1:6" x14ac:dyDescent="0.2">
      <c r="A64" s="1">
        <v>135</v>
      </c>
      <c r="B64" s="1">
        <v>2013</v>
      </c>
      <c r="C64" s="1">
        <f t="shared" si="0"/>
        <v>2013</v>
      </c>
      <c r="D64" s="1"/>
      <c r="E64" s="1"/>
      <c r="F64" s="1"/>
    </row>
    <row r="65" spans="1:6" x14ac:dyDescent="0.2">
      <c r="A65" s="1">
        <v>136</v>
      </c>
      <c r="B65" s="1">
        <v>2012</v>
      </c>
      <c r="C65" s="1">
        <f t="shared" si="0"/>
        <v>2012</v>
      </c>
      <c r="D65" s="1"/>
      <c r="E65" s="1"/>
      <c r="F65" s="1"/>
    </row>
    <row r="66" spans="1:6" x14ac:dyDescent="0.2">
      <c r="A66" s="1">
        <v>138</v>
      </c>
      <c r="B66" s="1">
        <v>2008</v>
      </c>
      <c r="C66" s="1">
        <f t="shared" si="0"/>
        <v>2008</v>
      </c>
      <c r="D66" s="1"/>
      <c r="E66" s="1"/>
      <c r="F66" s="1"/>
    </row>
    <row r="67" spans="1:6" x14ac:dyDescent="0.2">
      <c r="A67" s="1">
        <v>139</v>
      </c>
      <c r="B67" s="1">
        <v>2012</v>
      </c>
      <c r="C67" s="1">
        <f t="shared" ref="C67:C129" si="1">B67</f>
        <v>2012</v>
      </c>
      <c r="D67" s="1"/>
      <c r="E67" s="1"/>
      <c r="F67" s="1"/>
    </row>
    <row r="68" spans="1:6" x14ac:dyDescent="0.2">
      <c r="A68" s="1">
        <v>140</v>
      </c>
      <c r="B68" s="1">
        <v>2010</v>
      </c>
      <c r="C68" s="1">
        <f t="shared" si="1"/>
        <v>2010</v>
      </c>
      <c r="D68" s="1"/>
      <c r="E68" s="1"/>
      <c r="F68" s="1"/>
    </row>
    <row r="69" spans="1:6" x14ac:dyDescent="0.2">
      <c r="A69" s="1">
        <v>148</v>
      </c>
      <c r="B69" s="1">
        <v>2007</v>
      </c>
      <c r="C69" s="1">
        <f t="shared" si="1"/>
        <v>2007</v>
      </c>
      <c r="D69" s="1"/>
      <c r="E69" s="1"/>
      <c r="F69" s="1"/>
    </row>
    <row r="70" spans="1:6" x14ac:dyDescent="0.2">
      <c r="A70" s="1">
        <v>149</v>
      </c>
      <c r="B70" s="1">
        <v>2014</v>
      </c>
      <c r="C70" s="1">
        <f t="shared" si="1"/>
        <v>2014</v>
      </c>
      <c r="D70" s="1"/>
      <c r="E70" s="1"/>
      <c r="F70" s="1"/>
    </row>
    <row r="71" spans="1:6" x14ac:dyDescent="0.2">
      <c r="A71" s="1">
        <v>150</v>
      </c>
      <c r="B71" s="1">
        <v>2008</v>
      </c>
      <c r="C71" s="1">
        <f t="shared" si="1"/>
        <v>2008</v>
      </c>
      <c r="D71" s="1"/>
      <c r="E71" s="1"/>
      <c r="F71" s="1"/>
    </row>
    <row r="72" spans="1:6" x14ac:dyDescent="0.2">
      <c r="A72" s="1">
        <v>151</v>
      </c>
      <c r="B72" s="1">
        <v>2010</v>
      </c>
      <c r="C72" s="1">
        <f t="shared" si="1"/>
        <v>2010</v>
      </c>
      <c r="D72" s="1"/>
      <c r="E72" s="1"/>
      <c r="F72" s="1"/>
    </row>
    <row r="73" spans="1:6" x14ac:dyDescent="0.2">
      <c r="A73" s="1">
        <v>152</v>
      </c>
      <c r="B73" s="1">
        <v>2010</v>
      </c>
      <c r="C73" s="1">
        <f t="shared" si="1"/>
        <v>2010</v>
      </c>
      <c r="D73" s="1"/>
      <c r="E73" s="1"/>
      <c r="F73" s="1"/>
    </row>
    <row r="74" spans="1:6" x14ac:dyDescent="0.2">
      <c r="A74" s="1">
        <v>153</v>
      </c>
      <c r="B74" s="1">
        <v>2010</v>
      </c>
      <c r="C74" s="1">
        <f t="shared" si="1"/>
        <v>2010</v>
      </c>
      <c r="D74" s="1"/>
      <c r="E74" s="1"/>
      <c r="F74" s="1"/>
    </row>
    <row r="75" spans="1:6" x14ac:dyDescent="0.2">
      <c r="A75" s="1">
        <v>157</v>
      </c>
      <c r="B75" s="1">
        <v>3</v>
      </c>
      <c r="C75" s="1">
        <v>2012</v>
      </c>
      <c r="D75" s="1"/>
      <c r="E75" s="1"/>
      <c r="F75" s="1"/>
    </row>
    <row r="76" spans="1:6" x14ac:dyDescent="0.2">
      <c r="A76" s="1">
        <v>156</v>
      </c>
      <c r="B76" s="1">
        <v>2012</v>
      </c>
      <c r="C76" s="1">
        <f t="shared" si="1"/>
        <v>2012</v>
      </c>
      <c r="D76" s="1"/>
      <c r="E76" s="1"/>
      <c r="F76" s="1"/>
    </row>
    <row r="77" spans="1:6" x14ac:dyDescent="0.2">
      <c r="A77" s="1">
        <v>162</v>
      </c>
      <c r="B77" s="1">
        <v>2011</v>
      </c>
      <c r="C77" s="1">
        <f t="shared" si="1"/>
        <v>2011</v>
      </c>
      <c r="D77" s="1"/>
      <c r="E77" s="1"/>
      <c r="F77" s="1"/>
    </row>
    <row r="78" spans="1:6" x14ac:dyDescent="0.2">
      <c r="A78" s="1">
        <v>164</v>
      </c>
      <c r="B78" s="1">
        <v>2</v>
      </c>
      <c r="C78" s="1">
        <v>2013</v>
      </c>
      <c r="D78" s="1"/>
      <c r="E78" s="1"/>
      <c r="F78" s="1"/>
    </row>
    <row r="79" spans="1:6" x14ac:dyDescent="0.2">
      <c r="A79" s="1">
        <v>166</v>
      </c>
      <c r="B79" s="1"/>
      <c r="C79" s="1"/>
      <c r="D79" s="1"/>
      <c r="E79" s="1"/>
      <c r="F79" s="1"/>
    </row>
    <row r="80" spans="1:6" x14ac:dyDescent="0.2">
      <c r="A80" s="1">
        <v>170</v>
      </c>
      <c r="B80" s="1">
        <v>2011</v>
      </c>
      <c r="C80" s="1">
        <f t="shared" si="1"/>
        <v>2011</v>
      </c>
      <c r="D80" s="1"/>
      <c r="E80" s="1"/>
      <c r="F80" s="1"/>
    </row>
    <row r="81" spans="1:6" x14ac:dyDescent="0.2">
      <c r="A81" s="1">
        <v>173</v>
      </c>
      <c r="B81" s="1">
        <v>2006</v>
      </c>
      <c r="C81" s="1">
        <f t="shared" si="1"/>
        <v>2006</v>
      </c>
      <c r="D81" s="1"/>
      <c r="E81" s="1"/>
      <c r="F81" s="1"/>
    </row>
    <row r="82" spans="1:6" x14ac:dyDescent="0.2">
      <c r="A82" s="1">
        <v>175</v>
      </c>
      <c r="B82" s="1">
        <v>2013</v>
      </c>
      <c r="C82" s="1">
        <f t="shared" si="1"/>
        <v>2013</v>
      </c>
      <c r="D82" s="1"/>
      <c r="E82" s="1"/>
      <c r="F82" s="1"/>
    </row>
    <row r="83" spans="1:6" x14ac:dyDescent="0.2">
      <c r="A83" s="1">
        <v>178</v>
      </c>
      <c r="B83" s="1">
        <v>2011</v>
      </c>
      <c r="C83" s="1">
        <f t="shared" si="1"/>
        <v>2011</v>
      </c>
      <c r="D83" s="1"/>
      <c r="E83" s="1"/>
      <c r="F83" s="1"/>
    </row>
    <row r="84" spans="1:6" x14ac:dyDescent="0.2">
      <c r="A84" s="1">
        <v>183</v>
      </c>
      <c r="B84" s="1">
        <v>2011</v>
      </c>
      <c r="C84" s="1">
        <f t="shared" si="1"/>
        <v>2011</v>
      </c>
      <c r="D84" s="1"/>
      <c r="E84" s="1"/>
      <c r="F84" s="1"/>
    </row>
    <row r="85" spans="1:6" x14ac:dyDescent="0.2">
      <c r="A85" s="1">
        <v>185</v>
      </c>
      <c r="B85" s="1">
        <v>2013</v>
      </c>
      <c r="C85" s="1">
        <f t="shared" si="1"/>
        <v>2013</v>
      </c>
      <c r="D85" s="1"/>
      <c r="E85" s="1"/>
      <c r="F85" s="1"/>
    </row>
    <row r="86" spans="1:6" x14ac:dyDescent="0.2">
      <c r="A86" s="1">
        <v>186</v>
      </c>
      <c r="B86" s="1"/>
      <c r="C86" s="1"/>
      <c r="D86" s="1"/>
      <c r="E86" s="1"/>
      <c r="F86" s="1"/>
    </row>
    <row r="87" spans="1:6" x14ac:dyDescent="0.2">
      <c r="A87" s="1">
        <v>189</v>
      </c>
      <c r="B87" s="1">
        <v>2012</v>
      </c>
      <c r="C87" s="1">
        <f t="shared" si="1"/>
        <v>2012</v>
      </c>
      <c r="D87" s="1"/>
      <c r="E87" s="1"/>
      <c r="F87" s="1"/>
    </row>
    <row r="88" spans="1:6" x14ac:dyDescent="0.2">
      <c r="A88" s="1">
        <v>190</v>
      </c>
      <c r="B88" s="1">
        <v>2013</v>
      </c>
      <c r="C88" s="1">
        <f t="shared" si="1"/>
        <v>2013</v>
      </c>
      <c r="D88" s="1"/>
      <c r="E88" s="1"/>
      <c r="F88" s="1"/>
    </row>
    <row r="89" spans="1:6" x14ac:dyDescent="0.2">
      <c r="A89" s="1">
        <v>192</v>
      </c>
      <c r="B89" s="1">
        <v>4</v>
      </c>
      <c r="C89" s="1">
        <v>2011</v>
      </c>
      <c r="D89" s="1"/>
      <c r="E89" s="1"/>
      <c r="F89" s="1"/>
    </row>
    <row r="90" spans="1:6" x14ac:dyDescent="0.2">
      <c r="A90" s="1">
        <v>193</v>
      </c>
      <c r="B90" s="1"/>
      <c r="C90" s="1"/>
      <c r="D90" s="1"/>
      <c r="E90" s="1"/>
      <c r="F90" s="1"/>
    </row>
    <row r="91" spans="1:6" x14ac:dyDescent="0.2">
      <c r="A91" s="1">
        <v>196</v>
      </c>
      <c r="B91" s="1"/>
      <c r="C91" s="1"/>
      <c r="D91" s="1"/>
      <c r="E91" s="1"/>
      <c r="F91" s="1"/>
    </row>
    <row r="92" spans="1:6" x14ac:dyDescent="0.2">
      <c r="A92" s="1">
        <v>197</v>
      </c>
      <c r="B92" s="1">
        <v>2012</v>
      </c>
      <c r="C92" s="1">
        <f t="shared" si="1"/>
        <v>2012</v>
      </c>
      <c r="D92" s="1"/>
      <c r="E92" s="1"/>
      <c r="F92" s="1"/>
    </row>
    <row r="93" spans="1:6" x14ac:dyDescent="0.2">
      <c r="A93" s="1">
        <v>200</v>
      </c>
      <c r="B93" s="1">
        <v>2009</v>
      </c>
      <c r="C93" s="1">
        <f t="shared" si="1"/>
        <v>2009</v>
      </c>
      <c r="D93" s="1"/>
      <c r="E93" s="1"/>
      <c r="F93" s="1"/>
    </row>
    <row r="94" spans="1:6" x14ac:dyDescent="0.2">
      <c r="A94" s="1">
        <v>203</v>
      </c>
      <c r="B94" s="1">
        <v>2007</v>
      </c>
      <c r="C94" s="1">
        <f t="shared" si="1"/>
        <v>2007</v>
      </c>
      <c r="D94" s="1"/>
      <c r="E94" s="1"/>
      <c r="F94" s="1"/>
    </row>
    <row r="95" spans="1:6" x14ac:dyDescent="0.2">
      <c r="A95" s="1">
        <v>204</v>
      </c>
      <c r="B95" s="1"/>
      <c r="C95" s="1"/>
      <c r="D95" s="1"/>
      <c r="E95" s="1"/>
      <c r="F95" s="1"/>
    </row>
    <row r="96" spans="1:6" x14ac:dyDescent="0.2">
      <c r="A96" s="1">
        <v>207</v>
      </c>
      <c r="B96" s="1"/>
      <c r="C96" s="1"/>
      <c r="D96" s="1"/>
      <c r="E96" s="1"/>
      <c r="F96" s="1"/>
    </row>
    <row r="97" spans="1:6" x14ac:dyDescent="0.2">
      <c r="A97" s="1">
        <v>208</v>
      </c>
      <c r="B97" s="1">
        <v>2007</v>
      </c>
      <c r="C97" s="1">
        <f t="shared" si="1"/>
        <v>2007</v>
      </c>
      <c r="D97" s="1"/>
      <c r="E97" s="1"/>
      <c r="F97" s="1"/>
    </row>
    <row r="98" spans="1:6" x14ac:dyDescent="0.2">
      <c r="A98" s="1">
        <v>210</v>
      </c>
      <c r="B98" s="1">
        <v>2010</v>
      </c>
      <c r="C98" s="1">
        <f t="shared" si="1"/>
        <v>2010</v>
      </c>
      <c r="D98" s="1"/>
      <c r="E98" s="1"/>
      <c r="F98" s="1"/>
    </row>
    <row r="99" spans="1:6" x14ac:dyDescent="0.2">
      <c r="A99" s="1">
        <v>212</v>
      </c>
      <c r="B99" s="1">
        <v>2010</v>
      </c>
      <c r="C99" s="1">
        <f t="shared" si="1"/>
        <v>2010</v>
      </c>
      <c r="D99" s="1"/>
      <c r="E99" s="1"/>
      <c r="F99" s="1"/>
    </row>
    <row r="100" spans="1:6" x14ac:dyDescent="0.2">
      <c r="A100" s="1">
        <v>215</v>
      </c>
      <c r="B100" s="1">
        <v>2010</v>
      </c>
      <c r="C100" s="1">
        <f t="shared" si="1"/>
        <v>2010</v>
      </c>
      <c r="D100" s="1"/>
      <c r="E100" s="1"/>
      <c r="F100" s="1"/>
    </row>
    <row r="101" spans="1:6" x14ac:dyDescent="0.2">
      <c r="A101" s="1">
        <v>217</v>
      </c>
      <c r="B101" s="1">
        <v>1980</v>
      </c>
      <c r="C101" s="1">
        <f t="shared" si="1"/>
        <v>1980</v>
      </c>
      <c r="D101" s="1"/>
      <c r="E101" s="1"/>
      <c r="F101" s="1"/>
    </row>
    <row r="102" spans="1:6" x14ac:dyDescent="0.2">
      <c r="A102" s="1">
        <v>219</v>
      </c>
      <c r="B102" s="1">
        <v>2011</v>
      </c>
      <c r="C102" s="1">
        <f t="shared" si="1"/>
        <v>2011</v>
      </c>
      <c r="D102" s="1"/>
      <c r="E102" s="1"/>
      <c r="F102" s="1"/>
    </row>
    <row r="103" spans="1:6" x14ac:dyDescent="0.2">
      <c r="A103" s="1">
        <v>221</v>
      </c>
      <c r="B103" s="1">
        <v>3</v>
      </c>
      <c r="C103" s="1">
        <v>2012</v>
      </c>
      <c r="D103" s="1"/>
      <c r="E103" s="1"/>
      <c r="F103" s="1"/>
    </row>
    <row r="104" spans="1:6" x14ac:dyDescent="0.2">
      <c r="A104" s="1">
        <v>222</v>
      </c>
      <c r="B104" s="1">
        <v>2013</v>
      </c>
      <c r="C104" s="1">
        <f t="shared" si="1"/>
        <v>2013</v>
      </c>
      <c r="D104" s="1"/>
      <c r="E104" s="1"/>
      <c r="F104" s="1"/>
    </row>
    <row r="105" spans="1:6" x14ac:dyDescent="0.2">
      <c r="A105" s="1">
        <v>223</v>
      </c>
      <c r="B105" s="1">
        <v>2010</v>
      </c>
      <c r="C105" s="1">
        <f t="shared" si="1"/>
        <v>2010</v>
      </c>
      <c r="D105" s="1"/>
      <c r="E105" s="1"/>
      <c r="F105" s="1"/>
    </row>
    <row r="106" spans="1:6" x14ac:dyDescent="0.2">
      <c r="A106" s="1">
        <v>226</v>
      </c>
      <c r="B106" s="1">
        <v>2007</v>
      </c>
      <c r="C106" s="1">
        <f t="shared" si="1"/>
        <v>2007</v>
      </c>
      <c r="D106" s="1"/>
      <c r="E106" s="1"/>
      <c r="F106" s="1"/>
    </row>
    <row r="107" spans="1:6" x14ac:dyDescent="0.2">
      <c r="A107" s="1">
        <v>231</v>
      </c>
      <c r="B107" s="1">
        <v>2010</v>
      </c>
      <c r="C107" s="1">
        <f t="shared" si="1"/>
        <v>2010</v>
      </c>
      <c r="D107" s="1"/>
      <c r="E107" s="1"/>
      <c r="F107" s="1"/>
    </row>
    <row r="108" spans="1:6" x14ac:dyDescent="0.2">
      <c r="A108" s="1">
        <v>232</v>
      </c>
      <c r="B108" s="1">
        <v>2013</v>
      </c>
      <c r="C108" s="1">
        <f t="shared" si="1"/>
        <v>2013</v>
      </c>
      <c r="D108" s="1"/>
      <c r="E108" s="1"/>
      <c r="F108" s="1"/>
    </row>
    <row r="109" spans="1:6" x14ac:dyDescent="0.2">
      <c r="A109" s="1">
        <v>233</v>
      </c>
      <c r="B109" s="1"/>
      <c r="C109" s="1"/>
      <c r="D109" s="1"/>
      <c r="E109" s="1"/>
      <c r="F109" s="1"/>
    </row>
    <row r="110" spans="1:6" x14ac:dyDescent="0.2">
      <c r="A110" s="1">
        <v>236</v>
      </c>
      <c r="B110" s="1">
        <v>2007</v>
      </c>
      <c r="C110" s="1">
        <f t="shared" si="1"/>
        <v>2007</v>
      </c>
      <c r="D110" s="1"/>
      <c r="E110" s="1"/>
      <c r="F110" s="1"/>
    </row>
    <row r="111" spans="1:6" x14ac:dyDescent="0.2">
      <c r="A111" s="1">
        <v>238</v>
      </c>
      <c r="B111" s="1">
        <v>2011</v>
      </c>
      <c r="C111" s="1">
        <f t="shared" si="1"/>
        <v>2011</v>
      </c>
      <c r="D111" s="1"/>
      <c r="E111" s="1"/>
      <c r="F111" s="1"/>
    </row>
    <row r="112" spans="1:6" x14ac:dyDescent="0.2">
      <c r="A112" s="1">
        <v>241</v>
      </c>
      <c r="B112" s="1">
        <v>2012</v>
      </c>
      <c r="C112" s="1">
        <f t="shared" si="1"/>
        <v>2012</v>
      </c>
      <c r="D112" s="1"/>
      <c r="E112" s="1"/>
      <c r="F112" s="1"/>
    </row>
    <row r="113" spans="1:6" x14ac:dyDescent="0.2">
      <c r="A113" s="1">
        <v>242</v>
      </c>
      <c r="B113" s="1"/>
      <c r="C113" s="1"/>
      <c r="D113" s="1"/>
      <c r="E113" s="1"/>
      <c r="F113" s="1"/>
    </row>
    <row r="114" spans="1:6" x14ac:dyDescent="0.2">
      <c r="A114" s="1">
        <v>245</v>
      </c>
      <c r="B114" s="1">
        <v>2011</v>
      </c>
      <c r="C114" s="1">
        <f t="shared" si="1"/>
        <v>2011</v>
      </c>
      <c r="D114" s="1"/>
      <c r="E114" s="1"/>
      <c r="F114" s="1"/>
    </row>
    <row r="115" spans="1:6" x14ac:dyDescent="0.2">
      <c r="A115" s="1">
        <v>247</v>
      </c>
      <c r="B115" s="1">
        <v>2008</v>
      </c>
      <c r="C115" s="1">
        <f t="shared" si="1"/>
        <v>2008</v>
      </c>
      <c r="D115" s="1"/>
      <c r="E115" s="1"/>
      <c r="F115" s="1"/>
    </row>
    <row r="116" spans="1:6" x14ac:dyDescent="0.2">
      <c r="A116" s="1">
        <v>249</v>
      </c>
      <c r="B116" s="1">
        <v>2012</v>
      </c>
      <c r="C116" s="1">
        <f t="shared" si="1"/>
        <v>2012</v>
      </c>
      <c r="D116" s="1"/>
      <c r="E116" s="1"/>
      <c r="F116" s="1"/>
    </row>
    <row r="117" spans="1:6" x14ac:dyDescent="0.2">
      <c r="A117" s="1">
        <v>250</v>
      </c>
      <c r="B117" s="1">
        <v>2002</v>
      </c>
      <c r="C117" s="1">
        <f t="shared" si="1"/>
        <v>2002</v>
      </c>
      <c r="D117" s="1"/>
      <c r="E117" s="1"/>
      <c r="F117" s="1"/>
    </row>
    <row r="118" spans="1:6" x14ac:dyDescent="0.2">
      <c r="A118" s="1">
        <v>254</v>
      </c>
      <c r="B118" s="1"/>
      <c r="C118" s="1"/>
      <c r="D118" s="1"/>
      <c r="E118" s="1"/>
      <c r="F118" s="1"/>
    </row>
    <row r="119" spans="1:6" x14ac:dyDescent="0.2">
      <c r="A119" s="1">
        <v>256</v>
      </c>
      <c r="B119" s="1"/>
      <c r="C119" s="1"/>
      <c r="D119" s="1"/>
      <c r="E119" s="1"/>
      <c r="F119" s="1"/>
    </row>
    <row r="120" spans="1:6" x14ac:dyDescent="0.2">
      <c r="A120" s="1">
        <v>257</v>
      </c>
      <c r="B120" s="1">
        <v>2012</v>
      </c>
      <c r="C120" s="1">
        <f t="shared" si="1"/>
        <v>2012</v>
      </c>
      <c r="D120" s="1"/>
      <c r="E120" s="1"/>
      <c r="F120" s="1"/>
    </row>
    <row r="121" spans="1:6" x14ac:dyDescent="0.2">
      <c r="A121" s="1">
        <v>260</v>
      </c>
      <c r="B121" s="1">
        <v>2009</v>
      </c>
      <c r="C121" s="1">
        <f t="shared" si="1"/>
        <v>2009</v>
      </c>
      <c r="D121" s="1"/>
      <c r="E121" s="1"/>
      <c r="F121" s="1"/>
    </row>
    <row r="122" spans="1:6" x14ac:dyDescent="0.2">
      <c r="A122" s="1">
        <v>262</v>
      </c>
      <c r="B122" s="1">
        <v>2014</v>
      </c>
      <c r="C122" s="1">
        <f t="shared" si="1"/>
        <v>2014</v>
      </c>
      <c r="D122" s="1"/>
      <c r="E122" s="1"/>
      <c r="F122" s="1"/>
    </row>
    <row r="123" spans="1:6" x14ac:dyDescent="0.2">
      <c r="A123" s="1">
        <v>263</v>
      </c>
      <c r="B123" s="1">
        <v>2006</v>
      </c>
      <c r="C123" s="1">
        <f t="shared" si="1"/>
        <v>2006</v>
      </c>
      <c r="D123" s="1"/>
      <c r="E123" s="1"/>
      <c r="F123" s="1"/>
    </row>
    <row r="124" spans="1:6" x14ac:dyDescent="0.2">
      <c r="A124" s="1">
        <v>272</v>
      </c>
      <c r="B124" s="1">
        <v>2013</v>
      </c>
      <c r="C124" s="1">
        <f t="shared" si="1"/>
        <v>2013</v>
      </c>
      <c r="D124" s="1"/>
      <c r="E124" s="1"/>
      <c r="F124" s="1"/>
    </row>
    <row r="125" spans="1:6" x14ac:dyDescent="0.2">
      <c r="A125" s="1">
        <v>273</v>
      </c>
      <c r="B125" s="1">
        <v>2004</v>
      </c>
      <c r="C125" s="1">
        <f t="shared" si="1"/>
        <v>2004</v>
      </c>
      <c r="D125" s="1"/>
      <c r="E125" s="1"/>
      <c r="F125" s="1"/>
    </row>
    <row r="126" spans="1:6" x14ac:dyDescent="0.2">
      <c r="A126" s="1">
        <v>280</v>
      </c>
      <c r="B126" s="1">
        <v>2012</v>
      </c>
      <c r="C126" s="1">
        <f t="shared" si="1"/>
        <v>2012</v>
      </c>
      <c r="D126" s="1"/>
      <c r="E126" s="1"/>
      <c r="F126" s="1"/>
    </row>
    <row r="127" spans="1:6" x14ac:dyDescent="0.2">
      <c r="A127" s="1">
        <v>282</v>
      </c>
      <c r="B127" s="1">
        <v>2007</v>
      </c>
      <c r="C127" s="1">
        <f t="shared" si="1"/>
        <v>2007</v>
      </c>
      <c r="D127" s="1"/>
      <c r="E127" s="1"/>
      <c r="F127" s="1"/>
    </row>
    <row r="128" spans="1:6" x14ac:dyDescent="0.2">
      <c r="A128" s="1">
        <v>286</v>
      </c>
      <c r="B128" s="1">
        <v>2013</v>
      </c>
      <c r="C128" s="1">
        <f t="shared" si="1"/>
        <v>2013</v>
      </c>
      <c r="D128" s="1"/>
      <c r="E128" s="1"/>
      <c r="F128" s="1"/>
    </row>
    <row r="129" spans="1:6" x14ac:dyDescent="0.2">
      <c r="A129" s="1">
        <v>287</v>
      </c>
      <c r="B129" s="1">
        <v>2002</v>
      </c>
      <c r="C129" s="1">
        <f t="shared" si="1"/>
        <v>2002</v>
      </c>
      <c r="D129" s="1"/>
      <c r="E129" s="1"/>
      <c r="F129" s="1"/>
    </row>
    <row r="130" spans="1:6" x14ac:dyDescent="0.2">
      <c r="A130" s="1">
        <v>288</v>
      </c>
      <c r="B130" s="1"/>
      <c r="C130" s="1"/>
      <c r="D130" s="1"/>
      <c r="E130" s="1"/>
      <c r="F130" s="1"/>
    </row>
    <row r="131" spans="1:6" x14ac:dyDescent="0.2">
      <c r="A131" s="1">
        <v>289</v>
      </c>
      <c r="B131" s="1">
        <v>2009</v>
      </c>
      <c r="C131" s="1">
        <f t="shared" ref="C131:C164" si="2">B131</f>
        <v>2009</v>
      </c>
      <c r="D131" s="1"/>
      <c r="E131" s="1"/>
      <c r="F131" s="1"/>
    </row>
    <row r="132" spans="1:6" x14ac:dyDescent="0.2">
      <c r="A132" s="1">
        <v>290</v>
      </c>
      <c r="B132" s="1">
        <v>2010</v>
      </c>
      <c r="C132" s="1">
        <f t="shared" si="2"/>
        <v>2010</v>
      </c>
      <c r="D132" s="1"/>
      <c r="E132" s="1"/>
      <c r="F132" s="1"/>
    </row>
    <row r="133" spans="1:6" x14ac:dyDescent="0.2">
      <c r="A133" s="1">
        <v>291</v>
      </c>
      <c r="B133" s="1">
        <v>2013</v>
      </c>
      <c r="C133" s="1">
        <f t="shared" si="2"/>
        <v>2013</v>
      </c>
      <c r="D133" s="1"/>
      <c r="E133" s="1"/>
      <c r="F133" s="1"/>
    </row>
    <row r="134" spans="1:6" x14ac:dyDescent="0.2">
      <c r="A134" s="1">
        <v>293</v>
      </c>
      <c r="B134" s="1">
        <v>2013</v>
      </c>
      <c r="C134" s="1">
        <f t="shared" si="2"/>
        <v>2013</v>
      </c>
      <c r="D134" s="1"/>
      <c r="E134" s="1"/>
      <c r="F134" s="1"/>
    </row>
    <row r="135" spans="1:6" x14ac:dyDescent="0.2">
      <c r="A135" s="1">
        <v>294</v>
      </c>
      <c r="B135" s="1">
        <v>2005</v>
      </c>
      <c r="C135" s="1">
        <f t="shared" si="2"/>
        <v>2005</v>
      </c>
      <c r="D135" s="1"/>
      <c r="E135" s="1"/>
      <c r="F135" s="1"/>
    </row>
    <row r="136" spans="1:6" x14ac:dyDescent="0.2">
      <c r="A136" s="1">
        <v>295</v>
      </c>
      <c r="B136" s="1">
        <v>2014</v>
      </c>
      <c r="C136" s="1">
        <f t="shared" si="2"/>
        <v>2014</v>
      </c>
      <c r="D136" s="1"/>
      <c r="E136" s="1"/>
      <c r="F136" s="1"/>
    </row>
    <row r="137" spans="1:6" x14ac:dyDescent="0.2">
      <c r="A137" s="1">
        <v>297</v>
      </c>
      <c r="B137" s="1">
        <v>2008</v>
      </c>
      <c r="C137" s="1">
        <f t="shared" si="2"/>
        <v>2008</v>
      </c>
      <c r="D137" s="1"/>
      <c r="E137" s="1"/>
      <c r="F137" s="1"/>
    </row>
    <row r="138" spans="1:6" x14ac:dyDescent="0.2">
      <c r="A138" s="1">
        <v>298</v>
      </c>
      <c r="B138" s="1">
        <v>2010</v>
      </c>
      <c r="C138" s="1">
        <f t="shared" si="2"/>
        <v>2010</v>
      </c>
      <c r="D138" s="1"/>
      <c r="E138" s="1"/>
      <c r="F138" s="1"/>
    </row>
    <row r="139" spans="1:6" x14ac:dyDescent="0.2">
      <c r="A139" s="1">
        <v>300</v>
      </c>
      <c r="B139" s="1">
        <v>2010</v>
      </c>
      <c r="C139" s="1">
        <f t="shared" si="2"/>
        <v>2010</v>
      </c>
      <c r="D139" s="1"/>
      <c r="E139" s="1"/>
      <c r="F139" s="1"/>
    </row>
    <row r="140" spans="1:6" x14ac:dyDescent="0.2">
      <c r="A140" s="1">
        <v>301</v>
      </c>
      <c r="B140" s="1">
        <v>2013</v>
      </c>
      <c r="C140" s="1">
        <f t="shared" si="2"/>
        <v>2013</v>
      </c>
      <c r="D140" s="1"/>
      <c r="E140" s="1"/>
      <c r="F140" s="1"/>
    </row>
    <row r="141" spans="1:6" x14ac:dyDescent="0.2">
      <c r="A141" s="1">
        <v>302</v>
      </c>
      <c r="B141" s="1">
        <v>2009</v>
      </c>
      <c r="C141" s="1">
        <f t="shared" si="2"/>
        <v>2009</v>
      </c>
      <c r="D141" s="1"/>
      <c r="E141" s="1"/>
      <c r="F141" s="1"/>
    </row>
    <row r="142" spans="1:6" x14ac:dyDescent="0.2">
      <c r="A142" s="6">
        <v>303</v>
      </c>
      <c r="B142" s="6">
        <v>2009</v>
      </c>
      <c r="C142" s="1">
        <f t="shared" si="2"/>
        <v>2009</v>
      </c>
      <c r="D142" s="1"/>
      <c r="E142" s="1"/>
      <c r="F142" s="1"/>
    </row>
    <row r="143" spans="1:6" x14ac:dyDescent="0.2">
      <c r="A143" s="1">
        <v>304</v>
      </c>
      <c r="B143" s="1">
        <v>2012</v>
      </c>
      <c r="C143" s="1">
        <f t="shared" si="2"/>
        <v>2012</v>
      </c>
      <c r="D143" s="1"/>
      <c r="E143" s="1"/>
      <c r="F143" s="1"/>
    </row>
    <row r="144" spans="1:6" x14ac:dyDescent="0.2">
      <c r="A144" s="1">
        <v>305</v>
      </c>
      <c r="B144" s="1">
        <v>2006</v>
      </c>
      <c r="C144" s="1">
        <f t="shared" si="2"/>
        <v>2006</v>
      </c>
      <c r="D144" s="1"/>
      <c r="E144" s="1"/>
      <c r="F144" s="1"/>
    </row>
    <row r="145" spans="1:6" x14ac:dyDescent="0.2">
      <c r="A145" s="1">
        <v>307</v>
      </c>
      <c r="B145" s="1">
        <v>2011</v>
      </c>
      <c r="C145" s="1">
        <f t="shared" si="2"/>
        <v>2011</v>
      </c>
      <c r="D145" s="1"/>
      <c r="E145" s="1"/>
      <c r="F145" s="1"/>
    </row>
    <row r="146" spans="1:6" x14ac:dyDescent="0.2">
      <c r="A146" s="1">
        <v>308</v>
      </c>
      <c r="B146" s="1">
        <v>2013</v>
      </c>
      <c r="C146" s="1">
        <f>B146</f>
        <v>2013</v>
      </c>
      <c r="D146" s="1"/>
      <c r="E146" s="1"/>
      <c r="F146" s="1"/>
    </row>
    <row r="147" spans="1:6" x14ac:dyDescent="0.2">
      <c r="A147" s="8">
        <v>310</v>
      </c>
      <c r="B147" s="8">
        <v>2014</v>
      </c>
      <c r="C147" s="1">
        <f t="shared" si="2"/>
        <v>2014</v>
      </c>
      <c r="D147" s="1"/>
      <c r="E147" s="1"/>
      <c r="F147" s="1"/>
    </row>
    <row r="148" spans="1:6" x14ac:dyDescent="0.2">
      <c r="A148" s="8">
        <v>312</v>
      </c>
      <c r="B148" s="8">
        <v>2011</v>
      </c>
      <c r="C148" s="1">
        <f t="shared" si="2"/>
        <v>2011</v>
      </c>
      <c r="D148" s="1"/>
      <c r="E148" s="1"/>
      <c r="F148" s="1"/>
    </row>
    <row r="149" spans="1:6" x14ac:dyDescent="0.2">
      <c r="A149" s="8">
        <v>314</v>
      </c>
      <c r="B149" s="8">
        <v>2011</v>
      </c>
      <c r="C149" s="1">
        <f t="shared" si="2"/>
        <v>2011</v>
      </c>
      <c r="D149" s="1"/>
      <c r="E149" s="1"/>
      <c r="F149" s="1"/>
    </row>
    <row r="150" spans="1:6" x14ac:dyDescent="0.2">
      <c r="A150" s="8">
        <v>315</v>
      </c>
      <c r="B150" s="8">
        <v>2012</v>
      </c>
      <c r="C150" s="1">
        <f t="shared" si="2"/>
        <v>2012</v>
      </c>
      <c r="D150" s="1"/>
      <c r="E150" s="1"/>
      <c r="F150" s="1"/>
    </row>
    <row r="151" spans="1:6" x14ac:dyDescent="0.2">
      <c r="A151" s="8">
        <v>316</v>
      </c>
      <c r="B151" s="8">
        <v>2006</v>
      </c>
      <c r="C151" s="1">
        <f t="shared" si="2"/>
        <v>2006</v>
      </c>
      <c r="D151" s="1"/>
      <c r="E151" s="1"/>
      <c r="F151" s="1"/>
    </row>
    <row r="152" spans="1:6" x14ac:dyDescent="0.2">
      <c r="A152" s="8">
        <v>317</v>
      </c>
      <c r="B152" s="8">
        <v>2014</v>
      </c>
      <c r="C152" s="1">
        <f t="shared" si="2"/>
        <v>2014</v>
      </c>
      <c r="D152" s="1"/>
      <c r="E152" s="1"/>
      <c r="F152" s="1"/>
    </row>
    <row r="153" spans="1:6" x14ac:dyDescent="0.2">
      <c r="A153" s="8">
        <v>319</v>
      </c>
      <c r="B153" s="8">
        <v>2012</v>
      </c>
      <c r="C153" s="1">
        <f t="shared" si="2"/>
        <v>2012</v>
      </c>
      <c r="D153" s="1"/>
      <c r="E153" s="1"/>
      <c r="F153" s="1"/>
    </row>
    <row r="154" spans="1:6" x14ac:dyDescent="0.2">
      <c r="A154" s="8">
        <v>323</v>
      </c>
      <c r="B154" s="8">
        <v>2006</v>
      </c>
      <c r="C154" s="1">
        <f t="shared" si="2"/>
        <v>2006</v>
      </c>
      <c r="D154" s="1"/>
      <c r="E154" s="1"/>
      <c r="F154" s="1"/>
    </row>
    <row r="155" spans="1:6" x14ac:dyDescent="0.2">
      <c r="A155" s="8">
        <v>324</v>
      </c>
      <c r="B155" s="8">
        <v>2010</v>
      </c>
      <c r="C155" s="1">
        <f t="shared" si="2"/>
        <v>2010</v>
      </c>
      <c r="D155" s="1"/>
      <c r="E155" s="1"/>
      <c r="F155" s="1"/>
    </row>
    <row r="156" spans="1:6" x14ac:dyDescent="0.2">
      <c r="A156" s="8">
        <v>325</v>
      </c>
      <c r="B156" s="8">
        <v>2013</v>
      </c>
      <c r="C156" s="1">
        <f t="shared" si="2"/>
        <v>2013</v>
      </c>
      <c r="D156" s="1"/>
      <c r="E156" s="1"/>
      <c r="F156" s="1"/>
    </row>
    <row r="157" spans="1:6" x14ac:dyDescent="0.2">
      <c r="A157" s="8">
        <v>327</v>
      </c>
      <c r="B157" s="8">
        <v>2012</v>
      </c>
      <c r="C157" s="1">
        <f t="shared" si="2"/>
        <v>2012</v>
      </c>
      <c r="D157" s="1"/>
      <c r="E157" s="1"/>
      <c r="F157" s="1"/>
    </row>
    <row r="158" spans="1:6" x14ac:dyDescent="0.2">
      <c r="A158" s="8">
        <v>328</v>
      </c>
      <c r="B158" s="8">
        <v>2013</v>
      </c>
      <c r="C158" s="1">
        <f t="shared" si="2"/>
        <v>2013</v>
      </c>
      <c r="D158" s="1"/>
      <c r="E158" s="1"/>
      <c r="F158" s="1"/>
    </row>
    <row r="159" spans="1:6" x14ac:dyDescent="0.2">
      <c r="A159" s="8">
        <v>329</v>
      </c>
      <c r="B159" s="8">
        <v>2005</v>
      </c>
      <c r="C159" s="1">
        <f t="shared" si="2"/>
        <v>2005</v>
      </c>
      <c r="D159" s="1"/>
      <c r="E159" s="1"/>
      <c r="F159" s="1"/>
    </row>
    <row r="160" spans="1:6" x14ac:dyDescent="0.2">
      <c r="A160" s="8">
        <v>331</v>
      </c>
      <c r="B160" s="1">
        <v>2010</v>
      </c>
      <c r="C160" s="1">
        <f t="shared" si="2"/>
        <v>2010</v>
      </c>
      <c r="D160" s="1"/>
      <c r="E160" s="1"/>
      <c r="F160" s="1"/>
    </row>
    <row r="161" spans="1:6" x14ac:dyDescent="0.2">
      <c r="A161" s="8">
        <v>332</v>
      </c>
      <c r="B161" s="1">
        <v>2007</v>
      </c>
      <c r="C161" s="1">
        <f t="shared" si="2"/>
        <v>2007</v>
      </c>
      <c r="D161" s="1"/>
      <c r="E161" s="1"/>
      <c r="F161" s="1"/>
    </row>
    <row r="162" spans="1:6" x14ac:dyDescent="0.2">
      <c r="A162" s="8">
        <v>334</v>
      </c>
      <c r="B162" s="1">
        <v>2012</v>
      </c>
      <c r="C162" s="1">
        <f t="shared" si="2"/>
        <v>2012</v>
      </c>
      <c r="D162" s="1"/>
      <c r="E162" s="1"/>
      <c r="F162" s="1"/>
    </row>
    <row r="163" spans="1:6" x14ac:dyDescent="0.2">
      <c r="A163" s="8">
        <v>336</v>
      </c>
      <c r="B163" s="1">
        <v>2014</v>
      </c>
      <c r="C163" s="1">
        <f t="shared" si="2"/>
        <v>2014</v>
      </c>
      <c r="D163" s="1"/>
      <c r="E163" s="1"/>
      <c r="F163" s="1"/>
    </row>
    <row r="164" spans="1:6" x14ac:dyDescent="0.2">
      <c r="A164" s="8">
        <v>337</v>
      </c>
      <c r="B164" s="1">
        <v>2011</v>
      </c>
      <c r="C164" s="1">
        <f t="shared" si="2"/>
        <v>2011</v>
      </c>
      <c r="D164" s="1"/>
      <c r="E164" s="1"/>
      <c r="F164" s="1"/>
    </row>
  </sheetData>
  <mergeCells count="1">
    <mergeCell ref="E1:F1"/>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E164"/>
  <sheetViews>
    <sheetView workbookViewId="0">
      <selection activeCell="E7" sqref="E7"/>
    </sheetView>
  </sheetViews>
  <sheetFormatPr baseColWidth="10" defaultColWidth="8.83203125" defaultRowHeight="15" x14ac:dyDescent="0.2"/>
  <cols>
    <col min="1" max="1" width="11.83203125" bestFit="1" customWidth="1"/>
    <col min="2" max="2" width="52.6640625" customWidth="1"/>
    <col min="4" max="4" width="10" bestFit="1" customWidth="1"/>
  </cols>
  <sheetData>
    <row r="1" spans="1:5" x14ac:dyDescent="0.2">
      <c r="A1" s="1" t="s">
        <v>0</v>
      </c>
      <c r="B1" s="1" t="s">
        <v>25</v>
      </c>
    </row>
    <row r="2" spans="1:5" x14ac:dyDescent="0.2">
      <c r="A2" s="1">
        <v>2</v>
      </c>
      <c r="B2" s="1">
        <v>40</v>
      </c>
      <c r="D2" s="22" t="s">
        <v>1373</v>
      </c>
      <c r="E2" s="24">
        <f>COUNTA(B2:B164)</f>
        <v>148</v>
      </c>
    </row>
    <row r="3" spans="1:5" x14ac:dyDescent="0.2">
      <c r="A3" s="1">
        <v>5</v>
      </c>
      <c r="B3" s="1">
        <v>95</v>
      </c>
      <c r="D3" s="11" t="s">
        <v>1369</v>
      </c>
      <c r="E3" s="19">
        <f>AVERAGE(B2:B164)</f>
        <v>63.736486486486484</v>
      </c>
    </row>
    <row r="4" spans="1:5" x14ac:dyDescent="0.2">
      <c r="A4" s="1">
        <v>6</v>
      </c>
      <c r="B4" s="1">
        <v>20</v>
      </c>
      <c r="D4" s="10" t="s">
        <v>1370</v>
      </c>
      <c r="E4" s="21">
        <f>_xlfn.STDEV.S($B$2:$B$164)</f>
        <v>30.774439762135167</v>
      </c>
    </row>
    <row r="5" spans="1:5" x14ac:dyDescent="0.2">
      <c r="A5" s="1">
        <v>11</v>
      </c>
      <c r="B5" s="1">
        <v>2</v>
      </c>
      <c r="E5" s="21">
        <f>MIN($B$2:$B$164)</f>
        <v>0</v>
      </c>
    </row>
    <row r="6" spans="1:5" x14ac:dyDescent="0.2">
      <c r="A6" s="1">
        <v>18</v>
      </c>
      <c r="B6" s="1"/>
      <c r="E6" s="21">
        <f>MAX($B$2:$B$164)</f>
        <v>100</v>
      </c>
    </row>
    <row r="7" spans="1:5" x14ac:dyDescent="0.2">
      <c r="A7" s="1">
        <v>21</v>
      </c>
      <c r="B7" s="1"/>
    </row>
    <row r="8" spans="1:5" x14ac:dyDescent="0.2">
      <c r="A8" s="1">
        <v>22</v>
      </c>
      <c r="B8" s="1">
        <v>50</v>
      </c>
    </row>
    <row r="9" spans="1:5" x14ac:dyDescent="0.2">
      <c r="A9" s="1">
        <v>26</v>
      </c>
      <c r="B9" s="1"/>
    </row>
    <row r="10" spans="1:5" x14ac:dyDescent="0.2">
      <c r="A10" s="1">
        <v>30</v>
      </c>
      <c r="B10" s="1">
        <v>90</v>
      </c>
    </row>
    <row r="11" spans="1:5" x14ac:dyDescent="0.2">
      <c r="A11" s="1">
        <v>31</v>
      </c>
      <c r="B11" s="1">
        <v>99</v>
      </c>
    </row>
    <row r="12" spans="1:5" x14ac:dyDescent="0.2">
      <c r="A12" s="1">
        <v>28</v>
      </c>
      <c r="B12" s="1">
        <v>70</v>
      </c>
    </row>
    <row r="13" spans="1:5" x14ac:dyDescent="0.2">
      <c r="A13" s="1">
        <v>32</v>
      </c>
      <c r="B13" s="1">
        <v>15</v>
      </c>
    </row>
    <row r="14" spans="1:5" x14ac:dyDescent="0.2">
      <c r="A14" s="1">
        <v>34</v>
      </c>
      <c r="B14" s="1">
        <v>95</v>
      </c>
    </row>
    <row r="15" spans="1:5" x14ac:dyDescent="0.2">
      <c r="A15" s="1">
        <v>35</v>
      </c>
      <c r="B15" s="1">
        <v>30</v>
      </c>
    </row>
    <row r="16" spans="1:5" x14ac:dyDescent="0.2">
      <c r="A16" s="1">
        <v>36</v>
      </c>
      <c r="B16" s="1">
        <v>50</v>
      </c>
    </row>
    <row r="17" spans="1:2" x14ac:dyDescent="0.2">
      <c r="A17" s="1">
        <v>38</v>
      </c>
      <c r="B17" s="1">
        <v>100</v>
      </c>
    </row>
    <row r="18" spans="1:2" x14ac:dyDescent="0.2">
      <c r="A18" s="1">
        <v>40</v>
      </c>
      <c r="B18" s="1">
        <v>90</v>
      </c>
    </row>
    <row r="19" spans="1:2" x14ac:dyDescent="0.2">
      <c r="A19" s="1">
        <v>41</v>
      </c>
      <c r="B19" s="1">
        <v>25</v>
      </c>
    </row>
    <row r="20" spans="1:2" x14ac:dyDescent="0.2">
      <c r="A20" s="1">
        <v>42</v>
      </c>
      <c r="B20" s="1">
        <v>25</v>
      </c>
    </row>
    <row r="21" spans="1:2" x14ac:dyDescent="0.2">
      <c r="A21" s="1">
        <v>44</v>
      </c>
      <c r="B21" s="1">
        <v>10</v>
      </c>
    </row>
    <row r="22" spans="1:2" x14ac:dyDescent="0.2">
      <c r="A22" s="1">
        <v>46</v>
      </c>
      <c r="B22" s="1">
        <v>75</v>
      </c>
    </row>
    <row r="23" spans="1:2" x14ac:dyDescent="0.2">
      <c r="A23" s="1">
        <v>47</v>
      </c>
      <c r="B23" s="1">
        <v>100</v>
      </c>
    </row>
    <row r="24" spans="1:2" x14ac:dyDescent="0.2">
      <c r="A24" s="1">
        <v>49</v>
      </c>
      <c r="B24" s="1">
        <v>70</v>
      </c>
    </row>
    <row r="25" spans="1:2" x14ac:dyDescent="0.2">
      <c r="A25" s="1">
        <v>50</v>
      </c>
      <c r="B25" s="1">
        <v>100</v>
      </c>
    </row>
    <row r="26" spans="1:2" x14ac:dyDescent="0.2">
      <c r="A26" s="1">
        <v>51</v>
      </c>
      <c r="B26" s="1">
        <v>90</v>
      </c>
    </row>
    <row r="27" spans="1:2" x14ac:dyDescent="0.2">
      <c r="A27" s="1">
        <v>53</v>
      </c>
      <c r="B27" s="1">
        <v>50</v>
      </c>
    </row>
    <row r="28" spans="1:2" x14ac:dyDescent="0.2">
      <c r="A28" s="1">
        <v>55</v>
      </c>
      <c r="B28" s="1"/>
    </row>
    <row r="29" spans="1:2" x14ac:dyDescent="0.2">
      <c r="A29" s="1">
        <v>60</v>
      </c>
      <c r="B29" s="1">
        <v>50</v>
      </c>
    </row>
    <row r="30" spans="1:2" x14ac:dyDescent="0.2">
      <c r="A30" s="1">
        <v>61</v>
      </c>
      <c r="B30" s="1">
        <v>50</v>
      </c>
    </row>
    <row r="31" spans="1:2" x14ac:dyDescent="0.2">
      <c r="A31" s="1">
        <v>62</v>
      </c>
      <c r="B31" s="1">
        <v>80</v>
      </c>
    </row>
    <row r="32" spans="1:2" x14ac:dyDescent="0.2">
      <c r="A32" s="1">
        <v>65</v>
      </c>
      <c r="B32" s="1">
        <v>80</v>
      </c>
    </row>
    <row r="33" spans="1:2" x14ac:dyDescent="0.2">
      <c r="A33" s="1">
        <v>70</v>
      </c>
      <c r="B33" s="1">
        <v>75</v>
      </c>
    </row>
    <row r="34" spans="1:2" x14ac:dyDescent="0.2">
      <c r="A34" s="1">
        <v>71</v>
      </c>
      <c r="B34" s="1">
        <v>100</v>
      </c>
    </row>
    <row r="35" spans="1:2" x14ac:dyDescent="0.2">
      <c r="A35" s="1">
        <v>72</v>
      </c>
      <c r="B35" s="1">
        <v>50</v>
      </c>
    </row>
    <row r="36" spans="1:2" x14ac:dyDescent="0.2">
      <c r="A36" s="1">
        <v>74</v>
      </c>
      <c r="B36" s="1">
        <v>50</v>
      </c>
    </row>
    <row r="37" spans="1:2" x14ac:dyDescent="0.2">
      <c r="A37" s="1">
        <v>75</v>
      </c>
      <c r="B37" s="1">
        <v>80</v>
      </c>
    </row>
    <row r="38" spans="1:2" x14ac:dyDescent="0.2">
      <c r="A38" s="1">
        <v>76</v>
      </c>
      <c r="B38" s="1">
        <v>80</v>
      </c>
    </row>
    <row r="39" spans="1:2" x14ac:dyDescent="0.2">
      <c r="A39" s="1">
        <v>78</v>
      </c>
      <c r="B39" s="1">
        <v>100</v>
      </c>
    </row>
    <row r="40" spans="1:2" x14ac:dyDescent="0.2">
      <c r="A40" s="1">
        <v>79</v>
      </c>
      <c r="B40" s="1">
        <v>100</v>
      </c>
    </row>
    <row r="41" spans="1:2" x14ac:dyDescent="0.2">
      <c r="A41" s="1">
        <v>80</v>
      </c>
      <c r="B41" s="1">
        <v>80</v>
      </c>
    </row>
    <row r="42" spans="1:2" x14ac:dyDescent="0.2">
      <c r="A42" s="1">
        <v>87</v>
      </c>
      <c r="B42" s="1">
        <v>90</v>
      </c>
    </row>
    <row r="43" spans="1:2" x14ac:dyDescent="0.2">
      <c r="A43" s="1">
        <v>89</v>
      </c>
      <c r="B43" s="1">
        <v>20</v>
      </c>
    </row>
    <row r="44" spans="1:2" x14ac:dyDescent="0.2">
      <c r="A44" s="1">
        <v>90</v>
      </c>
      <c r="B44" s="1">
        <v>50</v>
      </c>
    </row>
    <row r="45" spans="1:2" x14ac:dyDescent="0.2">
      <c r="A45" s="1">
        <v>91</v>
      </c>
      <c r="B45" s="1">
        <v>50</v>
      </c>
    </row>
    <row r="46" spans="1:2" x14ac:dyDescent="0.2">
      <c r="A46" s="1">
        <v>92</v>
      </c>
      <c r="B46" s="1">
        <v>90</v>
      </c>
    </row>
    <row r="47" spans="1:2" x14ac:dyDescent="0.2">
      <c r="A47" s="1">
        <v>93</v>
      </c>
      <c r="B47" s="1">
        <v>80</v>
      </c>
    </row>
    <row r="48" spans="1:2" x14ac:dyDescent="0.2">
      <c r="A48" s="1">
        <v>95</v>
      </c>
      <c r="B48" s="1">
        <v>90</v>
      </c>
    </row>
    <row r="49" spans="1:2" x14ac:dyDescent="0.2">
      <c r="A49" s="1">
        <v>96</v>
      </c>
      <c r="B49" s="1">
        <v>100</v>
      </c>
    </row>
    <row r="50" spans="1:2" x14ac:dyDescent="0.2">
      <c r="A50" s="1">
        <v>100</v>
      </c>
      <c r="B50" s="1">
        <v>95</v>
      </c>
    </row>
    <row r="51" spans="1:2" x14ac:dyDescent="0.2">
      <c r="A51" s="1">
        <v>104</v>
      </c>
      <c r="B51" s="1">
        <v>90</v>
      </c>
    </row>
    <row r="52" spans="1:2" x14ac:dyDescent="0.2">
      <c r="A52" s="1">
        <v>107</v>
      </c>
      <c r="B52" s="1">
        <v>100</v>
      </c>
    </row>
    <row r="53" spans="1:2" x14ac:dyDescent="0.2">
      <c r="A53" s="1">
        <v>109</v>
      </c>
      <c r="B53" s="1">
        <v>80</v>
      </c>
    </row>
    <row r="54" spans="1:2" x14ac:dyDescent="0.2">
      <c r="A54" s="1">
        <v>110</v>
      </c>
      <c r="B54" s="1">
        <v>40</v>
      </c>
    </row>
    <row r="55" spans="1:2" x14ac:dyDescent="0.2">
      <c r="A55" s="1">
        <v>112</v>
      </c>
      <c r="B55" s="1">
        <v>50</v>
      </c>
    </row>
    <row r="56" spans="1:2" x14ac:dyDescent="0.2">
      <c r="A56" s="1">
        <v>118</v>
      </c>
      <c r="B56" s="1">
        <v>50</v>
      </c>
    </row>
    <row r="57" spans="1:2" x14ac:dyDescent="0.2">
      <c r="A57" s="1">
        <v>119</v>
      </c>
      <c r="B57" s="1">
        <v>80</v>
      </c>
    </row>
    <row r="58" spans="1:2" x14ac:dyDescent="0.2">
      <c r="A58" s="1">
        <v>120</v>
      </c>
      <c r="B58" s="1">
        <v>50</v>
      </c>
    </row>
    <row r="59" spans="1:2" x14ac:dyDescent="0.2">
      <c r="A59" s="1">
        <v>121</v>
      </c>
      <c r="B59" s="1">
        <v>50</v>
      </c>
    </row>
    <row r="60" spans="1:2" x14ac:dyDescent="0.2">
      <c r="A60" s="1">
        <v>122</v>
      </c>
      <c r="B60" s="1">
        <v>10</v>
      </c>
    </row>
    <row r="61" spans="1:2" x14ac:dyDescent="0.2">
      <c r="A61" s="1">
        <v>127</v>
      </c>
      <c r="B61" s="1">
        <v>75</v>
      </c>
    </row>
    <row r="62" spans="1:2" x14ac:dyDescent="0.2">
      <c r="A62" s="1">
        <v>128</v>
      </c>
      <c r="B62" s="1">
        <v>80</v>
      </c>
    </row>
    <row r="63" spans="1:2" x14ac:dyDescent="0.2">
      <c r="A63" s="1">
        <v>132</v>
      </c>
      <c r="B63" s="1">
        <v>90</v>
      </c>
    </row>
    <row r="64" spans="1:2" x14ac:dyDescent="0.2">
      <c r="A64" s="1">
        <v>135</v>
      </c>
      <c r="B64" s="1">
        <v>30</v>
      </c>
    </row>
    <row r="65" spans="1:2" x14ac:dyDescent="0.2">
      <c r="A65" s="1">
        <v>136</v>
      </c>
      <c r="B65" s="1">
        <v>30</v>
      </c>
    </row>
    <row r="66" spans="1:2" x14ac:dyDescent="0.2">
      <c r="A66" s="1">
        <v>138</v>
      </c>
      <c r="B66" s="1">
        <v>75</v>
      </c>
    </row>
    <row r="67" spans="1:2" x14ac:dyDescent="0.2">
      <c r="A67" s="1">
        <v>139</v>
      </c>
      <c r="B67" s="1">
        <v>5</v>
      </c>
    </row>
    <row r="68" spans="1:2" x14ac:dyDescent="0.2">
      <c r="A68" s="1">
        <v>140</v>
      </c>
      <c r="B68" s="1">
        <v>99</v>
      </c>
    </row>
    <row r="69" spans="1:2" x14ac:dyDescent="0.2">
      <c r="A69" s="1">
        <v>148</v>
      </c>
      <c r="B69" s="1">
        <v>60</v>
      </c>
    </row>
    <row r="70" spans="1:2" x14ac:dyDescent="0.2">
      <c r="A70" s="1">
        <v>149</v>
      </c>
      <c r="B70" s="1">
        <v>50</v>
      </c>
    </row>
    <row r="71" spans="1:2" x14ac:dyDescent="0.2">
      <c r="A71" s="1">
        <v>150</v>
      </c>
      <c r="B71" s="1">
        <v>80</v>
      </c>
    </row>
    <row r="72" spans="1:2" x14ac:dyDescent="0.2">
      <c r="A72" s="1">
        <v>151</v>
      </c>
      <c r="B72" s="1">
        <v>80</v>
      </c>
    </row>
    <row r="73" spans="1:2" x14ac:dyDescent="0.2">
      <c r="A73" s="1">
        <v>152</v>
      </c>
      <c r="B73" s="1">
        <v>90</v>
      </c>
    </row>
    <row r="74" spans="1:2" x14ac:dyDescent="0.2">
      <c r="A74" s="1">
        <v>153</v>
      </c>
      <c r="B74" s="1">
        <v>25</v>
      </c>
    </row>
    <row r="75" spans="1:2" x14ac:dyDescent="0.2">
      <c r="A75" s="1">
        <v>157</v>
      </c>
      <c r="B75" s="1">
        <v>25</v>
      </c>
    </row>
    <row r="76" spans="1:2" x14ac:dyDescent="0.2">
      <c r="A76" s="1">
        <v>156</v>
      </c>
      <c r="B76" s="1">
        <v>0</v>
      </c>
    </row>
    <row r="77" spans="1:2" x14ac:dyDescent="0.2">
      <c r="A77" s="1">
        <v>162</v>
      </c>
      <c r="B77" s="1">
        <v>100</v>
      </c>
    </row>
    <row r="78" spans="1:2" x14ac:dyDescent="0.2">
      <c r="A78" s="1">
        <v>164</v>
      </c>
      <c r="B78" s="1">
        <v>5</v>
      </c>
    </row>
    <row r="79" spans="1:2" x14ac:dyDescent="0.2">
      <c r="A79" s="1">
        <v>166</v>
      </c>
      <c r="B79" s="1"/>
    </row>
    <row r="80" spans="1:2" x14ac:dyDescent="0.2">
      <c r="A80" s="1">
        <v>170</v>
      </c>
      <c r="B80" s="1">
        <v>5</v>
      </c>
    </row>
    <row r="81" spans="1:2" x14ac:dyDescent="0.2">
      <c r="A81" s="1">
        <v>173</v>
      </c>
      <c r="B81" s="1">
        <v>40</v>
      </c>
    </row>
    <row r="82" spans="1:2" x14ac:dyDescent="0.2">
      <c r="A82" s="1">
        <v>175</v>
      </c>
      <c r="B82" s="1">
        <v>70</v>
      </c>
    </row>
    <row r="83" spans="1:2" x14ac:dyDescent="0.2">
      <c r="A83" s="1">
        <v>178</v>
      </c>
      <c r="B83" s="1">
        <v>70</v>
      </c>
    </row>
    <row r="84" spans="1:2" x14ac:dyDescent="0.2">
      <c r="A84" s="1">
        <v>183</v>
      </c>
      <c r="B84" s="1">
        <v>70</v>
      </c>
    </row>
    <row r="85" spans="1:2" x14ac:dyDescent="0.2">
      <c r="A85" s="1">
        <v>185</v>
      </c>
      <c r="B85" s="1">
        <v>80</v>
      </c>
    </row>
    <row r="86" spans="1:2" x14ac:dyDescent="0.2">
      <c r="A86" s="1">
        <v>186</v>
      </c>
      <c r="B86" s="1"/>
    </row>
    <row r="87" spans="1:2" x14ac:dyDescent="0.2">
      <c r="A87" s="1">
        <v>189</v>
      </c>
      <c r="B87" s="1">
        <v>100</v>
      </c>
    </row>
    <row r="88" spans="1:2" x14ac:dyDescent="0.2">
      <c r="A88" s="1">
        <v>190</v>
      </c>
      <c r="B88" s="1">
        <v>95</v>
      </c>
    </row>
    <row r="89" spans="1:2" x14ac:dyDescent="0.2">
      <c r="A89" s="1">
        <v>192</v>
      </c>
      <c r="B89" s="1">
        <v>50</v>
      </c>
    </row>
    <row r="90" spans="1:2" x14ac:dyDescent="0.2">
      <c r="A90" s="1">
        <v>193</v>
      </c>
      <c r="B90" s="1"/>
    </row>
    <row r="91" spans="1:2" x14ac:dyDescent="0.2">
      <c r="A91" s="1">
        <v>196</v>
      </c>
      <c r="B91" s="1"/>
    </row>
    <row r="92" spans="1:2" x14ac:dyDescent="0.2">
      <c r="A92" s="1">
        <v>197</v>
      </c>
      <c r="B92" s="1">
        <v>30</v>
      </c>
    </row>
    <row r="93" spans="1:2" x14ac:dyDescent="0.2">
      <c r="A93" s="1">
        <v>200</v>
      </c>
      <c r="B93" s="1">
        <v>80</v>
      </c>
    </row>
    <row r="94" spans="1:2" x14ac:dyDescent="0.2">
      <c r="A94" s="1">
        <v>203</v>
      </c>
      <c r="B94" s="1">
        <v>80</v>
      </c>
    </row>
    <row r="95" spans="1:2" x14ac:dyDescent="0.2">
      <c r="A95" s="1">
        <v>204</v>
      </c>
      <c r="B95" s="1"/>
    </row>
    <row r="96" spans="1:2" x14ac:dyDescent="0.2">
      <c r="A96" s="1">
        <v>207</v>
      </c>
      <c r="B96" s="1"/>
    </row>
    <row r="97" spans="1:2" x14ac:dyDescent="0.2">
      <c r="A97" s="1">
        <v>208</v>
      </c>
      <c r="B97" s="1">
        <v>90</v>
      </c>
    </row>
    <row r="98" spans="1:2" x14ac:dyDescent="0.2">
      <c r="A98" s="1">
        <v>210</v>
      </c>
      <c r="B98" s="1">
        <v>70</v>
      </c>
    </row>
    <row r="99" spans="1:2" x14ac:dyDescent="0.2">
      <c r="A99" s="1">
        <v>212</v>
      </c>
      <c r="B99" s="1">
        <v>30</v>
      </c>
    </row>
    <row r="100" spans="1:2" x14ac:dyDescent="0.2">
      <c r="A100" s="1">
        <v>215</v>
      </c>
      <c r="B100" s="1">
        <v>25</v>
      </c>
    </row>
    <row r="101" spans="1:2" x14ac:dyDescent="0.2">
      <c r="A101" s="1">
        <v>217</v>
      </c>
      <c r="B101" s="1">
        <v>10</v>
      </c>
    </row>
    <row r="102" spans="1:2" x14ac:dyDescent="0.2">
      <c r="A102" s="1">
        <v>219</v>
      </c>
      <c r="B102" s="1">
        <v>70</v>
      </c>
    </row>
    <row r="103" spans="1:2" x14ac:dyDescent="0.2">
      <c r="A103" s="1">
        <v>221</v>
      </c>
      <c r="B103" s="1">
        <v>90</v>
      </c>
    </row>
    <row r="104" spans="1:2" x14ac:dyDescent="0.2">
      <c r="A104" s="1">
        <v>222</v>
      </c>
      <c r="B104" s="1">
        <v>80</v>
      </c>
    </row>
    <row r="105" spans="1:2" x14ac:dyDescent="0.2">
      <c r="A105" s="1">
        <v>223</v>
      </c>
      <c r="B105" s="1">
        <v>80</v>
      </c>
    </row>
    <row r="106" spans="1:2" x14ac:dyDescent="0.2">
      <c r="A106" s="1">
        <v>226</v>
      </c>
      <c r="B106" s="1">
        <v>85</v>
      </c>
    </row>
    <row r="107" spans="1:2" x14ac:dyDescent="0.2">
      <c r="A107" s="1">
        <v>231</v>
      </c>
      <c r="B107" s="1">
        <v>70</v>
      </c>
    </row>
    <row r="108" spans="1:2" x14ac:dyDescent="0.2">
      <c r="A108" s="1">
        <v>232</v>
      </c>
      <c r="B108" s="1">
        <v>100</v>
      </c>
    </row>
    <row r="109" spans="1:2" x14ac:dyDescent="0.2">
      <c r="A109" s="1">
        <v>233</v>
      </c>
      <c r="B109" s="1"/>
    </row>
    <row r="110" spans="1:2" x14ac:dyDescent="0.2">
      <c r="A110" s="1">
        <v>236</v>
      </c>
      <c r="B110" s="1">
        <v>100</v>
      </c>
    </row>
    <row r="111" spans="1:2" x14ac:dyDescent="0.2">
      <c r="A111" s="1">
        <v>238</v>
      </c>
      <c r="B111" s="1">
        <v>20</v>
      </c>
    </row>
    <row r="112" spans="1:2" x14ac:dyDescent="0.2">
      <c r="A112" s="1">
        <v>241</v>
      </c>
      <c r="B112" s="1">
        <v>5</v>
      </c>
    </row>
    <row r="113" spans="1:2" x14ac:dyDescent="0.2">
      <c r="A113" s="1">
        <v>242</v>
      </c>
      <c r="B113" s="1"/>
    </row>
    <row r="114" spans="1:2" x14ac:dyDescent="0.2">
      <c r="A114" s="1">
        <v>245</v>
      </c>
      <c r="B114" s="1">
        <v>50</v>
      </c>
    </row>
    <row r="115" spans="1:2" x14ac:dyDescent="0.2">
      <c r="A115" s="1">
        <v>247</v>
      </c>
      <c r="B115" s="1">
        <v>100</v>
      </c>
    </row>
    <row r="116" spans="1:2" x14ac:dyDescent="0.2">
      <c r="A116" s="1">
        <v>249</v>
      </c>
      <c r="B116" s="1">
        <v>80</v>
      </c>
    </row>
    <row r="117" spans="1:2" x14ac:dyDescent="0.2">
      <c r="A117" s="1">
        <v>250</v>
      </c>
      <c r="B117" s="1">
        <v>75</v>
      </c>
    </row>
    <row r="118" spans="1:2" x14ac:dyDescent="0.2">
      <c r="A118" s="1">
        <v>254</v>
      </c>
      <c r="B118" s="1"/>
    </row>
    <row r="119" spans="1:2" x14ac:dyDescent="0.2">
      <c r="A119" s="1">
        <v>256</v>
      </c>
      <c r="B119" s="1"/>
    </row>
    <row r="120" spans="1:2" x14ac:dyDescent="0.2">
      <c r="A120" s="1">
        <v>257</v>
      </c>
      <c r="B120" s="1">
        <v>10</v>
      </c>
    </row>
    <row r="121" spans="1:2" x14ac:dyDescent="0.2">
      <c r="A121" s="1">
        <v>260</v>
      </c>
      <c r="B121" s="1">
        <v>70</v>
      </c>
    </row>
    <row r="122" spans="1:2" x14ac:dyDescent="0.2">
      <c r="A122" s="1">
        <v>262</v>
      </c>
      <c r="B122" s="1">
        <v>70</v>
      </c>
    </row>
    <row r="123" spans="1:2" x14ac:dyDescent="0.2">
      <c r="A123" s="1">
        <v>263</v>
      </c>
      <c r="B123" s="1">
        <v>0</v>
      </c>
    </row>
    <row r="124" spans="1:2" x14ac:dyDescent="0.2">
      <c r="A124" s="1">
        <v>272</v>
      </c>
      <c r="B124" s="1">
        <v>20</v>
      </c>
    </row>
    <row r="125" spans="1:2" x14ac:dyDescent="0.2">
      <c r="A125" s="1">
        <v>273</v>
      </c>
      <c r="B125" s="1">
        <v>100</v>
      </c>
    </row>
    <row r="126" spans="1:2" x14ac:dyDescent="0.2">
      <c r="A126" s="1">
        <v>280</v>
      </c>
      <c r="B126" s="1">
        <v>20</v>
      </c>
    </row>
    <row r="127" spans="1:2" x14ac:dyDescent="0.2">
      <c r="A127" s="1">
        <v>282</v>
      </c>
      <c r="B127" s="1">
        <v>100</v>
      </c>
    </row>
    <row r="128" spans="1:2" x14ac:dyDescent="0.2">
      <c r="A128" s="1">
        <v>286</v>
      </c>
      <c r="B128" s="1">
        <v>100</v>
      </c>
    </row>
    <row r="129" spans="1:2" x14ac:dyDescent="0.2">
      <c r="A129" s="1">
        <v>287</v>
      </c>
      <c r="B129" s="1">
        <v>80</v>
      </c>
    </row>
    <row r="130" spans="1:2" x14ac:dyDescent="0.2">
      <c r="A130" s="1">
        <v>288</v>
      </c>
      <c r="B130" s="1"/>
    </row>
    <row r="131" spans="1:2" x14ac:dyDescent="0.2">
      <c r="A131" s="1">
        <v>289</v>
      </c>
      <c r="B131" s="1">
        <v>90</v>
      </c>
    </row>
    <row r="132" spans="1:2" x14ac:dyDescent="0.2">
      <c r="A132" s="1">
        <v>290</v>
      </c>
      <c r="B132" s="1">
        <v>100</v>
      </c>
    </row>
    <row r="133" spans="1:2" x14ac:dyDescent="0.2">
      <c r="A133" s="1">
        <v>291</v>
      </c>
      <c r="B133" s="1">
        <v>80</v>
      </c>
    </row>
    <row r="134" spans="1:2" x14ac:dyDescent="0.2">
      <c r="A134" s="1">
        <v>293</v>
      </c>
      <c r="B134" s="1">
        <v>5</v>
      </c>
    </row>
    <row r="135" spans="1:2" x14ac:dyDescent="0.2">
      <c r="A135" s="1">
        <v>294</v>
      </c>
      <c r="B135" s="1">
        <v>100</v>
      </c>
    </row>
    <row r="136" spans="1:2" x14ac:dyDescent="0.2">
      <c r="A136" s="1">
        <v>295</v>
      </c>
      <c r="B136" s="1">
        <v>50</v>
      </c>
    </row>
    <row r="137" spans="1:2" x14ac:dyDescent="0.2">
      <c r="A137" s="1">
        <v>297</v>
      </c>
      <c r="B137" s="1">
        <v>95</v>
      </c>
    </row>
    <row r="138" spans="1:2" x14ac:dyDescent="0.2">
      <c r="A138" s="1">
        <v>298</v>
      </c>
      <c r="B138" s="1">
        <v>60</v>
      </c>
    </row>
    <row r="139" spans="1:2" x14ac:dyDescent="0.2">
      <c r="A139" s="1">
        <v>300</v>
      </c>
      <c r="B139" s="1">
        <v>90</v>
      </c>
    </row>
    <row r="140" spans="1:2" x14ac:dyDescent="0.2">
      <c r="A140" s="1">
        <v>301</v>
      </c>
      <c r="B140" s="1">
        <v>100</v>
      </c>
    </row>
    <row r="141" spans="1:2" x14ac:dyDescent="0.2">
      <c r="A141" s="1">
        <v>302</v>
      </c>
      <c r="B141" s="1">
        <v>60</v>
      </c>
    </row>
    <row r="142" spans="1:2" x14ac:dyDescent="0.2">
      <c r="A142" s="6">
        <v>303</v>
      </c>
      <c r="B142" s="6">
        <v>50</v>
      </c>
    </row>
    <row r="143" spans="1:2" x14ac:dyDescent="0.2">
      <c r="A143" s="1">
        <v>304</v>
      </c>
      <c r="B143" s="1">
        <v>95</v>
      </c>
    </row>
    <row r="144" spans="1:2" x14ac:dyDescent="0.2">
      <c r="A144" s="1">
        <v>305</v>
      </c>
      <c r="B144" s="1">
        <v>100</v>
      </c>
    </row>
    <row r="145" spans="1:2" x14ac:dyDescent="0.2">
      <c r="A145" s="1">
        <v>307</v>
      </c>
      <c r="B145" s="1">
        <v>30</v>
      </c>
    </row>
    <row r="146" spans="1:2" x14ac:dyDescent="0.2">
      <c r="A146" s="1">
        <v>308</v>
      </c>
      <c r="B146" s="1">
        <v>75</v>
      </c>
    </row>
    <row r="147" spans="1:2" x14ac:dyDescent="0.2">
      <c r="A147" s="8">
        <v>310</v>
      </c>
      <c r="B147" s="8">
        <v>80</v>
      </c>
    </row>
    <row r="148" spans="1:2" x14ac:dyDescent="0.2">
      <c r="A148" s="8">
        <v>312</v>
      </c>
      <c r="B148" s="8">
        <v>80</v>
      </c>
    </row>
    <row r="149" spans="1:2" x14ac:dyDescent="0.2">
      <c r="A149" s="8">
        <v>314</v>
      </c>
      <c r="B149" s="8">
        <v>25</v>
      </c>
    </row>
    <row r="150" spans="1:2" x14ac:dyDescent="0.2">
      <c r="A150" s="8">
        <v>315</v>
      </c>
      <c r="B150" s="8">
        <v>50</v>
      </c>
    </row>
    <row r="151" spans="1:2" x14ac:dyDescent="0.2">
      <c r="A151" s="8">
        <v>316</v>
      </c>
      <c r="B151" s="8">
        <v>80</v>
      </c>
    </row>
    <row r="152" spans="1:2" x14ac:dyDescent="0.2">
      <c r="A152" s="8">
        <v>317</v>
      </c>
      <c r="B152" s="8">
        <v>10</v>
      </c>
    </row>
    <row r="153" spans="1:2" x14ac:dyDescent="0.2">
      <c r="A153" s="8">
        <v>319</v>
      </c>
      <c r="B153" s="8">
        <v>50</v>
      </c>
    </row>
    <row r="154" spans="1:2" x14ac:dyDescent="0.2">
      <c r="A154" s="8">
        <v>323</v>
      </c>
      <c r="B154" s="8">
        <v>5</v>
      </c>
    </row>
    <row r="155" spans="1:2" x14ac:dyDescent="0.2">
      <c r="A155" s="8">
        <v>324</v>
      </c>
      <c r="B155" s="8">
        <v>95</v>
      </c>
    </row>
    <row r="156" spans="1:2" x14ac:dyDescent="0.2">
      <c r="A156" s="8">
        <v>325</v>
      </c>
      <c r="B156" s="8">
        <v>90</v>
      </c>
    </row>
    <row r="157" spans="1:2" x14ac:dyDescent="0.2">
      <c r="A157" s="8">
        <v>327</v>
      </c>
      <c r="B157" s="8">
        <v>75</v>
      </c>
    </row>
    <row r="158" spans="1:2" x14ac:dyDescent="0.2">
      <c r="A158" s="8">
        <v>328</v>
      </c>
      <c r="B158" s="8">
        <v>80</v>
      </c>
    </row>
    <row r="159" spans="1:2" x14ac:dyDescent="0.2">
      <c r="A159" s="8">
        <v>329</v>
      </c>
      <c r="B159" s="8">
        <v>50</v>
      </c>
    </row>
    <row r="160" spans="1:2" x14ac:dyDescent="0.2">
      <c r="A160" s="8">
        <v>331</v>
      </c>
      <c r="B160" s="1">
        <v>85</v>
      </c>
    </row>
    <row r="161" spans="1:2" x14ac:dyDescent="0.2">
      <c r="A161" s="8">
        <v>332</v>
      </c>
      <c r="B161" s="1">
        <v>70</v>
      </c>
    </row>
    <row r="162" spans="1:2" x14ac:dyDescent="0.2">
      <c r="A162" s="8">
        <v>334</v>
      </c>
      <c r="B162" s="1">
        <v>33</v>
      </c>
    </row>
    <row r="163" spans="1:2" x14ac:dyDescent="0.2">
      <c r="A163" s="8">
        <v>336</v>
      </c>
      <c r="B163" s="1">
        <v>5</v>
      </c>
    </row>
    <row r="164" spans="1:2" x14ac:dyDescent="0.2">
      <c r="A164" s="8">
        <v>337</v>
      </c>
      <c r="B164" s="1">
        <v>90</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L164"/>
  <sheetViews>
    <sheetView topLeftCell="A2" workbookViewId="0">
      <selection activeCell="M18" sqref="M18"/>
    </sheetView>
  </sheetViews>
  <sheetFormatPr baseColWidth="10" defaultColWidth="8.83203125" defaultRowHeight="15" x14ac:dyDescent="0.2"/>
  <cols>
    <col min="1" max="1" width="12.33203125" customWidth="1"/>
    <col min="2" max="2" width="43.5" customWidth="1"/>
    <col min="3" max="5" width="0" hidden="1" customWidth="1"/>
    <col min="7" max="7" width="12.5" customWidth="1"/>
    <col min="8" max="8" width="11.6640625" bestFit="1" customWidth="1"/>
  </cols>
  <sheetData>
    <row r="1" spans="1:11" ht="15" customHeight="1" x14ac:dyDescent="0.2">
      <c r="A1" s="1" t="s">
        <v>0</v>
      </c>
      <c r="B1" s="1" t="s">
        <v>26</v>
      </c>
    </row>
    <row r="2" spans="1:11" x14ac:dyDescent="0.2">
      <c r="A2" s="1">
        <v>2</v>
      </c>
      <c r="B2" s="1" t="s">
        <v>53</v>
      </c>
      <c r="C2" t="s">
        <v>53</v>
      </c>
      <c r="G2" s="27" t="s">
        <v>1765</v>
      </c>
      <c r="H2" s="82"/>
      <c r="I2" s="83" t="s">
        <v>1948</v>
      </c>
    </row>
    <row r="3" spans="1:11" x14ac:dyDescent="0.2">
      <c r="A3" s="1">
        <v>5</v>
      </c>
      <c r="B3" s="1" t="s">
        <v>53</v>
      </c>
      <c r="C3" t="s">
        <v>53</v>
      </c>
      <c r="G3" s="27" t="s">
        <v>53</v>
      </c>
      <c r="H3" s="82"/>
      <c r="I3" s="83">
        <f>COUNTIF(C$2:E$164,"R*")</f>
        <v>147</v>
      </c>
      <c r="K3">
        <f>I3/163</f>
        <v>0.90184049079754602</v>
      </c>
    </row>
    <row r="4" spans="1:11" x14ac:dyDescent="0.2">
      <c r="A4" s="1">
        <v>6</v>
      </c>
      <c r="B4" s="1" t="s">
        <v>75</v>
      </c>
      <c r="C4" t="s">
        <v>53</v>
      </c>
      <c r="D4" t="s">
        <v>87</v>
      </c>
      <c r="E4" t="s">
        <v>1932</v>
      </c>
      <c r="G4" s="74"/>
      <c r="H4" s="75" t="s">
        <v>1211</v>
      </c>
      <c r="I4" s="76">
        <f>COUNTIF(C$2:E$164,"R - lme4")</f>
        <v>24</v>
      </c>
      <c r="K4">
        <f>32/163</f>
        <v>0.19631901840490798</v>
      </c>
    </row>
    <row r="5" spans="1:11" x14ac:dyDescent="0.2">
      <c r="A5" s="1">
        <v>11</v>
      </c>
      <c r="B5" s="1" t="s">
        <v>87</v>
      </c>
      <c r="C5" t="s">
        <v>87</v>
      </c>
      <c r="G5" s="77"/>
      <c r="H5" s="78" t="s">
        <v>1933</v>
      </c>
      <c r="I5" s="79">
        <f>COUNTIF(C$2:E$164,"R - lme")</f>
        <v>1</v>
      </c>
    </row>
    <row r="6" spans="1:11" x14ac:dyDescent="0.2">
      <c r="A6" s="1">
        <v>18</v>
      </c>
      <c r="B6" s="1"/>
      <c r="G6" s="77"/>
      <c r="H6" s="78" t="s">
        <v>1934</v>
      </c>
      <c r="I6" s="79">
        <f>COUNTIF(C$2:E$164,"R - lmer")</f>
        <v>7</v>
      </c>
    </row>
    <row r="7" spans="1:11" x14ac:dyDescent="0.2">
      <c r="A7" s="1">
        <v>21</v>
      </c>
      <c r="B7" s="1"/>
      <c r="G7" s="77"/>
      <c r="H7" s="78" t="s">
        <v>1935</v>
      </c>
      <c r="I7" s="79">
        <f>COUNTIF(C$2:E$164,"R - gamm4")</f>
        <v>1</v>
      </c>
    </row>
    <row r="8" spans="1:11" x14ac:dyDescent="0.2">
      <c r="A8" s="1">
        <v>22</v>
      </c>
      <c r="B8" s="1" t="s">
        <v>106</v>
      </c>
      <c r="C8" t="s">
        <v>53</v>
      </c>
      <c r="G8" s="77"/>
      <c r="H8" s="78" t="s">
        <v>1937</v>
      </c>
      <c r="I8" s="79">
        <f>COUNTIF(C$2:E$164,"R - language")</f>
        <v>1</v>
      </c>
    </row>
    <row r="9" spans="1:11" x14ac:dyDescent="0.2">
      <c r="A9" s="1">
        <v>26</v>
      </c>
      <c r="B9" s="1"/>
      <c r="G9" s="77"/>
      <c r="H9" s="78" t="s">
        <v>1947</v>
      </c>
      <c r="I9" s="79">
        <f>COUNTIF(C$2:E$164,"R - lmerTest")</f>
        <v>2</v>
      </c>
      <c r="K9" t="s">
        <v>1560</v>
      </c>
    </row>
    <row r="10" spans="1:11" x14ac:dyDescent="0.2">
      <c r="A10" s="1">
        <v>30</v>
      </c>
      <c r="B10" s="1" t="s">
        <v>53</v>
      </c>
      <c r="C10" t="s">
        <v>53</v>
      </c>
      <c r="G10" s="77"/>
      <c r="H10" s="78" t="s">
        <v>1944</v>
      </c>
      <c r="I10" s="79">
        <f>COUNTIF(C$2:E$164,"R - mgcv")</f>
        <v>2</v>
      </c>
    </row>
    <row r="11" spans="1:11" x14ac:dyDescent="0.2">
      <c r="A11" s="1">
        <v>31</v>
      </c>
      <c r="B11" s="1" t="s">
        <v>53</v>
      </c>
      <c r="C11" t="s">
        <v>53</v>
      </c>
      <c r="G11" s="77"/>
      <c r="H11" s="77" t="s">
        <v>1938</v>
      </c>
      <c r="I11" s="79">
        <v>1</v>
      </c>
    </row>
    <row r="12" spans="1:11" x14ac:dyDescent="0.2">
      <c r="A12" s="1">
        <v>28</v>
      </c>
      <c r="B12" s="1" t="s">
        <v>149</v>
      </c>
      <c r="C12" t="s">
        <v>1211</v>
      </c>
      <c r="G12" s="80"/>
      <c r="H12" s="81" t="s">
        <v>1946</v>
      </c>
      <c r="I12" s="39">
        <f>COUNTIF(C$2:E$164,"R - ESS")</f>
        <v>1</v>
      </c>
    </row>
    <row r="13" spans="1:11" x14ac:dyDescent="0.2">
      <c r="A13" s="1">
        <v>32</v>
      </c>
      <c r="B13" s="1" t="s">
        <v>158</v>
      </c>
      <c r="C13" t="s">
        <v>1933</v>
      </c>
      <c r="G13" s="77" t="s">
        <v>1936</v>
      </c>
      <c r="H13" s="78"/>
      <c r="I13" s="79">
        <f>COUNTIF(C$2:E$164,"Mlwin")</f>
        <v>2</v>
      </c>
      <c r="K13">
        <f>I13/163</f>
        <v>1.2269938650306749E-2</v>
      </c>
    </row>
    <row r="14" spans="1:11" x14ac:dyDescent="0.2">
      <c r="A14" s="1">
        <v>34</v>
      </c>
      <c r="B14" s="1" t="s">
        <v>53</v>
      </c>
      <c r="C14" t="s">
        <v>53</v>
      </c>
      <c r="G14" s="77" t="s">
        <v>87</v>
      </c>
      <c r="H14" s="78"/>
      <c r="I14" s="79">
        <v>13</v>
      </c>
      <c r="K14">
        <f>I14/163</f>
        <v>7.9754601226993863E-2</v>
      </c>
    </row>
    <row r="15" spans="1:11" x14ac:dyDescent="0.2">
      <c r="A15" s="1">
        <v>35</v>
      </c>
      <c r="B15" s="1" t="s">
        <v>180</v>
      </c>
      <c r="C15" t="s">
        <v>1934</v>
      </c>
      <c r="G15" s="77" t="s">
        <v>1932</v>
      </c>
      <c r="H15" s="78"/>
      <c r="I15" s="79">
        <f>COUNTIF(C$2:E$164,"Matlab")</f>
        <v>2</v>
      </c>
      <c r="K15">
        <f>I15/163</f>
        <v>1.2269938650306749E-2</v>
      </c>
    </row>
    <row r="16" spans="1:11" x14ac:dyDescent="0.2">
      <c r="A16" s="1">
        <v>36</v>
      </c>
      <c r="B16" s="1" t="s">
        <v>192</v>
      </c>
      <c r="C16" t="s">
        <v>1211</v>
      </c>
      <c r="G16" s="77" t="s">
        <v>1939</v>
      </c>
      <c r="H16" s="78"/>
      <c r="I16" s="79">
        <f>COUNTIF(C$2:E$164,"HLM")</f>
        <v>1</v>
      </c>
      <c r="K16">
        <f>I16/163</f>
        <v>6.1349693251533744E-3</v>
      </c>
    </row>
    <row r="17" spans="1:12" x14ac:dyDescent="0.2">
      <c r="A17" s="1">
        <v>38</v>
      </c>
      <c r="B17" s="1" t="s">
        <v>53</v>
      </c>
      <c r="C17" t="s">
        <v>53</v>
      </c>
      <c r="G17" s="77" t="s">
        <v>1940</v>
      </c>
      <c r="H17" s="78"/>
      <c r="I17" s="79">
        <f>COUNTIF(C$2:E$164,"Mplus")</f>
        <v>1</v>
      </c>
      <c r="K17">
        <f>I17/163</f>
        <v>6.1349693251533744E-3</v>
      </c>
    </row>
    <row r="18" spans="1:12" x14ac:dyDescent="0.2">
      <c r="A18" s="1">
        <v>40</v>
      </c>
      <c r="B18" s="1" t="s">
        <v>53</v>
      </c>
      <c r="C18" t="s">
        <v>53</v>
      </c>
      <c r="G18" s="77"/>
      <c r="H18" s="78"/>
      <c r="I18" s="79"/>
    </row>
    <row r="19" spans="1:12" x14ac:dyDescent="0.2">
      <c r="A19" s="1">
        <v>41</v>
      </c>
      <c r="B19" s="1" t="s">
        <v>53</v>
      </c>
      <c r="C19" t="s">
        <v>53</v>
      </c>
      <c r="G19" s="77" t="s">
        <v>1941</v>
      </c>
      <c r="H19" s="78"/>
      <c r="I19" s="79">
        <f>COUNTIF(C$2:E$164,"Stan")</f>
        <v>1</v>
      </c>
      <c r="K19">
        <f>I19/163</f>
        <v>6.1349693251533744E-3</v>
      </c>
      <c r="L19" t="s">
        <v>1560</v>
      </c>
    </row>
    <row r="20" spans="1:12" x14ac:dyDescent="0.2">
      <c r="A20" s="1">
        <v>42</v>
      </c>
      <c r="B20" s="1" t="s">
        <v>229</v>
      </c>
      <c r="C20" t="s">
        <v>53</v>
      </c>
      <c r="D20" t="s">
        <v>87</v>
      </c>
      <c r="G20" s="77" t="s">
        <v>1942</v>
      </c>
      <c r="H20" s="78"/>
      <c r="I20" s="79">
        <f>COUNTIF(C$2:E$164,"JASP")</f>
        <v>1</v>
      </c>
      <c r="K20">
        <f>I20/163</f>
        <v>6.1349693251533744E-3</v>
      </c>
    </row>
    <row r="21" spans="1:12" x14ac:dyDescent="0.2">
      <c r="A21" s="1">
        <v>44</v>
      </c>
      <c r="B21" s="1" t="s">
        <v>53</v>
      </c>
      <c r="C21" t="s">
        <v>53</v>
      </c>
      <c r="G21" s="77" t="s">
        <v>1943</v>
      </c>
      <c r="H21" s="78"/>
      <c r="I21" s="79">
        <f>COUNTIF(C$2:E$164,"Splus")</f>
        <v>1</v>
      </c>
      <c r="K21">
        <f>I21/163</f>
        <v>6.1349693251533744E-3</v>
      </c>
    </row>
    <row r="22" spans="1:12" x14ac:dyDescent="0.2">
      <c r="A22" s="1">
        <v>46</v>
      </c>
      <c r="B22" s="1" t="s">
        <v>53</v>
      </c>
      <c r="C22" t="s">
        <v>53</v>
      </c>
      <c r="G22" s="80" t="s">
        <v>1169</v>
      </c>
      <c r="H22" s="81"/>
      <c r="I22" s="39">
        <f>COUNTIF(C$2:E$164,"SAS")</f>
        <v>1</v>
      </c>
      <c r="K22">
        <f>I22/163</f>
        <v>6.1349693251533744E-3</v>
      </c>
    </row>
    <row r="23" spans="1:12" x14ac:dyDescent="0.2">
      <c r="A23" s="1">
        <v>47</v>
      </c>
      <c r="B23" s="1" t="s">
        <v>260</v>
      </c>
      <c r="C23" t="s">
        <v>1211</v>
      </c>
      <c r="D23" t="s">
        <v>1935</v>
      </c>
    </row>
    <row r="24" spans="1:12" x14ac:dyDescent="0.2">
      <c r="A24" s="1">
        <v>49</v>
      </c>
      <c r="B24" s="1" t="s">
        <v>53</v>
      </c>
      <c r="C24" t="s">
        <v>53</v>
      </c>
      <c r="K24" t="s">
        <v>1560</v>
      </c>
    </row>
    <row r="25" spans="1:12" x14ac:dyDescent="0.2">
      <c r="A25" s="1">
        <v>50</v>
      </c>
      <c r="B25" s="1" t="s">
        <v>53</v>
      </c>
      <c r="C25" t="s">
        <v>53</v>
      </c>
    </row>
    <row r="26" spans="1:12" x14ac:dyDescent="0.2">
      <c r="A26" s="1">
        <v>51</v>
      </c>
      <c r="B26" s="1" t="s">
        <v>53</v>
      </c>
      <c r="C26" t="s">
        <v>53</v>
      </c>
    </row>
    <row r="27" spans="1:12" x14ac:dyDescent="0.2">
      <c r="A27" s="1">
        <v>53</v>
      </c>
      <c r="B27" s="1" t="s">
        <v>53</v>
      </c>
      <c r="C27" t="s">
        <v>53</v>
      </c>
    </row>
    <row r="28" spans="1:12" x14ac:dyDescent="0.2">
      <c r="A28" s="1">
        <v>55</v>
      </c>
      <c r="B28" s="1"/>
    </row>
    <row r="29" spans="1:12" x14ac:dyDescent="0.2">
      <c r="A29" s="1">
        <v>60</v>
      </c>
      <c r="B29" s="1" t="s">
        <v>53</v>
      </c>
      <c r="C29" t="s">
        <v>53</v>
      </c>
    </row>
    <row r="30" spans="1:12" x14ac:dyDescent="0.2">
      <c r="A30" s="1">
        <v>61</v>
      </c>
      <c r="B30" s="1" t="s">
        <v>53</v>
      </c>
      <c r="C30" t="s">
        <v>53</v>
      </c>
    </row>
    <row r="31" spans="1:12" x14ac:dyDescent="0.2">
      <c r="A31" s="1">
        <v>62</v>
      </c>
      <c r="B31" s="1" t="s">
        <v>87</v>
      </c>
      <c r="C31" t="s">
        <v>87</v>
      </c>
    </row>
    <row r="32" spans="1:12" x14ac:dyDescent="0.2">
      <c r="A32" s="1">
        <v>65</v>
      </c>
      <c r="B32" s="1" t="s">
        <v>53</v>
      </c>
      <c r="C32" t="s">
        <v>53</v>
      </c>
    </row>
    <row r="33" spans="1:5" x14ac:dyDescent="0.2">
      <c r="A33" s="1">
        <v>70</v>
      </c>
      <c r="B33" s="1" t="s">
        <v>53</v>
      </c>
      <c r="C33" t="s">
        <v>53</v>
      </c>
    </row>
    <row r="34" spans="1:5" x14ac:dyDescent="0.2">
      <c r="A34" s="1">
        <v>71</v>
      </c>
      <c r="B34" s="1" t="s">
        <v>363</v>
      </c>
      <c r="C34" t="s">
        <v>1934</v>
      </c>
    </row>
    <row r="35" spans="1:5" x14ac:dyDescent="0.2">
      <c r="A35" s="1">
        <v>72</v>
      </c>
      <c r="B35" s="1" t="s">
        <v>53</v>
      </c>
      <c r="C35" t="s">
        <v>53</v>
      </c>
    </row>
    <row r="36" spans="1:5" x14ac:dyDescent="0.2">
      <c r="A36" s="1">
        <v>74</v>
      </c>
      <c r="B36" s="1" t="s">
        <v>53</v>
      </c>
      <c r="C36" t="s">
        <v>53</v>
      </c>
    </row>
    <row r="37" spans="1:5" x14ac:dyDescent="0.2">
      <c r="A37" s="1">
        <v>75</v>
      </c>
      <c r="B37" s="1" t="s">
        <v>392</v>
      </c>
      <c r="C37" t="s">
        <v>1211</v>
      </c>
    </row>
    <row r="38" spans="1:5" x14ac:dyDescent="0.2">
      <c r="A38" s="1">
        <v>76</v>
      </c>
      <c r="B38" s="1" t="s">
        <v>53</v>
      </c>
      <c r="C38" t="s">
        <v>53</v>
      </c>
    </row>
    <row r="39" spans="1:5" x14ac:dyDescent="0.2">
      <c r="A39" s="1">
        <v>78</v>
      </c>
      <c r="B39" s="1" t="s">
        <v>409</v>
      </c>
      <c r="C39" t="s">
        <v>53</v>
      </c>
      <c r="D39" t="s">
        <v>1936</v>
      </c>
    </row>
    <row r="40" spans="1:5" x14ac:dyDescent="0.2">
      <c r="A40" s="1">
        <v>79</v>
      </c>
      <c r="B40" s="1" t="s">
        <v>420</v>
      </c>
      <c r="C40" t="s">
        <v>1211</v>
      </c>
    </row>
    <row r="41" spans="1:5" x14ac:dyDescent="0.2">
      <c r="A41" s="1">
        <v>80</v>
      </c>
      <c r="B41" s="1" t="s">
        <v>53</v>
      </c>
      <c r="C41" t="s">
        <v>53</v>
      </c>
    </row>
    <row r="42" spans="1:5" x14ac:dyDescent="0.2">
      <c r="A42" s="1">
        <v>87</v>
      </c>
      <c r="B42" s="1" t="s">
        <v>53</v>
      </c>
      <c r="C42" t="s">
        <v>53</v>
      </c>
    </row>
    <row r="43" spans="1:5" x14ac:dyDescent="0.2">
      <c r="A43" s="1">
        <v>89</v>
      </c>
      <c r="B43" s="1" t="s">
        <v>449</v>
      </c>
      <c r="C43" t="s">
        <v>53</v>
      </c>
    </row>
    <row r="44" spans="1:5" x14ac:dyDescent="0.2">
      <c r="A44" s="1">
        <v>90</v>
      </c>
      <c r="B44" s="1" t="s">
        <v>106</v>
      </c>
      <c r="C44" t="s">
        <v>53</v>
      </c>
    </row>
    <row r="45" spans="1:5" x14ac:dyDescent="0.2">
      <c r="A45" s="1">
        <v>91</v>
      </c>
      <c r="B45" s="1" t="s">
        <v>53</v>
      </c>
      <c r="C45" t="s">
        <v>53</v>
      </c>
    </row>
    <row r="46" spans="1:5" x14ac:dyDescent="0.2">
      <c r="A46" s="1">
        <v>92</v>
      </c>
      <c r="B46" s="1" t="s">
        <v>53</v>
      </c>
      <c r="C46" t="s">
        <v>53</v>
      </c>
    </row>
    <row r="47" spans="1:5" x14ac:dyDescent="0.2">
      <c r="A47" s="1">
        <v>93</v>
      </c>
      <c r="B47" s="1" t="s">
        <v>53</v>
      </c>
      <c r="C47" t="s">
        <v>53</v>
      </c>
    </row>
    <row r="48" spans="1:5" x14ac:dyDescent="0.2">
      <c r="A48" s="1">
        <v>95</v>
      </c>
      <c r="B48" s="1" t="s">
        <v>495</v>
      </c>
      <c r="C48" t="s">
        <v>1936</v>
      </c>
      <c r="D48" t="s">
        <v>53</v>
      </c>
      <c r="E48" t="s">
        <v>87</v>
      </c>
    </row>
    <row r="49" spans="1:5" x14ac:dyDescent="0.2">
      <c r="A49" s="1">
        <v>96</v>
      </c>
      <c r="B49" s="1" t="s">
        <v>505</v>
      </c>
      <c r="C49" t="s">
        <v>1211</v>
      </c>
    </row>
    <row r="50" spans="1:5" x14ac:dyDescent="0.2">
      <c r="A50" s="1">
        <v>100</v>
      </c>
      <c r="B50" s="1" t="s">
        <v>515</v>
      </c>
      <c r="C50" t="s">
        <v>53</v>
      </c>
    </row>
    <row r="51" spans="1:5" x14ac:dyDescent="0.2">
      <c r="A51" s="1">
        <v>104</v>
      </c>
      <c r="B51" s="1" t="s">
        <v>53</v>
      </c>
      <c r="C51" t="s">
        <v>53</v>
      </c>
    </row>
    <row r="52" spans="1:5" x14ac:dyDescent="0.2">
      <c r="A52" s="1">
        <v>107</v>
      </c>
      <c r="B52" s="1" t="s">
        <v>531</v>
      </c>
      <c r="C52" t="s">
        <v>53</v>
      </c>
    </row>
    <row r="53" spans="1:5" x14ac:dyDescent="0.2">
      <c r="A53" s="1">
        <v>109</v>
      </c>
      <c r="B53" s="1" t="s">
        <v>542</v>
      </c>
      <c r="C53" t="s">
        <v>1934</v>
      </c>
    </row>
    <row r="54" spans="1:5" x14ac:dyDescent="0.2">
      <c r="A54" s="1">
        <v>110</v>
      </c>
      <c r="B54" s="1" t="s">
        <v>53</v>
      </c>
      <c r="C54" t="s">
        <v>53</v>
      </c>
    </row>
    <row r="55" spans="1:5" x14ac:dyDescent="0.2">
      <c r="A55" s="1">
        <v>112</v>
      </c>
      <c r="B55" s="1" t="s">
        <v>53</v>
      </c>
      <c r="C55" t="s">
        <v>53</v>
      </c>
    </row>
    <row r="56" spans="1:5" x14ac:dyDescent="0.2">
      <c r="A56" s="1">
        <v>118</v>
      </c>
      <c r="B56" s="1" t="s">
        <v>53</v>
      </c>
      <c r="C56" t="s">
        <v>53</v>
      </c>
    </row>
    <row r="57" spans="1:5" x14ac:dyDescent="0.2">
      <c r="A57" s="1">
        <v>119</v>
      </c>
      <c r="B57" s="1" t="s">
        <v>53</v>
      </c>
      <c r="C57" t="s">
        <v>53</v>
      </c>
    </row>
    <row r="58" spans="1:5" x14ac:dyDescent="0.2">
      <c r="A58" s="1">
        <v>120</v>
      </c>
      <c r="B58" s="1" t="s">
        <v>53</v>
      </c>
      <c r="C58" t="s">
        <v>53</v>
      </c>
    </row>
    <row r="59" spans="1:5" x14ac:dyDescent="0.2">
      <c r="A59" s="1">
        <v>121</v>
      </c>
      <c r="B59" s="1" t="s">
        <v>53</v>
      </c>
      <c r="C59" t="s">
        <v>53</v>
      </c>
    </row>
    <row r="60" spans="1:5" x14ac:dyDescent="0.2">
      <c r="A60" s="1">
        <v>122</v>
      </c>
      <c r="B60" s="1" t="s">
        <v>53</v>
      </c>
      <c r="C60" t="s">
        <v>53</v>
      </c>
    </row>
    <row r="61" spans="1:5" x14ac:dyDescent="0.2">
      <c r="A61" s="1">
        <v>127</v>
      </c>
      <c r="B61" s="1" t="s">
        <v>607</v>
      </c>
      <c r="C61" t="s">
        <v>1211</v>
      </c>
      <c r="D61" t="s">
        <v>1937</v>
      </c>
      <c r="E61" t="s">
        <v>1938</v>
      </c>
    </row>
    <row r="62" spans="1:5" x14ac:dyDescent="0.2">
      <c r="A62" s="1">
        <v>128</v>
      </c>
      <c r="B62" s="1" t="s">
        <v>53</v>
      </c>
      <c r="C62" t="s">
        <v>53</v>
      </c>
    </row>
    <row r="63" spans="1:5" x14ac:dyDescent="0.2">
      <c r="A63" s="1">
        <v>132</v>
      </c>
      <c r="B63" s="1" t="s">
        <v>624</v>
      </c>
      <c r="C63" t="s">
        <v>1211</v>
      </c>
    </row>
    <row r="64" spans="1:5" x14ac:dyDescent="0.2">
      <c r="A64" s="1">
        <v>135</v>
      </c>
      <c r="B64" s="1" t="s">
        <v>633</v>
      </c>
      <c r="C64" t="s">
        <v>1211</v>
      </c>
      <c r="D64" t="s">
        <v>1939</v>
      </c>
      <c r="E64" t="s">
        <v>1940</v>
      </c>
    </row>
    <row r="65" spans="1:4" x14ac:dyDescent="0.2">
      <c r="A65" s="1">
        <v>136</v>
      </c>
      <c r="B65" s="1" t="s">
        <v>53</v>
      </c>
      <c r="C65" t="s">
        <v>53</v>
      </c>
    </row>
    <row r="66" spans="1:4" x14ac:dyDescent="0.2">
      <c r="A66" s="1">
        <v>138</v>
      </c>
      <c r="B66" s="1" t="s">
        <v>53</v>
      </c>
      <c r="C66" t="s">
        <v>53</v>
      </c>
    </row>
    <row r="67" spans="1:4" x14ac:dyDescent="0.2">
      <c r="A67" s="1">
        <v>139</v>
      </c>
      <c r="B67" s="1" t="s">
        <v>660</v>
      </c>
      <c r="C67" t="s">
        <v>1211</v>
      </c>
      <c r="D67" t="s">
        <v>1945</v>
      </c>
    </row>
    <row r="68" spans="1:4" x14ac:dyDescent="0.2">
      <c r="A68" s="1">
        <v>140</v>
      </c>
      <c r="B68" s="1" t="s">
        <v>670</v>
      </c>
      <c r="C68" t="s">
        <v>1211</v>
      </c>
    </row>
    <row r="69" spans="1:4" x14ac:dyDescent="0.2">
      <c r="A69" s="1">
        <v>148</v>
      </c>
      <c r="B69" s="1" t="s">
        <v>680</v>
      </c>
      <c r="C69" t="s">
        <v>1211</v>
      </c>
      <c r="D69" t="s">
        <v>1941</v>
      </c>
    </row>
    <row r="70" spans="1:4" x14ac:dyDescent="0.2">
      <c r="A70" s="1">
        <v>149</v>
      </c>
      <c r="B70" s="1" t="s">
        <v>53</v>
      </c>
      <c r="C70" t="s">
        <v>53</v>
      </c>
    </row>
    <row r="71" spans="1:4" x14ac:dyDescent="0.2">
      <c r="A71" s="1">
        <v>150</v>
      </c>
      <c r="B71" s="1" t="s">
        <v>53</v>
      </c>
      <c r="C71" t="s">
        <v>53</v>
      </c>
    </row>
    <row r="72" spans="1:4" x14ac:dyDescent="0.2">
      <c r="A72" s="1">
        <v>151</v>
      </c>
      <c r="B72" s="1" t="s">
        <v>53</v>
      </c>
      <c r="C72" t="s">
        <v>53</v>
      </c>
    </row>
    <row r="73" spans="1:4" x14ac:dyDescent="0.2">
      <c r="A73" s="1">
        <v>152</v>
      </c>
      <c r="B73" s="1" t="s">
        <v>716</v>
      </c>
      <c r="C73" t="s">
        <v>1934</v>
      </c>
    </row>
    <row r="74" spans="1:4" x14ac:dyDescent="0.2">
      <c r="A74" s="1">
        <v>153</v>
      </c>
      <c r="B74" s="1" t="s">
        <v>53</v>
      </c>
      <c r="C74" t="s">
        <v>53</v>
      </c>
    </row>
    <row r="75" spans="1:4" x14ac:dyDescent="0.2">
      <c r="A75" s="1">
        <v>157</v>
      </c>
      <c r="B75" s="1" t="s">
        <v>53</v>
      </c>
      <c r="C75" t="s">
        <v>53</v>
      </c>
    </row>
    <row r="76" spans="1:4" x14ac:dyDescent="0.2">
      <c r="A76" s="1">
        <v>156</v>
      </c>
      <c r="B76" s="1" t="s">
        <v>53</v>
      </c>
      <c r="C76" t="s">
        <v>53</v>
      </c>
    </row>
    <row r="77" spans="1:4" x14ac:dyDescent="0.2">
      <c r="A77" s="1">
        <v>162</v>
      </c>
      <c r="B77" s="1" t="s">
        <v>53</v>
      </c>
      <c r="C77" t="s">
        <v>53</v>
      </c>
    </row>
    <row r="78" spans="1:4" x14ac:dyDescent="0.2">
      <c r="A78" s="1">
        <v>164</v>
      </c>
      <c r="B78" s="1" t="s">
        <v>53</v>
      </c>
      <c r="C78" t="s">
        <v>53</v>
      </c>
    </row>
    <row r="79" spans="1:4" x14ac:dyDescent="0.2">
      <c r="A79" s="1">
        <v>166</v>
      </c>
      <c r="B79" s="1"/>
    </row>
    <row r="80" spans="1:4" x14ac:dyDescent="0.2">
      <c r="A80" s="1">
        <v>170</v>
      </c>
      <c r="B80" s="1" t="s">
        <v>779</v>
      </c>
      <c r="C80" t="s">
        <v>53</v>
      </c>
      <c r="D80" t="s">
        <v>87</v>
      </c>
    </row>
    <row r="81" spans="1:5" x14ac:dyDescent="0.2">
      <c r="A81" s="1">
        <v>173</v>
      </c>
      <c r="B81" s="1" t="s">
        <v>53</v>
      </c>
      <c r="C81" t="s">
        <v>53</v>
      </c>
    </row>
    <row r="82" spans="1:5" x14ac:dyDescent="0.2">
      <c r="A82" s="1">
        <v>175</v>
      </c>
      <c r="B82" s="1" t="s">
        <v>53</v>
      </c>
      <c r="C82" t="s">
        <v>53</v>
      </c>
    </row>
    <row r="83" spans="1:5" x14ac:dyDescent="0.2">
      <c r="A83" s="1">
        <v>178</v>
      </c>
      <c r="B83" s="1" t="s">
        <v>53</v>
      </c>
      <c r="C83" t="s">
        <v>53</v>
      </c>
    </row>
    <row r="84" spans="1:5" x14ac:dyDescent="0.2">
      <c r="A84" s="1">
        <v>183</v>
      </c>
      <c r="B84" s="1" t="s">
        <v>53</v>
      </c>
      <c r="C84" t="s">
        <v>53</v>
      </c>
    </row>
    <row r="85" spans="1:5" x14ac:dyDescent="0.2">
      <c r="A85" s="1">
        <v>185</v>
      </c>
      <c r="B85" s="1" t="s">
        <v>53</v>
      </c>
      <c r="C85" t="s">
        <v>53</v>
      </c>
    </row>
    <row r="86" spans="1:5" x14ac:dyDescent="0.2">
      <c r="A86" s="1">
        <v>186</v>
      </c>
      <c r="B86" s="1"/>
    </row>
    <row r="87" spans="1:5" x14ac:dyDescent="0.2">
      <c r="A87" s="1">
        <v>189</v>
      </c>
      <c r="B87" s="1" t="s">
        <v>87</v>
      </c>
      <c r="C87" t="s">
        <v>87</v>
      </c>
    </row>
    <row r="88" spans="1:5" x14ac:dyDescent="0.2">
      <c r="A88" s="1">
        <v>190</v>
      </c>
      <c r="B88" s="1" t="s">
        <v>849</v>
      </c>
      <c r="C88" t="s">
        <v>1211</v>
      </c>
    </row>
    <row r="89" spans="1:5" x14ac:dyDescent="0.2">
      <c r="A89" s="1">
        <v>192</v>
      </c>
      <c r="B89" s="1" t="s">
        <v>53</v>
      </c>
      <c r="C89" t="s">
        <v>53</v>
      </c>
    </row>
    <row r="90" spans="1:5" x14ac:dyDescent="0.2">
      <c r="A90" s="1">
        <v>193</v>
      </c>
      <c r="B90" s="1"/>
    </row>
    <row r="91" spans="1:5" x14ac:dyDescent="0.2">
      <c r="A91" s="1">
        <v>196</v>
      </c>
      <c r="B91" s="1"/>
    </row>
    <row r="92" spans="1:5" x14ac:dyDescent="0.2">
      <c r="A92" s="1">
        <v>197</v>
      </c>
      <c r="B92" s="1" t="s">
        <v>884</v>
      </c>
      <c r="C92" t="s">
        <v>53</v>
      </c>
      <c r="D92" t="s">
        <v>87</v>
      </c>
      <c r="E92" t="s">
        <v>1942</v>
      </c>
    </row>
    <row r="93" spans="1:5" x14ac:dyDescent="0.2">
      <c r="A93" s="1">
        <v>200</v>
      </c>
      <c r="B93" s="1" t="s">
        <v>53</v>
      </c>
      <c r="C93" t="s">
        <v>53</v>
      </c>
    </row>
    <row r="94" spans="1:5" x14ac:dyDescent="0.2">
      <c r="A94" s="1">
        <v>203</v>
      </c>
      <c r="B94" s="1" t="s">
        <v>53</v>
      </c>
      <c r="C94" t="s">
        <v>53</v>
      </c>
    </row>
    <row r="95" spans="1:5" x14ac:dyDescent="0.2">
      <c r="A95" s="1">
        <v>204</v>
      </c>
      <c r="B95" s="1"/>
    </row>
    <row r="96" spans="1:5" x14ac:dyDescent="0.2">
      <c r="A96" s="1">
        <v>207</v>
      </c>
      <c r="B96" s="1"/>
    </row>
    <row r="97" spans="1:4" x14ac:dyDescent="0.2">
      <c r="A97" s="1">
        <v>208</v>
      </c>
      <c r="B97" s="1" t="s">
        <v>53</v>
      </c>
      <c r="C97" t="s">
        <v>53</v>
      </c>
    </row>
    <row r="98" spans="1:4" x14ac:dyDescent="0.2">
      <c r="A98" s="1">
        <v>210</v>
      </c>
      <c r="B98" s="1" t="s">
        <v>53</v>
      </c>
      <c r="C98" t="s">
        <v>53</v>
      </c>
    </row>
    <row r="99" spans="1:4" x14ac:dyDescent="0.2">
      <c r="A99" s="1">
        <v>212</v>
      </c>
      <c r="B99" s="1" t="s">
        <v>939</v>
      </c>
      <c r="C99" t="s">
        <v>53</v>
      </c>
    </row>
    <row r="100" spans="1:4" x14ac:dyDescent="0.2">
      <c r="A100" s="1">
        <v>215</v>
      </c>
      <c r="B100" s="1" t="s">
        <v>53</v>
      </c>
      <c r="C100" t="s">
        <v>53</v>
      </c>
    </row>
    <row r="101" spans="1:4" x14ac:dyDescent="0.2">
      <c r="A101" s="1">
        <v>217</v>
      </c>
      <c r="B101" s="1" t="s">
        <v>87</v>
      </c>
      <c r="C101" t="s">
        <v>87</v>
      </c>
    </row>
    <row r="102" spans="1:4" x14ac:dyDescent="0.2">
      <c r="A102" s="1">
        <v>219</v>
      </c>
      <c r="B102" s="1" t="s">
        <v>53</v>
      </c>
      <c r="C102" t="s">
        <v>53</v>
      </c>
    </row>
    <row r="103" spans="1:4" x14ac:dyDescent="0.2">
      <c r="A103" s="1">
        <v>221</v>
      </c>
      <c r="B103" s="1" t="s">
        <v>974</v>
      </c>
      <c r="C103" t="s">
        <v>1946</v>
      </c>
    </row>
    <row r="104" spans="1:4" x14ac:dyDescent="0.2">
      <c r="A104" s="1">
        <v>222</v>
      </c>
      <c r="B104" s="1" t="s">
        <v>982</v>
      </c>
      <c r="C104" t="s">
        <v>87</v>
      </c>
      <c r="D104" t="s">
        <v>53</v>
      </c>
    </row>
    <row r="105" spans="1:4" x14ac:dyDescent="0.2">
      <c r="A105" s="1">
        <v>223</v>
      </c>
      <c r="B105" s="1" t="s">
        <v>53</v>
      </c>
      <c r="C105" t="s">
        <v>53</v>
      </c>
    </row>
    <row r="106" spans="1:4" x14ac:dyDescent="0.2">
      <c r="A106" s="1">
        <v>226</v>
      </c>
      <c r="B106" s="1" t="s">
        <v>995</v>
      </c>
      <c r="C106" t="s">
        <v>1211</v>
      </c>
    </row>
    <row r="107" spans="1:4" x14ac:dyDescent="0.2">
      <c r="A107" s="1">
        <v>231</v>
      </c>
      <c r="B107" s="1" t="s">
        <v>1005</v>
      </c>
      <c r="C107" t="s">
        <v>1211</v>
      </c>
    </row>
    <row r="108" spans="1:4" x14ac:dyDescent="0.2">
      <c r="A108" s="1">
        <v>232</v>
      </c>
      <c r="B108" s="1" t="s">
        <v>531</v>
      </c>
      <c r="C108" t="s">
        <v>53</v>
      </c>
    </row>
    <row r="109" spans="1:4" x14ac:dyDescent="0.2">
      <c r="A109" s="1">
        <v>233</v>
      </c>
      <c r="B109" s="1"/>
    </row>
    <row r="110" spans="1:4" x14ac:dyDescent="0.2">
      <c r="A110" s="1">
        <v>236</v>
      </c>
      <c r="B110" s="1" t="s">
        <v>53</v>
      </c>
      <c r="C110" t="s">
        <v>53</v>
      </c>
    </row>
    <row r="111" spans="1:4" x14ac:dyDescent="0.2">
      <c r="A111" s="1">
        <v>238</v>
      </c>
      <c r="B111" s="1" t="s">
        <v>53</v>
      </c>
      <c r="C111" t="s">
        <v>53</v>
      </c>
    </row>
    <row r="112" spans="1:4" x14ac:dyDescent="0.2">
      <c r="A112" s="1">
        <v>241</v>
      </c>
      <c r="B112" s="1" t="s">
        <v>1053</v>
      </c>
      <c r="C112" t="s">
        <v>87</v>
      </c>
    </row>
    <row r="113" spans="1:5" x14ac:dyDescent="0.2">
      <c r="A113" s="1">
        <v>242</v>
      </c>
      <c r="B113" s="1"/>
    </row>
    <row r="114" spans="1:5" x14ac:dyDescent="0.2">
      <c r="A114" s="1">
        <v>245</v>
      </c>
      <c r="B114" s="1" t="s">
        <v>53</v>
      </c>
      <c r="C114" t="s">
        <v>53</v>
      </c>
    </row>
    <row r="115" spans="1:5" x14ac:dyDescent="0.2">
      <c r="A115" s="1">
        <v>247</v>
      </c>
      <c r="B115" s="1" t="s">
        <v>53</v>
      </c>
      <c r="C115" t="s">
        <v>53</v>
      </c>
    </row>
    <row r="116" spans="1:5" x14ac:dyDescent="0.2">
      <c r="A116" s="1">
        <v>249</v>
      </c>
      <c r="B116" s="1" t="s">
        <v>149</v>
      </c>
      <c r="C116" t="s">
        <v>1211</v>
      </c>
    </row>
    <row r="117" spans="1:5" ht="30" x14ac:dyDescent="0.2">
      <c r="A117" s="1">
        <v>250</v>
      </c>
      <c r="B117" s="1" t="s">
        <v>1091</v>
      </c>
      <c r="C117" t="s">
        <v>53</v>
      </c>
      <c r="D117" t="s">
        <v>1943</v>
      </c>
      <c r="E117" t="s">
        <v>1932</v>
      </c>
    </row>
    <row r="118" spans="1:5" x14ac:dyDescent="0.2">
      <c r="A118" s="1">
        <v>254</v>
      </c>
      <c r="B118" s="1"/>
    </row>
    <row r="119" spans="1:5" x14ac:dyDescent="0.2">
      <c r="A119" s="1">
        <v>256</v>
      </c>
      <c r="B119" s="1"/>
    </row>
    <row r="120" spans="1:5" x14ac:dyDescent="0.2">
      <c r="A120" s="1">
        <v>257</v>
      </c>
      <c r="B120" s="1" t="s">
        <v>1120</v>
      </c>
      <c r="C120" t="s">
        <v>1934</v>
      </c>
    </row>
    <row r="121" spans="1:5" x14ac:dyDescent="0.2">
      <c r="A121" s="1">
        <v>260</v>
      </c>
      <c r="B121" s="1" t="s">
        <v>53</v>
      </c>
      <c r="C121" t="s">
        <v>53</v>
      </c>
    </row>
    <row r="122" spans="1:5" x14ac:dyDescent="0.2">
      <c r="A122" s="1">
        <v>262</v>
      </c>
      <c r="B122" s="1" t="s">
        <v>53</v>
      </c>
      <c r="C122" t="s">
        <v>53</v>
      </c>
    </row>
    <row r="123" spans="1:5" x14ac:dyDescent="0.2">
      <c r="A123" s="1">
        <v>263</v>
      </c>
      <c r="B123" s="1" t="s">
        <v>1151</v>
      </c>
      <c r="C123" t="s">
        <v>1934</v>
      </c>
    </row>
    <row r="124" spans="1:5" x14ac:dyDescent="0.2">
      <c r="A124" s="1">
        <v>272</v>
      </c>
      <c r="B124" s="1" t="s">
        <v>53</v>
      </c>
      <c r="C124" t="s">
        <v>53</v>
      </c>
    </row>
    <row r="125" spans="1:5" x14ac:dyDescent="0.2">
      <c r="A125" s="1">
        <v>273</v>
      </c>
      <c r="B125" s="1" t="s">
        <v>1169</v>
      </c>
      <c r="C125" t="s">
        <v>1169</v>
      </c>
    </row>
    <row r="126" spans="1:5" x14ac:dyDescent="0.2">
      <c r="A126" s="1">
        <v>280</v>
      </c>
      <c r="B126" s="1" t="s">
        <v>1178</v>
      </c>
      <c r="C126" t="s">
        <v>1211</v>
      </c>
    </row>
    <row r="127" spans="1:5" x14ac:dyDescent="0.2">
      <c r="A127" s="1">
        <v>282</v>
      </c>
      <c r="B127" s="1" t="s">
        <v>53</v>
      </c>
      <c r="C127" t="s">
        <v>53</v>
      </c>
    </row>
    <row r="128" spans="1:5" x14ac:dyDescent="0.2">
      <c r="A128" s="1">
        <v>286</v>
      </c>
      <c r="B128" s="1" t="s">
        <v>1199</v>
      </c>
      <c r="C128" t="s">
        <v>1211</v>
      </c>
      <c r="D128" t="s">
        <v>1947</v>
      </c>
    </row>
    <row r="129" spans="1:4" x14ac:dyDescent="0.2">
      <c r="A129" s="1">
        <v>287</v>
      </c>
      <c r="B129" s="1" t="s">
        <v>1211</v>
      </c>
      <c r="C129" t="s">
        <v>1211</v>
      </c>
    </row>
    <row r="130" spans="1:4" x14ac:dyDescent="0.2">
      <c r="A130" s="1">
        <v>288</v>
      </c>
      <c r="B130" s="1"/>
    </row>
    <row r="131" spans="1:4" x14ac:dyDescent="0.2">
      <c r="A131" s="1">
        <v>289</v>
      </c>
      <c r="B131" s="1" t="s">
        <v>53</v>
      </c>
      <c r="C131" t="s">
        <v>53</v>
      </c>
    </row>
    <row r="132" spans="1:4" x14ac:dyDescent="0.2">
      <c r="A132" s="1">
        <v>290</v>
      </c>
      <c r="B132" s="1" t="s">
        <v>53</v>
      </c>
      <c r="C132" t="s">
        <v>53</v>
      </c>
    </row>
    <row r="133" spans="1:4" x14ac:dyDescent="0.2">
      <c r="A133" s="1">
        <v>291</v>
      </c>
      <c r="B133" s="1" t="s">
        <v>53</v>
      </c>
      <c r="C133" t="s">
        <v>53</v>
      </c>
    </row>
    <row r="134" spans="1:4" x14ac:dyDescent="0.2">
      <c r="A134" s="1">
        <v>293</v>
      </c>
      <c r="B134" s="1" t="s">
        <v>1250</v>
      </c>
      <c r="C134" t="s">
        <v>1250</v>
      </c>
    </row>
    <row r="135" spans="1:4" x14ac:dyDescent="0.2">
      <c r="A135" s="1">
        <v>294</v>
      </c>
      <c r="B135" s="1" t="s">
        <v>53</v>
      </c>
      <c r="C135" t="s">
        <v>53</v>
      </c>
    </row>
    <row r="136" spans="1:4" x14ac:dyDescent="0.2">
      <c r="A136" s="1">
        <v>295</v>
      </c>
      <c r="B136" s="1" t="s">
        <v>53</v>
      </c>
      <c r="C136" t="s">
        <v>53</v>
      </c>
    </row>
    <row r="137" spans="1:4" x14ac:dyDescent="0.2">
      <c r="A137" s="1">
        <v>297</v>
      </c>
      <c r="B137" s="1" t="s">
        <v>1278</v>
      </c>
      <c r="C137" t="s">
        <v>1211</v>
      </c>
      <c r="D137" t="s">
        <v>1944</v>
      </c>
    </row>
    <row r="138" spans="1:4" x14ac:dyDescent="0.2">
      <c r="A138" s="1">
        <v>298</v>
      </c>
      <c r="B138" s="1" t="s">
        <v>53</v>
      </c>
      <c r="C138" t="s">
        <v>53</v>
      </c>
    </row>
    <row r="139" spans="1:4" x14ac:dyDescent="0.2">
      <c r="A139" s="1">
        <v>300</v>
      </c>
      <c r="B139" s="1" t="s">
        <v>53</v>
      </c>
      <c r="C139" t="s">
        <v>53</v>
      </c>
    </row>
    <row r="140" spans="1:4" x14ac:dyDescent="0.2">
      <c r="A140" s="1">
        <v>301</v>
      </c>
      <c r="B140" s="1" t="s">
        <v>53</v>
      </c>
      <c r="C140" t="s">
        <v>53</v>
      </c>
    </row>
    <row r="141" spans="1:4" x14ac:dyDescent="0.2">
      <c r="A141" s="1">
        <v>302</v>
      </c>
      <c r="B141" s="1" t="s">
        <v>53</v>
      </c>
      <c r="C141" t="s">
        <v>53</v>
      </c>
    </row>
    <row r="142" spans="1:4" x14ac:dyDescent="0.2">
      <c r="A142" s="6">
        <v>303</v>
      </c>
      <c r="B142" s="6" t="s">
        <v>53</v>
      </c>
      <c r="C142" t="s">
        <v>53</v>
      </c>
    </row>
    <row r="143" spans="1:4" x14ac:dyDescent="0.2">
      <c r="A143" s="1">
        <v>304</v>
      </c>
      <c r="B143" s="1" t="s">
        <v>53</v>
      </c>
      <c r="C143" t="s">
        <v>53</v>
      </c>
    </row>
    <row r="144" spans="1:4" x14ac:dyDescent="0.2">
      <c r="A144" s="1">
        <v>305</v>
      </c>
      <c r="B144" s="1" t="s">
        <v>1336</v>
      </c>
      <c r="C144" t="s">
        <v>1211</v>
      </c>
      <c r="D144" t="s">
        <v>1947</v>
      </c>
    </row>
    <row r="145" spans="1:4" x14ac:dyDescent="0.2">
      <c r="A145" s="1">
        <v>307</v>
      </c>
      <c r="B145" s="1" t="s">
        <v>779</v>
      </c>
      <c r="C145" t="s">
        <v>53</v>
      </c>
      <c r="D145" t="s">
        <v>87</v>
      </c>
    </row>
    <row r="146" spans="1:4" x14ac:dyDescent="0.2">
      <c r="A146" s="1">
        <v>308</v>
      </c>
      <c r="B146" s="1" t="s">
        <v>53</v>
      </c>
      <c r="C146" t="s">
        <v>53</v>
      </c>
    </row>
    <row r="147" spans="1:4" x14ac:dyDescent="0.2">
      <c r="A147" s="8">
        <v>310</v>
      </c>
      <c r="B147" s="8" t="s">
        <v>1426</v>
      </c>
      <c r="C147" t="s">
        <v>1934</v>
      </c>
      <c r="D147" t="s">
        <v>1944</v>
      </c>
    </row>
    <row r="148" spans="1:4" x14ac:dyDescent="0.2">
      <c r="A148" s="8">
        <v>312</v>
      </c>
      <c r="B148" s="8" t="s">
        <v>53</v>
      </c>
      <c r="C148" t="s">
        <v>53</v>
      </c>
    </row>
    <row r="149" spans="1:4" x14ac:dyDescent="0.2">
      <c r="A149" s="8">
        <v>314</v>
      </c>
      <c r="B149" s="8" t="s">
        <v>53</v>
      </c>
      <c r="C149" t="s">
        <v>53</v>
      </c>
    </row>
    <row r="150" spans="1:4" x14ac:dyDescent="0.2">
      <c r="A150" s="8">
        <v>315</v>
      </c>
      <c r="B150" s="8" t="s">
        <v>505</v>
      </c>
      <c r="C150" t="s">
        <v>1211</v>
      </c>
    </row>
    <row r="151" spans="1:4" x14ac:dyDescent="0.2">
      <c r="A151" s="8">
        <v>316</v>
      </c>
      <c r="B151" s="8" t="s">
        <v>53</v>
      </c>
      <c r="C151" t="s">
        <v>53</v>
      </c>
    </row>
    <row r="152" spans="1:4" x14ac:dyDescent="0.2">
      <c r="A152" s="8">
        <v>317</v>
      </c>
      <c r="B152" s="8" t="s">
        <v>53</v>
      </c>
      <c r="C152" t="s">
        <v>53</v>
      </c>
    </row>
    <row r="153" spans="1:4" x14ac:dyDescent="0.2">
      <c r="A153" s="8">
        <v>319</v>
      </c>
      <c r="B153" s="8" t="s">
        <v>1427</v>
      </c>
      <c r="C153" t="s">
        <v>1211</v>
      </c>
    </row>
    <row r="154" spans="1:4" x14ac:dyDescent="0.2">
      <c r="A154" s="8">
        <v>323</v>
      </c>
      <c r="B154" s="8" t="s">
        <v>53</v>
      </c>
      <c r="C154" t="s">
        <v>53</v>
      </c>
    </row>
    <row r="155" spans="1:4" x14ac:dyDescent="0.2">
      <c r="A155" s="8">
        <v>324</v>
      </c>
      <c r="B155" s="8" t="s">
        <v>53</v>
      </c>
      <c r="C155" t="s">
        <v>53</v>
      </c>
    </row>
    <row r="156" spans="1:4" x14ac:dyDescent="0.2">
      <c r="A156" s="8">
        <v>325</v>
      </c>
      <c r="B156" s="8" t="s">
        <v>53</v>
      </c>
      <c r="C156" t="s">
        <v>53</v>
      </c>
    </row>
    <row r="157" spans="1:4" x14ac:dyDescent="0.2">
      <c r="A157" s="8">
        <v>327</v>
      </c>
      <c r="B157" s="8" t="s">
        <v>53</v>
      </c>
      <c r="C157" t="s">
        <v>53</v>
      </c>
    </row>
    <row r="158" spans="1:4" x14ac:dyDescent="0.2">
      <c r="A158" s="8">
        <v>328</v>
      </c>
      <c r="B158" s="8" t="s">
        <v>53</v>
      </c>
      <c r="C158" t="s">
        <v>53</v>
      </c>
    </row>
    <row r="159" spans="1:4" x14ac:dyDescent="0.2">
      <c r="A159" s="8">
        <v>329</v>
      </c>
      <c r="B159" s="8" t="s">
        <v>1428</v>
      </c>
      <c r="C159" t="s">
        <v>1211</v>
      </c>
    </row>
    <row r="160" spans="1:4" x14ac:dyDescent="0.2">
      <c r="A160" s="8">
        <v>331</v>
      </c>
      <c r="B160" s="1" t="s">
        <v>53</v>
      </c>
      <c r="C160" t="s">
        <v>53</v>
      </c>
    </row>
    <row r="161" spans="1:3" x14ac:dyDescent="0.2">
      <c r="A161" s="8">
        <v>332</v>
      </c>
      <c r="B161" s="1" t="s">
        <v>53</v>
      </c>
      <c r="C161" t="s">
        <v>53</v>
      </c>
    </row>
    <row r="162" spans="1:3" x14ac:dyDescent="0.2">
      <c r="A162" s="8">
        <v>334</v>
      </c>
      <c r="B162" s="1" t="s">
        <v>53</v>
      </c>
      <c r="C162" t="s">
        <v>53</v>
      </c>
    </row>
    <row r="163" spans="1:3" x14ac:dyDescent="0.2">
      <c r="A163" s="8">
        <v>336</v>
      </c>
      <c r="B163" s="1" t="s">
        <v>53</v>
      </c>
      <c r="C163" t="s">
        <v>53</v>
      </c>
    </row>
    <row r="164" spans="1:3" x14ac:dyDescent="0.2">
      <c r="A164" s="8">
        <v>337</v>
      </c>
      <c r="B164" s="1" t="s">
        <v>53</v>
      </c>
      <c r="C164" t="s">
        <v>53</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164"/>
  <sheetViews>
    <sheetView topLeftCell="B1" zoomScale="90" zoomScaleNormal="90" zoomScalePageLayoutView="90" workbookViewId="0">
      <selection activeCell="N65" sqref="N65"/>
    </sheetView>
  </sheetViews>
  <sheetFormatPr baseColWidth="10" defaultColWidth="8.83203125" defaultRowHeight="15" customHeight="1" x14ac:dyDescent="0.2"/>
  <cols>
    <col min="1" max="1" width="11.83203125" bestFit="1" customWidth="1"/>
    <col min="2" max="2" width="120.83203125" customWidth="1"/>
    <col min="3" max="4" width="14" hidden="1" customWidth="1"/>
    <col min="5" max="6" width="7.1640625" hidden="1" customWidth="1"/>
    <col min="7" max="10" width="0" hidden="1" customWidth="1"/>
    <col min="11" max="11" width="9.33203125" hidden="1" customWidth="1"/>
    <col min="12" max="12" width="9.1640625" hidden="1" customWidth="1"/>
    <col min="13" max="13" width="9.1640625" customWidth="1"/>
    <col min="14" max="14" width="112.1640625" style="4" bestFit="1" customWidth="1"/>
    <col min="15" max="15" width="0" style="8" hidden="1" customWidth="1"/>
    <col min="16" max="16" width="11" style="8" bestFit="1" customWidth="1"/>
  </cols>
  <sheetData>
    <row r="1" spans="1:16" ht="15" customHeight="1" x14ac:dyDescent="0.2">
      <c r="A1" s="1" t="s">
        <v>0</v>
      </c>
      <c r="B1" s="1" t="s">
        <v>27</v>
      </c>
      <c r="C1" s="1"/>
      <c r="D1" s="1"/>
      <c r="E1" s="1"/>
      <c r="F1" s="1"/>
      <c r="N1" s="4" t="s">
        <v>1727</v>
      </c>
      <c r="O1" s="8" t="s">
        <v>1728</v>
      </c>
      <c r="P1" s="8" t="s">
        <v>1726</v>
      </c>
    </row>
    <row r="2" spans="1:16" ht="15" customHeight="1" x14ac:dyDescent="0.2">
      <c r="A2" s="1">
        <v>2</v>
      </c>
      <c r="B2" s="1" t="s">
        <v>54</v>
      </c>
      <c r="C2" s="1">
        <v>1</v>
      </c>
      <c r="D2" s="1">
        <v>5</v>
      </c>
      <c r="E2" s="1"/>
      <c r="F2" s="1"/>
      <c r="N2" s="4" t="s">
        <v>1982</v>
      </c>
      <c r="O2" s="8">
        <v>2</v>
      </c>
      <c r="P2" s="8">
        <f>COUNTIF($C:$L,"2")</f>
        <v>68</v>
      </c>
    </row>
    <row r="3" spans="1:16" ht="15" customHeight="1" x14ac:dyDescent="0.2">
      <c r="A3" s="1">
        <v>3</v>
      </c>
      <c r="B3" s="1" t="s">
        <v>66</v>
      </c>
      <c r="C3" s="1">
        <v>2</v>
      </c>
      <c r="D3" s="1">
        <v>3</v>
      </c>
      <c r="E3" s="1" t="s">
        <v>1993</v>
      </c>
      <c r="F3" s="1" t="s">
        <v>1951</v>
      </c>
      <c r="G3" s="1" t="s">
        <v>2053</v>
      </c>
      <c r="H3" s="1" t="s">
        <v>1954</v>
      </c>
      <c r="I3" s="1"/>
      <c r="J3" s="1"/>
      <c r="K3" s="1"/>
      <c r="N3" s="4" t="s">
        <v>1962</v>
      </c>
      <c r="O3" s="8">
        <v>6</v>
      </c>
      <c r="P3" s="8">
        <f>COUNTIF($C:$L,"6")</f>
        <v>30</v>
      </c>
    </row>
    <row r="4" spans="1:16" ht="15" customHeight="1" x14ac:dyDescent="0.2">
      <c r="A4" s="1">
        <v>4</v>
      </c>
      <c r="B4" s="1" t="s">
        <v>76</v>
      </c>
      <c r="C4" s="1">
        <v>3</v>
      </c>
      <c r="D4" s="1">
        <v>4</v>
      </c>
      <c r="E4" s="1"/>
      <c r="F4" s="1"/>
      <c r="N4" s="4" t="s">
        <v>1953</v>
      </c>
      <c r="O4" s="8">
        <v>3</v>
      </c>
      <c r="P4" s="8">
        <f>COUNTIF($C:$L,"3")</f>
        <v>21</v>
      </c>
    </row>
    <row r="5" spans="1:16" ht="15" customHeight="1" x14ac:dyDescent="0.2">
      <c r="A5" s="1">
        <v>11</v>
      </c>
      <c r="B5" s="1" t="s">
        <v>88</v>
      </c>
      <c r="C5" s="1">
        <v>5</v>
      </c>
      <c r="D5" s="1"/>
      <c r="E5" s="1"/>
      <c r="F5" s="1"/>
      <c r="N5" s="4" t="s">
        <v>1969</v>
      </c>
      <c r="O5" s="8">
        <v>4</v>
      </c>
      <c r="P5" s="8">
        <f>COUNTIF($C:$L,"4")</f>
        <v>12</v>
      </c>
    </row>
    <row r="6" spans="1:16" ht="15" customHeight="1" x14ac:dyDescent="0.2">
      <c r="A6" s="1">
        <v>18</v>
      </c>
      <c r="B6" s="1"/>
      <c r="C6" s="1"/>
      <c r="D6" s="1"/>
      <c r="E6" s="1"/>
      <c r="F6" s="1"/>
      <c r="N6" s="4" t="s">
        <v>1949</v>
      </c>
      <c r="O6" s="8">
        <v>1</v>
      </c>
      <c r="P6" s="8">
        <f>COUNTIF($C:$L,"1")</f>
        <v>10</v>
      </c>
    </row>
    <row r="7" spans="1:16" ht="15" customHeight="1" x14ac:dyDescent="0.2">
      <c r="A7" s="1">
        <v>21</v>
      </c>
      <c r="B7" s="1"/>
      <c r="C7" s="1"/>
      <c r="D7" s="1"/>
      <c r="E7" s="1"/>
      <c r="F7" s="1"/>
      <c r="N7" s="4" t="s">
        <v>1979</v>
      </c>
      <c r="O7" s="8">
        <v>5</v>
      </c>
      <c r="P7" s="8">
        <f>COUNTIF($C:$L,"5")</f>
        <v>9</v>
      </c>
    </row>
    <row r="8" spans="1:16" ht="15" customHeight="1" x14ac:dyDescent="0.2">
      <c r="A8" s="1">
        <v>22</v>
      </c>
      <c r="B8" s="1" t="s">
        <v>107</v>
      </c>
      <c r="C8" s="1" t="s">
        <v>1956</v>
      </c>
      <c r="D8" s="1" t="s">
        <v>1958</v>
      </c>
      <c r="E8" s="1" t="s">
        <v>1959</v>
      </c>
      <c r="F8" s="1"/>
    </row>
    <row r="9" spans="1:16" ht="15" customHeight="1" x14ac:dyDescent="0.2">
      <c r="A9" s="1">
        <v>26</v>
      </c>
      <c r="B9" s="1"/>
      <c r="C9" s="1"/>
      <c r="D9" s="1"/>
      <c r="E9" s="1"/>
      <c r="F9" s="1"/>
      <c r="N9" s="159" t="s">
        <v>2096</v>
      </c>
      <c r="O9" s="159"/>
      <c r="P9" s="159"/>
    </row>
    <row r="10" spans="1:16" ht="15" customHeight="1" x14ac:dyDescent="0.2">
      <c r="A10" s="1">
        <v>30</v>
      </c>
      <c r="B10" s="1" t="s">
        <v>127</v>
      </c>
      <c r="C10" s="1" t="s">
        <v>1993</v>
      </c>
      <c r="D10" s="1" t="s">
        <v>1954</v>
      </c>
      <c r="E10" s="1" t="s">
        <v>1960</v>
      </c>
      <c r="F10" s="1" t="s">
        <v>1961</v>
      </c>
      <c r="N10" s="4" t="s">
        <v>1727</v>
      </c>
      <c r="O10" s="8" t="s">
        <v>1728</v>
      </c>
      <c r="P10" s="8" t="s">
        <v>1726</v>
      </c>
    </row>
    <row r="11" spans="1:16" ht="15" customHeight="1" x14ac:dyDescent="0.2">
      <c r="A11" s="1">
        <v>31</v>
      </c>
      <c r="B11" s="1" t="s">
        <v>1497</v>
      </c>
      <c r="C11" s="1">
        <v>6</v>
      </c>
      <c r="D11" s="1">
        <v>2</v>
      </c>
      <c r="E11" s="1" t="s">
        <v>1993</v>
      </c>
      <c r="F11" s="1"/>
      <c r="N11" s="4" t="s">
        <v>2050</v>
      </c>
      <c r="O11" s="8" t="s">
        <v>1993</v>
      </c>
      <c r="P11" s="8">
        <f>COUNTIF($C:$L,"a1")</f>
        <v>59</v>
      </c>
    </row>
    <row r="12" spans="1:16" ht="15" customHeight="1" x14ac:dyDescent="0.2">
      <c r="A12" s="1">
        <v>28</v>
      </c>
      <c r="B12" s="1" t="s">
        <v>150</v>
      </c>
      <c r="C12" s="1" t="s">
        <v>1963</v>
      </c>
      <c r="D12" s="1" t="s">
        <v>1961</v>
      </c>
      <c r="E12" s="1">
        <v>3</v>
      </c>
      <c r="F12" s="1"/>
      <c r="N12" s="4" t="s">
        <v>2052</v>
      </c>
      <c r="O12" s="8" t="s">
        <v>2051</v>
      </c>
      <c r="P12" s="8">
        <f>COUNTIF($C:$L,"c1")</f>
        <v>29</v>
      </c>
    </row>
    <row r="13" spans="1:16" ht="15" customHeight="1" x14ac:dyDescent="0.2">
      <c r="A13" s="1">
        <v>32</v>
      </c>
      <c r="B13" s="1" t="s">
        <v>159</v>
      </c>
      <c r="C13" s="1" t="s">
        <v>1993</v>
      </c>
      <c r="D13" s="1" t="s">
        <v>2053</v>
      </c>
      <c r="E13" s="1" t="s">
        <v>2054</v>
      </c>
      <c r="F13" s="1">
        <v>2</v>
      </c>
      <c r="N13" s="4" t="s">
        <v>2073</v>
      </c>
      <c r="O13" s="8" t="s">
        <v>2057</v>
      </c>
      <c r="P13" s="8">
        <f>COUNTIF($C:$L,"a2")</f>
        <v>19</v>
      </c>
    </row>
    <row r="14" spans="1:16" ht="15" customHeight="1" x14ac:dyDescent="0.2">
      <c r="A14" s="1">
        <v>34</v>
      </c>
      <c r="B14" s="1" t="s">
        <v>171</v>
      </c>
      <c r="C14" s="1" t="s">
        <v>1993</v>
      </c>
      <c r="D14" s="1" t="s">
        <v>2053</v>
      </c>
      <c r="E14" s="1" t="s">
        <v>2054</v>
      </c>
      <c r="F14" s="1" t="s">
        <v>1965</v>
      </c>
      <c r="N14" s="4" t="s">
        <v>2076</v>
      </c>
      <c r="O14" s="8" t="s">
        <v>1961</v>
      </c>
      <c r="P14" s="8">
        <f>COUNTIF($C:$L,"i")</f>
        <v>14</v>
      </c>
    </row>
    <row r="15" spans="1:16" ht="15" customHeight="1" x14ac:dyDescent="0.2">
      <c r="A15" s="1">
        <v>35</v>
      </c>
      <c r="B15" s="1" t="s">
        <v>181</v>
      </c>
      <c r="C15" s="1">
        <v>1</v>
      </c>
      <c r="D15" s="1" t="s">
        <v>1950</v>
      </c>
      <c r="E15" s="1" t="s">
        <v>1960</v>
      </c>
      <c r="F15" s="1">
        <v>4</v>
      </c>
      <c r="N15" s="4" t="s">
        <v>2078</v>
      </c>
      <c r="O15" s="8" t="s">
        <v>2054</v>
      </c>
      <c r="P15" s="8">
        <f>COUNTIF($C:$L,"i1")</f>
        <v>13</v>
      </c>
    </row>
    <row r="16" spans="1:16" ht="15" customHeight="1" x14ac:dyDescent="0.2">
      <c r="A16" s="1">
        <v>36</v>
      </c>
      <c r="B16" s="1" t="s">
        <v>193</v>
      </c>
      <c r="C16" s="1" t="s">
        <v>1951</v>
      </c>
      <c r="D16" s="1" t="s">
        <v>1967</v>
      </c>
      <c r="E16" s="1" t="s">
        <v>2053</v>
      </c>
      <c r="F16" s="1" t="s">
        <v>1961</v>
      </c>
      <c r="N16" s="4" t="s">
        <v>2085</v>
      </c>
      <c r="O16" s="8" t="s">
        <v>1995</v>
      </c>
      <c r="P16" s="8">
        <f>COUNTIF($C:$L,"ac")</f>
        <v>12</v>
      </c>
    </row>
    <row r="17" spans="1:16" ht="15" customHeight="1" x14ac:dyDescent="0.2">
      <c r="A17" s="1">
        <v>38</v>
      </c>
      <c r="B17" s="1" t="s">
        <v>202</v>
      </c>
      <c r="C17" s="1" t="s">
        <v>1993</v>
      </c>
      <c r="D17" s="1">
        <v>4</v>
      </c>
      <c r="E17" s="1"/>
      <c r="F17" s="1"/>
      <c r="N17" s="4" t="s">
        <v>2071</v>
      </c>
      <c r="O17" s="8" t="s">
        <v>1950</v>
      </c>
      <c r="P17" s="8">
        <f>COUNTIF($C:$L,"a")</f>
        <v>11</v>
      </c>
    </row>
    <row r="18" spans="1:16" ht="15" customHeight="1" x14ac:dyDescent="0.2">
      <c r="A18" s="1">
        <v>40</v>
      </c>
      <c r="B18" s="1" t="s">
        <v>212</v>
      </c>
      <c r="C18" s="1" t="s">
        <v>1974</v>
      </c>
      <c r="D18" s="1" t="s">
        <v>1975</v>
      </c>
      <c r="E18" s="1" t="s">
        <v>1976</v>
      </c>
      <c r="F18" s="1" t="s">
        <v>1977</v>
      </c>
      <c r="G18" s="1" t="s">
        <v>2053</v>
      </c>
      <c r="N18" s="4" t="s">
        <v>2056</v>
      </c>
      <c r="O18" s="8" t="s">
        <v>1951</v>
      </c>
      <c r="P18" s="8">
        <f>COUNTIF($C:$L,"b")</f>
        <v>9</v>
      </c>
    </row>
    <row r="19" spans="1:16" ht="15" customHeight="1" x14ac:dyDescent="0.2">
      <c r="A19" s="1">
        <v>41</v>
      </c>
      <c r="B19" s="1" t="s">
        <v>1978</v>
      </c>
      <c r="C19" s="1">
        <v>2</v>
      </c>
      <c r="D19" s="1">
        <v>4</v>
      </c>
      <c r="E19" s="1">
        <v>3</v>
      </c>
      <c r="F19" s="1">
        <v>6</v>
      </c>
      <c r="N19" s="4" t="s">
        <v>2077</v>
      </c>
      <c r="O19" s="8" t="s">
        <v>1952</v>
      </c>
      <c r="P19" s="8">
        <f>COUNTIF($C:$L,"c")</f>
        <v>9</v>
      </c>
    </row>
    <row r="20" spans="1:16" ht="15" customHeight="1" x14ac:dyDescent="0.2">
      <c r="A20" s="1">
        <v>42</v>
      </c>
      <c r="B20" s="1" t="s">
        <v>230</v>
      </c>
      <c r="C20" s="1" t="s">
        <v>1993</v>
      </c>
      <c r="D20" s="1">
        <v>3</v>
      </c>
      <c r="E20" s="1">
        <v>2</v>
      </c>
      <c r="F20" s="1"/>
      <c r="N20" s="4" t="s">
        <v>2055</v>
      </c>
      <c r="O20" s="8" t="s">
        <v>1960</v>
      </c>
      <c r="P20" s="8">
        <f>COUNTIF($C:$L,"h")</f>
        <v>9</v>
      </c>
    </row>
    <row r="21" spans="1:16" ht="15" customHeight="1" x14ac:dyDescent="0.2">
      <c r="A21" s="1">
        <v>44</v>
      </c>
      <c r="B21" s="1" t="s">
        <v>239</v>
      </c>
      <c r="C21" s="1">
        <v>2</v>
      </c>
      <c r="D21" s="1" t="s">
        <v>1993</v>
      </c>
      <c r="E21" s="1"/>
      <c r="F21" s="1"/>
      <c r="N21" s="4" t="s">
        <v>1955</v>
      </c>
      <c r="O21" s="8" t="s">
        <v>1954</v>
      </c>
      <c r="P21" s="8">
        <f>COUNTIF($C:$L,"d")</f>
        <v>8</v>
      </c>
    </row>
    <row r="22" spans="1:16" ht="15" customHeight="1" x14ac:dyDescent="0.2">
      <c r="A22" s="1">
        <v>46</v>
      </c>
      <c r="B22" s="1" t="s">
        <v>250</v>
      </c>
      <c r="C22" s="1" t="s">
        <v>1993</v>
      </c>
      <c r="D22" s="1" t="s">
        <v>1952</v>
      </c>
      <c r="E22" s="1" t="s">
        <v>1961</v>
      </c>
      <c r="F22" s="1">
        <v>2</v>
      </c>
      <c r="G22" s="1" t="s">
        <v>1980</v>
      </c>
      <c r="N22" s="4" t="s">
        <v>2044</v>
      </c>
      <c r="O22" s="8" t="s">
        <v>2005</v>
      </c>
      <c r="P22" s="8">
        <f>COUNTIF($C:$L,"ai")</f>
        <v>8</v>
      </c>
    </row>
    <row r="23" spans="1:16" ht="15" customHeight="1" x14ac:dyDescent="0.2">
      <c r="A23" s="1">
        <v>47</v>
      </c>
      <c r="B23" s="1" t="s">
        <v>261</v>
      </c>
      <c r="C23" s="1">
        <v>2</v>
      </c>
      <c r="D23" s="1">
        <v>3</v>
      </c>
      <c r="E23" s="1">
        <v>4</v>
      </c>
      <c r="F23" s="1">
        <v>6</v>
      </c>
      <c r="N23" s="4" t="s">
        <v>2059</v>
      </c>
      <c r="O23" s="8" t="s">
        <v>1992</v>
      </c>
      <c r="P23" s="8">
        <f>COUNTIF($C:$L,"aa")</f>
        <v>5</v>
      </c>
    </row>
    <row r="24" spans="1:16" ht="15" customHeight="1" x14ac:dyDescent="0.2">
      <c r="A24" s="1">
        <v>49</v>
      </c>
      <c r="B24" s="1" t="s">
        <v>271</v>
      </c>
      <c r="C24" s="1">
        <v>2</v>
      </c>
      <c r="D24" s="1"/>
      <c r="E24" s="1"/>
      <c r="F24" s="1"/>
      <c r="N24" s="4" t="s">
        <v>1996</v>
      </c>
      <c r="O24" s="8" t="s">
        <v>1999</v>
      </c>
      <c r="P24" s="8">
        <f>COUNTIF($C:$L,"ad")</f>
        <v>5</v>
      </c>
    </row>
    <row r="25" spans="1:16" ht="15" customHeight="1" x14ac:dyDescent="0.2">
      <c r="A25" s="1">
        <v>50</v>
      </c>
      <c r="B25" s="1" t="s">
        <v>280</v>
      </c>
      <c r="C25" s="1">
        <v>2</v>
      </c>
      <c r="D25" s="1"/>
      <c r="E25" s="1"/>
      <c r="F25" s="1"/>
      <c r="N25" s="85" t="s">
        <v>1968</v>
      </c>
      <c r="O25" s="46" t="s">
        <v>1967</v>
      </c>
      <c r="P25" s="8">
        <f>COUNTIF($C:$L,"l")</f>
        <v>4</v>
      </c>
    </row>
    <row r="26" spans="1:16" ht="15" customHeight="1" x14ac:dyDescent="0.2">
      <c r="A26" s="1">
        <v>51</v>
      </c>
      <c r="B26" s="1" t="s">
        <v>287</v>
      </c>
      <c r="C26" s="1" t="s">
        <v>2053</v>
      </c>
      <c r="D26" s="1" t="s">
        <v>2057</v>
      </c>
      <c r="E26" s="1"/>
      <c r="F26" s="1"/>
      <c r="N26" s="4" t="s">
        <v>1970</v>
      </c>
      <c r="O26" s="8" t="s">
        <v>2008</v>
      </c>
      <c r="P26" s="8">
        <f>COUNTIF($C:$L,"al")</f>
        <v>4</v>
      </c>
    </row>
    <row r="27" spans="1:16" ht="15" customHeight="1" x14ac:dyDescent="0.2">
      <c r="A27" s="1">
        <v>53</v>
      </c>
      <c r="B27" s="1" t="s">
        <v>295</v>
      </c>
      <c r="C27" s="1">
        <v>1</v>
      </c>
      <c r="D27" s="1">
        <v>2</v>
      </c>
      <c r="E27" s="1">
        <v>6</v>
      </c>
      <c r="F27" s="1"/>
      <c r="N27" s="4" t="s">
        <v>2074</v>
      </c>
      <c r="O27" s="8" t="s">
        <v>1958</v>
      </c>
      <c r="P27" s="8">
        <f>COUNTIF($C:$L,"f")</f>
        <v>3</v>
      </c>
    </row>
    <row r="28" spans="1:16" ht="15" customHeight="1" x14ac:dyDescent="0.2">
      <c r="A28" s="1">
        <v>55</v>
      </c>
      <c r="B28" s="1"/>
      <c r="C28" s="1"/>
      <c r="D28" s="1"/>
      <c r="E28" s="1"/>
      <c r="F28" s="1"/>
      <c r="N28" s="4" t="s">
        <v>1964</v>
      </c>
      <c r="O28" s="8" t="s">
        <v>1963</v>
      </c>
      <c r="P28" s="8">
        <f>COUNTIF($C:$L,"j")</f>
        <v>3</v>
      </c>
    </row>
    <row r="29" spans="1:16" ht="15" customHeight="1" x14ac:dyDescent="0.2">
      <c r="A29" s="1">
        <v>60</v>
      </c>
      <c r="B29" s="1" t="s">
        <v>314</v>
      </c>
      <c r="C29" s="1" t="s">
        <v>1993</v>
      </c>
      <c r="D29" s="1"/>
      <c r="E29" s="1"/>
      <c r="F29" s="1"/>
      <c r="N29" s="4" t="s">
        <v>2080</v>
      </c>
      <c r="O29" s="8" t="s">
        <v>1985</v>
      </c>
      <c r="P29" s="8">
        <f>COUNTIF($C:$L,"t")</f>
        <v>3</v>
      </c>
    </row>
    <row r="30" spans="1:16" ht="15" customHeight="1" x14ac:dyDescent="0.2">
      <c r="A30" s="1">
        <v>61</v>
      </c>
      <c r="B30" s="1" t="s">
        <v>325</v>
      </c>
      <c r="C30" s="1">
        <v>6</v>
      </c>
      <c r="D30" s="1">
        <v>3</v>
      </c>
      <c r="E30" s="1">
        <v>5</v>
      </c>
      <c r="F30" s="1"/>
      <c r="N30" s="4" t="s">
        <v>2084</v>
      </c>
      <c r="O30" s="8" t="s">
        <v>1994</v>
      </c>
      <c r="P30" s="8">
        <f>COUNTIF($C:$L,"ab")</f>
        <v>3</v>
      </c>
    </row>
    <row r="31" spans="1:16" ht="15" customHeight="1" x14ac:dyDescent="0.2">
      <c r="A31" s="1">
        <v>62</v>
      </c>
      <c r="B31" s="1" t="s">
        <v>335</v>
      </c>
      <c r="C31" s="1" t="s">
        <v>1993</v>
      </c>
      <c r="D31" s="1" t="s">
        <v>1984</v>
      </c>
      <c r="E31" s="1" t="s">
        <v>1985</v>
      </c>
      <c r="F31" s="1"/>
      <c r="N31" s="4" t="s">
        <v>2038</v>
      </c>
      <c r="O31" s="8" t="s">
        <v>2039</v>
      </c>
      <c r="P31" s="8">
        <f>COUNTIF($C:$L,"bd")</f>
        <v>3</v>
      </c>
    </row>
    <row r="32" spans="1:16" ht="15" customHeight="1" x14ac:dyDescent="0.2">
      <c r="A32" s="1">
        <v>65</v>
      </c>
      <c r="B32" s="1" t="s">
        <v>346</v>
      </c>
      <c r="C32" s="1" t="s">
        <v>1993</v>
      </c>
      <c r="D32" s="1" t="s">
        <v>1954</v>
      </c>
      <c r="E32" s="1"/>
      <c r="F32" s="1"/>
      <c r="N32" s="84" t="s">
        <v>2072</v>
      </c>
      <c r="O32" s="8" t="s">
        <v>2070</v>
      </c>
      <c r="P32" s="8">
        <f>COUNTIF($C:$L,"a4")</f>
        <v>2</v>
      </c>
    </row>
    <row r="33" spans="1:16" ht="15" customHeight="1" x14ac:dyDescent="0.2">
      <c r="A33" s="1">
        <v>70</v>
      </c>
      <c r="B33" s="1" t="s">
        <v>354</v>
      </c>
      <c r="C33" s="1">
        <v>2</v>
      </c>
      <c r="D33" s="1">
        <v>3</v>
      </c>
      <c r="E33" s="1" t="s">
        <v>1952</v>
      </c>
      <c r="F33" s="1">
        <v>4</v>
      </c>
      <c r="N33" s="4" t="s">
        <v>1970</v>
      </c>
      <c r="O33" s="8" t="s">
        <v>1974</v>
      </c>
      <c r="P33" s="8">
        <f>COUNTIF($C:$L,"m")</f>
        <v>2</v>
      </c>
    </row>
    <row r="34" spans="1:16" ht="15" customHeight="1" x14ac:dyDescent="0.2">
      <c r="A34" s="1">
        <v>71</v>
      </c>
      <c r="B34" s="1" t="s">
        <v>364</v>
      </c>
      <c r="C34" s="1" t="s">
        <v>1993</v>
      </c>
      <c r="D34" s="1" t="s">
        <v>1951</v>
      </c>
      <c r="E34" s="1" t="s">
        <v>1958</v>
      </c>
      <c r="F34" s="1"/>
      <c r="N34" s="4" t="s">
        <v>2083</v>
      </c>
      <c r="O34" s="8" t="s">
        <v>1988</v>
      </c>
      <c r="P34" s="8">
        <f>COUNTIF($C:$L,"w")</f>
        <v>2</v>
      </c>
    </row>
    <row r="35" spans="1:16" ht="15" customHeight="1" x14ac:dyDescent="0.2">
      <c r="A35" s="1">
        <v>72</v>
      </c>
      <c r="B35" s="1" t="s">
        <v>373</v>
      </c>
      <c r="C35" s="1">
        <v>2</v>
      </c>
      <c r="D35" s="1" t="s">
        <v>1950</v>
      </c>
      <c r="E35" s="1" t="s">
        <v>1952</v>
      </c>
      <c r="F35" s="1">
        <v>6</v>
      </c>
      <c r="N35" s="4" t="s">
        <v>2058</v>
      </c>
      <c r="O35" s="8" t="s">
        <v>1989</v>
      </c>
      <c r="P35" s="8">
        <f>COUNTIF($C:$L,"x")</f>
        <v>2</v>
      </c>
    </row>
    <row r="36" spans="1:16" ht="15" customHeight="1" x14ac:dyDescent="0.2">
      <c r="A36" s="1">
        <v>74</v>
      </c>
      <c r="B36" s="1" t="s">
        <v>384</v>
      </c>
      <c r="C36" s="1">
        <v>2</v>
      </c>
      <c r="D36" s="1"/>
      <c r="E36" s="1"/>
      <c r="F36" s="1"/>
      <c r="N36" s="85" t="s">
        <v>2002</v>
      </c>
      <c r="O36" s="46" t="s">
        <v>2003</v>
      </c>
      <c r="P36" s="8">
        <f>COUNTIF($C:$L,"ag")</f>
        <v>2</v>
      </c>
    </row>
    <row r="37" spans="1:16" ht="15" customHeight="1" x14ac:dyDescent="0.2">
      <c r="A37" s="1">
        <v>75</v>
      </c>
      <c r="B37" s="1" t="s">
        <v>393</v>
      </c>
      <c r="C37" s="1" t="s">
        <v>1993</v>
      </c>
      <c r="D37" s="1" t="s">
        <v>1960</v>
      </c>
      <c r="E37" s="1" t="s">
        <v>1961</v>
      </c>
      <c r="F37" s="1">
        <v>6</v>
      </c>
      <c r="N37" s="4" t="s">
        <v>2087</v>
      </c>
      <c r="O37" s="8" t="s">
        <v>2006</v>
      </c>
      <c r="P37" s="8">
        <f>COUNTIF($C:$L,"aj")</f>
        <v>2</v>
      </c>
    </row>
    <row r="38" spans="1:16" ht="15" customHeight="1" x14ac:dyDescent="0.2">
      <c r="A38" s="1">
        <v>76</v>
      </c>
      <c r="B38" s="1" t="s">
        <v>403</v>
      </c>
      <c r="C38" s="1" t="s">
        <v>1993</v>
      </c>
      <c r="D38" s="1"/>
      <c r="E38" s="1"/>
      <c r="F38" s="1"/>
      <c r="N38" s="4" t="s">
        <v>2009</v>
      </c>
      <c r="O38" s="8" t="s">
        <v>2010</v>
      </c>
      <c r="P38" s="8">
        <f>COUNTIF($C:$L,"am")</f>
        <v>2</v>
      </c>
    </row>
    <row r="39" spans="1:16" ht="15" customHeight="1" x14ac:dyDescent="0.2">
      <c r="A39" s="1">
        <v>78</v>
      </c>
      <c r="B39" s="1" t="s">
        <v>410</v>
      </c>
      <c r="C39" s="1">
        <v>2</v>
      </c>
      <c r="D39" s="1"/>
      <c r="E39" s="1"/>
      <c r="F39" s="1"/>
      <c r="N39" s="4" t="s">
        <v>2018</v>
      </c>
      <c r="O39" s="8" t="s">
        <v>2017</v>
      </c>
      <c r="P39" s="8">
        <f>COUNTIF($C:$L,"aq")</f>
        <v>2</v>
      </c>
    </row>
    <row r="40" spans="1:16" ht="15" customHeight="1" x14ac:dyDescent="0.2">
      <c r="A40" s="1">
        <v>79</v>
      </c>
      <c r="B40" s="1" t="s">
        <v>421</v>
      </c>
      <c r="C40" s="1">
        <v>6</v>
      </c>
      <c r="D40" s="1"/>
      <c r="E40" s="1"/>
      <c r="F40" s="1"/>
      <c r="N40" s="4" t="s">
        <v>2035</v>
      </c>
      <c r="O40" s="8" t="s">
        <v>2034</v>
      </c>
      <c r="P40" s="8">
        <f>COUNTIF($C:$L,"ba")</f>
        <v>2</v>
      </c>
    </row>
    <row r="41" spans="1:16" ht="15" customHeight="1" x14ac:dyDescent="0.2">
      <c r="A41" s="1">
        <v>80</v>
      </c>
      <c r="B41" s="1" t="s">
        <v>429</v>
      </c>
      <c r="C41" s="1">
        <v>6</v>
      </c>
      <c r="D41" s="1"/>
      <c r="E41" s="1"/>
      <c r="F41" s="1"/>
      <c r="N41" s="4" t="s">
        <v>2069</v>
      </c>
      <c r="O41" s="8" t="s">
        <v>2068</v>
      </c>
      <c r="P41" s="8">
        <f>COUNTIF($C:$L,"a3")</f>
        <v>1</v>
      </c>
    </row>
    <row r="42" spans="1:16" ht="15" customHeight="1" x14ac:dyDescent="0.2">
      <c r="A42" s="1">
        <v>87</v>
      </c>
      <c r="B42" s="1" t="s">
        <v>438</v>
      </c>
      <c r="C42" s="1" t="s">
        <v>1951</v>
      </c>
      <c r="D42" s="1" t="s">
        <v>1950</v>
      </c>
      <c r="E42" s="1" t="s">
        <v>1952</v>
      </c>
      <c r="F42" s="1" t="s">
        <v>1961</v>
      </c>
      <c r="G42" s="1" t="s">
        <v>1987</v>
      </c>
      <c r="H42" s="1" t="s">
        <v>1988</v>
      </c>
      <c r="I42" s="1" t="s">
        <v>1986</v>
      </c>
      <c r="J42" s="1"/>
      <c r="K42" s="1"/>
      <c r="L42" s="1"/>
      <c r="M42" s="1"/>
      <c r="N42" s="4" t="s">
        <v>2065</v>
      </c>
      <c r="O42" s="8" t="s">
        <v>2064</v>
      </c>
      <c r="P42" s="8">
        <f>COUNTIF($C:$L,"c2")</f>
        <v>1</v>
      </c>
    </row>
    <row r="43" spans="1:16" ht="15" customHeight="1" x14ac:dyDescent="0.2">
      <c r="A43" s="1">
        <v>89</v>
      </c>
      <c r="B43" s="1" t="s">
        <v>450</v>
      </c>
      <c r="C43" s="1" t="s">
        <v>1989</v>
      </c>
      <c r="D43" s="1">
        <v>2</v>
      </c>
      <c r="E43" s="1"/>
      <c r="F43" s="1"/>
      <c r="N43" s="4" t="s">
        <v>1957</v>
      </c>
      <c r="O43" s="8" t="s">
        <v>1956</v>
      </c>
      <c r="P43" s="8">
        <f>COUNTIF($C:$L,"e")</f>
        <v>1</v>
      </c>
    </row>
    <row r="44" spans="1:16" ht="15" customHeight="1" x14ac:dyDescent="0.2">
      <c r="A44" s="1">
        <v>90</v>
      </c>
      <c r="B44" s="1" t="s">
        <v>460</v>
      </c>
      <c r="C44" s="1">
        <v>4</v>
      </c>
      <c r="D44" s="1">
        <v>2</v>
      </c>
      <c r="E44" s="1">
        <v>6</v>
      </c>
      <c r="F44" s="1"/>
      <c r="N44" s="4" t="s">
        <v>2075</v>
      </c>
      <c r="O44" s="8" t="s">
        <v>1959</v>
      </c>
      <c r="P44" s="8">
        <f>COUNTIF($C:$L,"g")</f>
        <v>1</v>
      </c>
    </row>
    <row r="45" spans="1:16" ht="15" customHeight="1" x14ac:dyDescent="0.2">
      <c r="A45" s="1">
        <v>91</v>
      </c>
      <c r="B45" s="1" t="s">
        <v>468</v>
      </c>
      <c r="C45" s="1" t="s">
        <v>2057</v>
      </c>
      <c r="D45" s="1" t="s">
        <v>2053</v>
      </c>
      <c r="E45" s="1" t="s">
        <v>1991</v>
      </c>
      <c r="F45" s="1">
        <v>5</v>
      </c>
      <c r="N45" s="4" t="s">
        <v>1966</v>
      </c>
      <c r="O45" s="8" t="s">
        <v>1965</v>
      </c>
      <c r="P45" s="8">
        <f>COUNTIF($C:$L,"k")</f>
        <v>1</v>
      </c>
    </row>
    <row r="46" spans="1:16" ht="15" customHeight="1" x14ac:dyDescent="0.2">
      <c r="A46" s="1">
        <v>92</v>
      </c>
      <c r="B46" s="1" t="s">
        <v>476</v>
      </c>
      <c r="C46" s="1">
        <v>2</v>
      </c>
      <c r="D46" s="1" t="s">
        <v>2053</v>
      </c>
      <c r="E46" s="1" t="s">
        <v>1960</v>
      </c>
      <c r="F46" s="1" t="s">
        <v>1961</v>
      </c>
      <c r="N46" s="4" t="s">
        <v>1971</v>
      </c>
      <c r="O46" s="8" t="s">
        <v>1975</v>
      </c>
      <c r="P46" s="8">
        <f>COUNTIF($C:$L,"n")</f>
        <v>1</v>
      </c>
    </row>
    <row r="47" spans="1:16" ht="15" customHeight="1" x14ac:dyDescent="0.2">
      <c r="A47" s="1">
        <v>93</v>
      </c>
      <c r="B47" s="1" t="s">
        <v>485</v>
      </c>
      <c r="C47" s="1" t="s">
        <v>1993</v>
      </c>
      <c r="D47" s="1" t="s">
        <v>1952</v>
      </c>
      <c r="E47" s="1" t="s">
        <v>1961</v>
      </c>
      <c r="F47" s="1"/>
      <c r="N47" s="4" t="s">
        <v>1972</v>
      </c>
      <c r="O47" s="8" t="s">
        <v>1976</v>
      </c>
      <c r="P47" s="8">
        <f>COUNTIF($C:$L,"o")</f>
        <v>1</v>
      </c>
    </row>
    <row r="48" spans="1:16" ht="15" customHeight="1" x14ac:dyDescent="0.2">
      <c r="A48" s="1">
        <v>95</v>
      </c>
      <c r="B48" s="1" t="s">
        <v>496</v>
      </c>
      <c r="C48" s="1" t="s">
        <v>1992</v>
      </c>
      <c r="D48" s="1" t="s">
        <v>2060</v>
      </c>
      <c r="E48" s="1" t="s">
        <v>2061</v>
      </c>
      <c r="F48" s="1"/>
      <c r="N48" s="4" t="s">
        <v>1973</v>
      </c>
      <c r="O48" s="8" t="s">
        <v>1977</v>
      </c>
      <c r="P48" s="8">
        <f>COUNTIF($C:$L,"p")</f>
        <v>1</v>
      </c>
    </row>
    <row r="49" spans="1:17" ht="15" customHeight="1" x14ac:dyDescent="0.2">
      <c r="A49" s="1">
        <v>96</v>
      </c>
      <c r="B49" s="1" t="s">
        <v>506</v>
      </c>
      <c r="C49" s="1" t="s">
        <v>2057</v>
      </c>
      <c r="D49" s="1" t="s">
        <v>2053</v>
      </c>
      <c r="E49" s="1" t="s">
        <v>2054</v>
      </c>
      <c r="F49" s="1" t="s">
        <v>1994</v>
      </c>
      <c r="G49" s="1" t="s">
        <v>1993</v>
      </c>
      <c r="N49" s="4" t="s">
        <v>1981</v>
      </c>
      <c r="O49" s="8" t="s">
        <v>1980</v>
      </c>
      <c r="P49" s="8">
        <f>COUNTIF($C:$L,"q")</f>
        <v>1</v>
      </c>
      <c r="Q49" t="s">
        <v>1560</v>
      </c>
    </row>
    <row r="50" spans="1:17" ht="15" customHeight="1" x14ac:dyDescent="0.2">
      <c r="A50" s="1">
        <v>100</v>
      </c>
      <c r="B50" s="1" t="s">
        <v>516</v>
      </c>
      <c r="C50" s="1">
        <v>2</v>
      </c>
      <c r="D50" s="1" t="s">
        <v>1963</v>
      </c>
      <c r="E50" s="1" t="s">
        <v>1993</v>
      </c>
      <c r="F50" s="1" t="s">
        <v>1995</v>
      </c>
      <c r="G50" s="1" t="s">
        <v>1999</v>
      </c>
      <c r="H50" s="1" t="s">
        <v>2000</v>
      </c>
      <c r="I50" s="1" t="s">
        <v>2001</v>
      </c>
      <c r="J50" s="1" t="s">
        <v>2057</v>
      </c>
      <c r="K50" s="1"/>
      <c r="N50" s="4" t="s">
        <v>2079</v>
      </c>
      <c r="O50" s="8" t="s">
        <v>1984</v>
      </c>
      <c r="P50" s="8">
        <f>COUNTIF($C:$L,"s")</f>
        <v>1</v>
      </c>
    </row>
    <row r="51" spans="1:17" ht="15" customHeight="1" x14ac:dyDescent="0.2">
      <c r="A51" s="1">
        <v>104</v>
      </c>
      <c r="B51" s="47" t="s">
        <v>523</v>
      </c>
      <c r="C51" s="1" t="s">
        <v>1999</v>
      </c>
      <c r="D51" s="1" t="s">
        <v>2003</v>
      </c>
      <c r="E51" s="1" t="s">
        <v>1952</v>
      </c>
      <c r="F51" s="1" t="s">
        <v>1993</v>
      </c>
      <c r="G51" s="1" t="s">
        <v>2054</v>
      </c>
      <c r="H51" s="1" t="s">
        <v>1988</v>
      </c>
      <c r="N51" s="4" t="s">
        <v>2081</v>
      </c>
      <c r="O51" s="8" t="s">
        <v>1986</v>
      </c>
      <c r="P51" s="8">
        <f>COUNTIF($C:$L,"u")</f>
        <v>1</v>
      </c>
    </row>
    <row r="52" spans="1:17" ht="15" customHeight="1" x14ac:dyDescent="0.2">
      <c r="A52" s="1">
        <v>107</v>
      </c>
      <c r="B52" s="1" t="s">
        <v>532</v>
      </c>
      <c r="C52" s="1">
        <v>2</v>
      </c>
      <c r="D52" s="1" t="s">
        <v>2003</v>
      </c>
      <c r="E52" s="1"/>
      <c r="F52" s="1"/>
      <c r="N52" s="4" t="s">
        <v>2082</v>
      </c>
      <c r="O52" s="8" t="s">
        <v>1987</v>
      </c>
      <c r="P52" s="8">
        <f>COUNTIF($C:$L,"v")</f>
        <v>1</v>
      </c>
    </row>
    <row r="53" spans="1:17" ht="15" customHeight="1" x14ac:dyDescent="0.2">
      <c r="A53" s="1">
        <v>109</v>
      </c>
      <c r="B53" s="1" t="s">
        <v>543</v>
      </c>
      <c r="C53" s="1">
        <v>2</v>
      </c>
      <c r="D53" s="1" t="s">
        <v>1989</v>
      </c>
      <c r="E53" s="1"/>
      <c r="F53" s="1"/>
      <c r="N53" s="4" t="s">
        <v>1990</v>
      </c>
      <c r="O53" s="8" t="s">
        <v>1991</v>
      </c>
      <c r="P53" s="8">
        <f>COUNTIF($C:$L,"y")</f>
        <v>1</v>
      </c>
    </row>
    <row r="54" spans="1:17" ht="15" customHeight="1" x14ac:dyDescent="0.2">
      <c r="A54" s="1">
        <v>110</v>
      </c>
      <c r="B54" s="1" t="s">
        <v>551</v>
      </c>
      <c r="C54" s="1" t="s">
        <v>1993</v>
      </c>
      <c r="D54" s="1">
        <v>2</v>
      </c>
      <c r="E54" s="1"/>
      <c r="F54" s="1"/>
      <c r="N54" s="4" t="s">
        <v>1997</v>
      </c>
      <c r="O54" s="8" t="s">
        <v>2000</v>
      </c>
      <c r="P54" s="8">
        <f>COUNTIF($C:$L,"ae")</f>
        <v>1</v>
      </c>
    </row>
    <row r="55" spans="1:17" ht="15" customHeight="1" x14ac:dyDescent="0.2">
      <c r="A55" s="1">
        <v>112</v>
      </c>
      <c r="B55" s="1" t="s">
        <v>559</v>
      </c>
      <c r="C55" s="1">
        <v>2</v>
      </c>
      <c r="D55" s="1" t="s">
        <v>2005</v>
      </c>
      <c r="E55" s="1"/>
      <c r="F55" s="1"/>
      <c r="N55" s="4" t="s">
        <v>1998</v>
      </c>
      <c r="O55" s="8" t="s">
        <v>2001</v>
      </c>
      <c r="P55" s="8">
        <f>COUNTIF($C:$L,"af")</f>
        <v>1</v>
      </c>
    </row>
    <row r="56" spans="1:17" ht="15" customHeight="1" x14ac:dyDescent="0.2">
      <c r="A56" s="1">
        <v>118</v>
      </c>
      <c r="B56" s="1" t="s">
        <v>569</v>
      </c>
      <c r="C56" s="1">
        <v>3</v>
      </c>
      <c r="D56" s="1"/>
      <c r="E56" s="1"/>
      <c r="F56" s="1"/>
      <c r="N56" s="85" t="s">
        <v>2086</v>
      </c>
      <c r="O56" s="46" t="s">
        <v>2004</v>
      </c>
      <c r="P56" s="8">
        <f>COUNTIF($C:$L,"ah")</f>
        <v>1</v>
      </c>
    </row>
    <row r="57" spans="1:17" ht="15" customHeight="1" x14ac:dyDescent="0.2">
      <c r="A57" s="1">
        <v>119</v>
      </c>
      <c r="B57" s="1" t="s">
        <v>578</v>
      </c>
      <c r="C57" s="1" t="s">
        <v>1993</v>
      </c>
      <c r="D57" s="1"/>
      <c r="E57" s="1"/>
      <c r="F57" s="1"/>
      <c r="N57" s="4" t="s">
        <v>2066</v>
      </c>
      <c r="O57" s="8" t="s">
        <v>2007</v>
      </c>
      <c r="P57" s="8">
        <f>COUNTIF($C:$L,"ak")</f>
        <v>1</v>
      </c>
    </row>
    <row r="58" spans="1:17" ht="15" customHeight="1" x14ac:dyDescent="0.2">
      <c r="A58" s="1">
        <v>120</v>
      </c>
      <c r="B58" s="1" t="s">
        <v>583</v>
      </c>
      <c r="C58" s="1" t="s">
        <v>1993</v>
      </c>
      <c r="D58" s="1"/>
      <c r="E58" s="1"/>
      <c r="F58" s="1"/>
      <c r="N58" s="4" t="s">
        <v>2011</v>
      </c>
      <c r="O58" s="8" t="s">
        <v>2012</v>
      </c>
      <c r="P58" s="8">
        <f>COUNTIF($C:$L,"an")</f>
        <v>1</v>
      </c>
    </row>
    <row r="59" spans="1:17" ht="15" customHeight="1" x14ac:dyDescent="0.2">
      <c r="A59" s="1">
        <v>121</v>
      </c>
      <c r="B59" s="1" t="s">
        <v>591</v>
      </c>
      <c r="C59" s="1" t="s">
        <v>2005</v>
      </c>
      <c r="D59" s="1">
        <v>6</v>
      </c>
      <c r="E59" s="1"/>
      <c r="F59" s="1"/>
      <c r="N59" s="4" t="s">
        <v>2013</v>
      </c>
      <c r="O59" s="8" t="s">
        <v>2014</v>
      </c>
      <c r="P59" s="8">
        <f>COUNTIF($C:$L,"ao")</f>
        <v>1</v>
      </c>
    </row>
    <row r="60" spans="1:17" ht="15" customHeight="1" x14ac:dyDescent="0.2">
      <c r="A60" s="1">
        <v>122</v>
      </c>
      <c r="B60" s="1" t="s">
        <v>599</v>
      </c>
      <c r="C60" s="1">
        <v>2</v>
      </c>
      <c r="D60" s="1"/>
      <c r="E60" s="1"/>
      <c r="F60" s="1"/>
      <c r="N60" s="4" t="s">
        <v>2016</v>
      </c>
      <c r="O60" s="8" t="s">
        <v>2015</v>
      </c>
      <c r="P60" s="8">
        <f>COUNTIF($C:$L,"ap")</f>
        <v>1</v>
      </c>
    </row>
    <row r="61" spans="1:17" ht="15" customHeight="1" x14ac:dyDescent="0.2">
      <c r="A61" s="1">
        <v>127</v>
      </c>
      <c r="B61" s="1" t="s">
        <v>608</v>
      </c>
      <c r="C61" s="1">
        <v>6</v>
      </c>
      <c r="D61" s="1" t="s">
        <v>1993</v>
      </c>
      <c r="E61" s="1" t="s">
        <v>1961</v>
      </c>
      <c r="F61" s="1" t="s">
        <v>2053</v>
      </c>
      <c r="G61" s="1" t="s">
        <v>1951</v>
      </c>
      <c r="H61">
        <v>2</v>
      </c>
      <c r="I61" s="1" t="s">
        <v>1960</v>
      </c>
      <c r="J61" s="1"/>
      <c r="K61" s="1"/>
      <c r="N61" s="4" t="s">
        <v>2019</v>
      </c>
      <c r="O61" s="8" t="s">
        <v>2020</v>
      </c>
      <c r="P61" s="8">
        <f>COUNTIF($C:$L,"ar")</f>
        <v>1</v>
      </c>
    </row>
    <row r="62" spans="1:17" ht="15" customHeight="1" x14ac:dyDescent="0.2">
      <c r="A62" s="1">
        <v>128</v>
      </c>
      <c r="B62" s="1" t="s">
        <v>616</v>
      </c>
      <c r="C62" s="1" t="s">
        <v>1950</v>
      </c>
      <c r="D62" s="1" t="s">
        <v>2005</v>
      </c>
      <c r="E62" s="1"/>
      <c r="F62" s="1"/>
      <c r="N62" s="4" t="s">
        <v>2023</v>
      </c>
      <c r="O62" s="8" t="s">
        <v>2021</v>
      </c>
      <c r="P62" s="8">
        <f>COUNTIF($C:$L,"as")</f>
        <v>1</v>
      </c>
    </row>
    <row r="63" spans="1:17" ht="15" customHeight="1" x14ac:dyDescent="0.2">
      <c r="A63" s="1">
        <v>132</v>
      </c>
      <c r="B63" s="1" t="s">
        <v>625</v>
      </c>
      <c r="C63" s="1" t="s">
        <v>2057</v>
      </c>
      <c r="D63" s="1" t="s">
        <v>2053</v>
      </c>
      <c r="E63" s="1" t="s">
        <v>2004</v>
      </c>
      <c r="F63" s="1" t="s">
        <v>2006</v>
      </c>
      <c r="G63" s="1" t="s">
        <v>1993</v>
      </c>
      <c r="H63" s="1" t="s">
        <v>1967</v>
      </c>
      <c r="N63" s="4" t="s">
        <v>2088</v>
      </c>
      <c r="O63" s="8" t="s">
        <v>2022</v>
      </c>
      <c r="P63" s="8">
        <f>COUNTIF($C:$L,"at")</f>
        <v>1</v>
      </c>
    </row>
    <row r="64" spans="1:17" ht="15" customHeight="1" x14ac:dyDescent="0.2">
      <c r="A64" s="1">
        <v>135</v>
      </c>
      <c r="B64" s="1" t="s">
        <v>634</v>
      </c>
      <c r="C64" s="1" t="s">
        <v>1993</v>
      </c>
      <c r="D64" s="1" t="s">
        <v>2007</v>
      </c>
      <c r="E64" s="1"/>
      <c r="F64" s="1"/>
      <c r="N64" s="4" t="s">
        <v>2089</v>
      </c>
      <c r="O64" s="8" t="s">
        <v>2024</v>
      </c>
      <c r="P64" s="8">
        <f>COUNTIF($C:$L,"au")</f>
        <v>1</v>
      </c>
    </row>
    <row r="65" spans="1:16" ht="15" customHeight="1" x14ac:dyDescent="0.2">
      <c r="A65" s="1">
        <v>136</v>
      </c>
      <c r="B65" s="1" t="s">
        <v>643</v>
      </c>
      <c r="C65" s="1" t="s">
        <v>2057</v>
      </c>
      <c r="D65" s="1" t="s">
        <v>2054</v>
      </c>
      <c r="E65" s="1" t="s">
        <v>2053</v>
      </c>
      <c r="F65" s="1"/>
      <c r="N65" s="4" t="s">
        <v>2095</v>
      </c>
      <c r="O65" s="8" t="s">
        <v>2025</v>
      </c>
      <c r="P65" s="8">
        <f>COUNTIF($C:$L,"av")</f>
        <v>1</v>
      </c>
    </row>
    <row r="66" spans="1:16" ht="15" customHeight="1" x14ac:dyDescent="0.2">
      <c r="A66" s="1">
        <v>138</v>
      </c>
      <c r="B66" s="1" t="s">
        <v>651</v>
      </c>
      <c r="C66" s="1">
        <v>5</v>
      </c>
      <c r="D66" s="1" t="s">
        <v>2008</v>
      </c>
      <c r="E66" s="1" t="s">
        <v>2006</v>
      </c>
      <c r="F66" s="1" t="s">
        <v>2054</v>
      </c>
      <c r="G66" s="1" t="s">
        <v>2010</v>
      </c>
      <c r="N66" s="4" t="s">
        <v>2027</v>
      </c>
      <c r="O66" s="8" t="s">
        <v>2026</v>
      </c>
      <c r="P66" s="8">
        <f>COUNTIF($C:$L,"aw")</f>
        <v>1</v>
      </c>
    </row>
    <row r="67" spans="1:16" ht="15" customHeight="1" x14ac:dyDescent="0.2">
      <c r="A67" s="1">
        <v>139</v>
      </c>
      <c r="B67" s="1" t="s">
        <v>661</v>
      </c>
      <c r="C67" s="1" t="s">
        <v>1993</v>
      </c>
      <c r="D67" s="1" t="s">
        <v>1985</v>
      </c>
      <c r="E67" s="1" t="s">
        <v>1952</v>
      </c>
      <c r="F67" s="1" t="s">
        <v>1967</v>
      </c>
      <c r="G67" s="1" t="s">
        <v>1992</v>
      </c>
      <c r="H67" s="1" t="s">
        <v>2012</v>
      </c>
      <c r="I67" s="1" t="s">
        <v>1995</v>
      </c>
      <c r="J67" s="1" t="s">
        <v>2010</v>
      </c>
      <c r="K67" s="1" t="s">
        <v>2014</v>
      </c>
      <c r="L67" s="1" t="s">
        <v>2057</v>
      </c>
      <c r="M67" s="1"/>
      <c r="N67" s="4" t="s">
        <v>2028</v>
      </c>
      <c r="O67" s="8" t="s">
        <v>2029</v>
      </c>
      <c r="P67" s="8">
        <f>COUNTIF($C:$L,"ax")</f>
        <v>1</v>
      </c>
    </row>
    <row r="68" spans="1:16" ht="15" customHeight="1" x14ac:dyDescent="0.2">
      <c r="A68" s="1">
        <v>140</v>
      </c>
      <c r="B68" s="1" t="s">
        <v>671</v>
      </c>
      <c r="C68" s="1">
        <v>2</v>
      </c>
      <c r="D68" s="1" t="s">
        <v>1993</v>
      </c>
      <c r="E68" s="1" t="s">
        <v>2067</v>
      </c>
      <c r="F68" s="1"/>
      <c r="N68" s="4" t="s">
        <v>2030</v>
      </c>
      <c r="O68" s="8" t="s">
        <v>2031</v>
      </c>
      <c r="P68" s="8">
        <f>COUNTIF($C:$L,"ay")</f>
        <v>1</v>
      </c>
    </row>
    <row r="69" spans="1:16" ht="15" customHeight="1" x14ac:dyDescent="0.2">
      <c r="A69" s="1">
        <v>148</v>
      </c>
      <c r="B69" s="1" t="s">
        <v>681</v>
      </c>
      <c r="C69" s="1" t="s">
        <v>2067</v>
      </c>
      <c r="D69" s="1" t="s">
        <v>1993</v>
      </c>
      <c r="E69" s="1">
        <v>3</v>
      </c>
      <c r="F69" s="1" t="s">
        <v>1954</v>
      </c>
      <c r="G69">
        <v>6</v>
      </c>
      <c r="H69">
        <v>2</v>
      </c>
      <c r="N69" s="4" t="s">
        <v>2033</v>
      </c>
      <c r="O69" s="8" t="s">
        <v>2032</v>
      </c>
      <c r="P69" s="8">
        <f>COUNTIF($C:$L,"az")</f>
        <v>1</v>
      </c>
    </row>
    <row r="70" spans="1:16" ht="15" customHeight="1" x14ac:dyDescent="0.2">
      <c r="A70" s="1">
        <v>149</v>
      </c>
      <c r="B70" s="1" t="s">
        <v>688</v>
      </c>
      <c r="C70" s="1">
        <v>5</v>
      </c>
      <c r="D70" s="1"/>
      <c r="E70" s="1"/>
      <c r="F70" s="1"/>
      <c r="N70" s="4" t="s">
        <v>2090</v>
      </c>
      <c r="O70" s="8" t="s">
        <v>2036</v>
      </c>
      <c r="P70" s="8">
        <f>COUNTIF($C:$L,"bb")</f>
        <v>1</v>
      </c>
    </row>
    <row r="71" spans="1:16" ht="15" customHeight="1" x14ac:dyDescent="0.2">
      <c r="A71" s="1">
        <v>150</v>
      </c>
      <c r="B71" s="1" t="s">
        <v>695</v>
      </c>
      <c r="C71" s="1" t="s">
        <v>1993</v>
      </c>
      <c r="D71" s="1" t="s">
        <v>1961</v>
      </c>
      <c r="E71" s="1" t="s">
        <v>2015</v>
      </c>
      <c r="F71" s="1"/>
      <c r="N71" s="4" t="s">
        <v>2091</v>
      </c>
      <c r="O71" s="8" t="s">
        <v>2037</v>
      </c>
      <c r="P71" s="8">
        <f>COUNTIF($C:$L,"bc")</f>
        <v>1</v>
      </c>
    </row>
    <row r="72" spans="1:16" ht="15" customHeight="1" x14ac:dyDescent="0.2">
      <c r="A72" s="1">
        <v>151</v>
      </c>
      <c r="B72" s="1" t="s">
        <v>707</v>
      </c>
      <c r="C72" s="1">
        <v>2</v>
      </c>
      <c r="D72" s="1">
        <v>3</v>
      </c>
      <c r="E72" s="1" t="s">
        <v>1993</v>
      </c>
      <c r="F72" s="1"/>
      <c r="N72" s="4" t="s">
        <v>2040</v>
      </c>
      <c r="O72" s="8" t="s">
        <v>2041</v>
      </c>
      <c r="P72" s="8">
        <f>COUNTIF($C:$L,"be")</f>
        <v>1</v>
      </c>
    </row>
    <row r="73" spans="1:16" ht="15" customHeight="1" x14ac:dyDescent="0.2">
      <c r="A73" s="1">
        <v>152</v>
      </c>
      <c r="B73" s="1" t="s">
        <v>717</v>
      </c>
      <c r="C73" s="1">
        <v>1</v>
      </c>
      <c r="D73" s="1">
        <v>3</v>
      </c>
      <c r="E73" s="1" t="s">
        <v>2057</v>
      </c>
      <c r="F73" s="1" t="s">
        <v>2053</v>
      </c>
      <c r="G73" s="1" t="s">
        <v>2054</v>
      </c>
      <c r="N73" s="4" t="s">
        <v>2042</v>
      </c>
      <c r="O73" s="8" t="s">
        <v>2043</v>
      </c>
      <c r="P73" s="8">
        <f>COUNTIF($C:$L,"bf")</f>
        <v>1</v>
      </c>
    </row>
    <row r="74" spans="1:16" ht="15" customHeight="1" x14ac:dyDescent="0.2">
      <c r="A74" s="1">
        <v>153</v>
      </c>
      <c r="B74" s="1" t="s">
        <v>726</v>
      </c>
      <c r="C74" s="1">
        <v>2</v>
      </c>
      <c r="D74" s="1" t="s">
        <v>1993</v>
      </c>
      <c r="E74" s="1" t="s">
        <v>1994</v>
      </c>
      <c r="F74" s="1"/>
      <c r="N74" s="4" t="s">
        <v>2092</v>
      </c>
      <c r="O74" s="8" t="s">
        <v>2045</v>
      </c>
      <c r="P74" s="8">
        <f>COUNTIF($C:$L,"bg")</f>
        <v>1</v>
      </c>
    </row>
    <row r="75" spans="1:16" ht="15" customHeight="1" x14ac:dyDescent="0.2">
      <c r="A75" s="1">
        <v>157</v>
      </c>
      <c r="B75" s="1" t="s">
        <v>735</v>
      </c>
      <c r="C75" s="1">
        <v>2</v>
      </c>
      <c r="D75" s="1"/>
      <c r="E75" s="1"/>
      <c r="F75" s="1"/>
      <c r="N75" s="4" t="s">
        <v>2046</v>
      </c>
      <c r="O75" s="8" t="s">
        <v>2047</v>
      </c>
      <c r="P75" s="8">
        <f>COUNTIF($C:$L,"bh")</f>
        <v>1</v>
      </c>
    </row>
    <row r="76" spans="1:16" ht="15" customHeight="1" x14ac:dyDescent="0.2">
      <c r="A76" s="1">
        <v>156</v>
      </c>
      <c r="B76" s="1" t="s">
        <v>746</v>
      </c>
      <c r="C76" s="1">
        <v>2</v>
      </c>
      <c r="D76" s="1"/>
      <c r="E76" s="1"/>
      <c r="F76" s="1"/>
      <c r="N76" s="4" t="s">
        <v>2093</v>
      </c>
      <c r="O76" s="8" t="s">
        <v>2048</v>
      </c>
      <c r="P76" s="8">
        <f>COUNTIF($C:$L,"bi")</f>
        <v>1</v>
      </c>
    </row>
    <row r="77" spans="1:16" ht="15" customHeight="1" x14ac:dyDescent="0.2">
      <c r="A77" s="1">
        <v>162</v>
      </c>
      <c r="B77" s="1" t="s">
        <v>756</v>
      </c>
      <c r="C77" s="1">
        <v>6</v>
      </c>
      <c r="D77" s="1">
        <v>2</v>
      </c>
      <c r="E77" s="1"/>
      <c r="F77" s="1"/>
      <c r="N77" s="4" t="s">
        <v>2094</v>
      </c>
      <c r="O77" s="8" t="s">
        <v>2049</v>
      </c>
      <c r="P77" s="8">
        <f>COUNTIF($C:$L,"bj")</f>
        <v>1</v>
      </c>
    </row>
    <row r="78" spans="1:16" ht="15" customHeight="1" x14ac:dyDescent="0.2">
      <c r="A78" s="1">
        <v>164</v>
      </c>
      <c r="B78" s="1" t="s">
        <v>766</v>
      </c>
      <c r="C78" s="1">
        <v>4</v>
      </c>
      <c r="D78" s="1">
        <v>3</v>
      </c>
      <c r="E78" s="1"/>
      <c r="F78" s="1"/>
      <c r="N78" s="4" t="s">
        <v>2062</v>
      </c>
      <c r="O78" s="8" t="s">
        <v>2060</v>
      </c>
      <c r="P78" s="8">
        <f>COUNTIF($C:$L,"bk")</f>
        <v>1</v>
      </c>
    </row>
    <row r="79" spans="1:16" ht="15" customHeight="1" x14ac:dyDescent="0.2">
      <c r="A79" s="1">
        <v>166</v>
      </c>
      <c r="B79" s="1"/>
      <c r="C79" s="1"/>
      <c r="D79" s="1"/>
      <c r="E79" s="1"/>
      <c r="F79" s="1"/>
      <c r="N79" s="4" t="s">
        <v>2063</v>
      </c>
      <c r="O79" s="8" t="s">
        <v>2061</v>
      </c>
      <c r="P79" s="8">
        <f>COUNTIF($C:$L,"bl")</f>
        <v>1</v>
      </c>
    </row>
    <row r="80" spans="1:16" ht="15" customHeight="1" x14ac:dyDescent="0.2">
      <c r="A80" s="1">
        <v>170</v>
      </c>
      <c r="B80" s="1" t="s">
        <v>780</v>
      </c>
      <c r="C80" s="1">
        <v>2</v>
      </c>
      <c r="D80" s="1" t="s">
        <v>2017</v>
      </c>
      <c r="E80" s="1"/>
      <c r="F80" s="1"/>
      <c r="N80" s="4" t="s">
        <v>1983</v>
      </c>
      <c r="O80" s="8" t="s">
        <v>106</v>
      </c>
      <c r="P80" s="8">
        <f>COUNTIF($C:$L,"r")</f>
        <v>0</v>
      </c>
    </row>
    <row r="81" spans="1:9" ht="15" customHeight="1" x14ac:dyDescent="0.2">
      <c r="A81" s="1">
        <v>173</v>
      </c>
      <c r="B81" s="1" t="s">
        <v>790</v>
      </c>
      <c r="C81" s="1" t="s">
        <v>1950</v>
      </c>
      <c r="D81" s="1" t="s">
        <v>1961</v>
      </c>
      <c r="E81" s="1" t="s">
        <v>1993</v>
      </c>
      <c r="F81" s="1"/>
    </row>
    <row r="82" spans="1:9" ht="15" customHeight="1" x14ac:dyDescent="0.2">
      <c r="A82" s="1">
        <v>175</v>
      </c>
      <c r="B82" s="1" t="s">
        <v>799</v>
      </c>
      <c r="C82" s="1">
        <v>2</v>
      </c>
      <c r="D82" s="1" t="s">
        <v>1950</v>
      </c>
      <c r="E82" s="1" t="s">
        <v>2008</v>
      </c>
      <c r="F82" s="1"/>
    </row>
    <row r="83" spans="1:9" ht="15" customHeight="1" x14ac:dyDescent="0.2">
      <c r="A83" s="1">
        <v>178</v>
      </c>
      <c r="B83" s="1" t="s">
        <v>808</v>
      </c>
      <c r="C83" s="1" t="s">
        <v>1993</v>
      </c>
      <c r="D83" s="1" t="s">
        <v>1954</v>
      </c>
      <c r="E83" s="1"/>
      <c r="F83" s="1"/>
    </row>
    <row r="84" spans="1:9" ht="15" customHeight="1" x14ac:dyDescent="0.2">
      <c r="A84" s="1">
        <v>183</v>
      </c>
      <c r="B84" s="1" t="s">
        <v>817</v>
      </c>
      <c r="C84" s="1" t="s">
        <v>1950</v>
      </c>
      <c r="D84" s="1" t="s">
        <v>1954</v>
      </c>
      <c r="E84" s="1">
        <v>2</v>
      </c>
      <c r="F84" s="1"/>
    </row>
    <row r="85" spans="1:9" ht="15" customHeight="1" x14ac:dyDescent="0.2">
      <c r="A85" s="1">
        <v>185</v>
      </c>
      <c r="B85" s="1" t="s">
        <v>827</v>
      </c>
      <c r="C85" s="1">
        <v>2</v>
      </c>
      <c r="D85" s="1" t="s">
        <v>1999</v>
      </c>
      <c r="E85" s="1" t="s">
        <v>1995</v>
      </c>
      <c r="F85" s="1" t="s">
        <v>2005</v>
      </c>
      <c r="G85" s="1" t="s">
        <v>2020</v>
      </c>
      <c r="H85" s="1" t="s">
        <v>2021</v>
      </c>
      <c r="I85" s="1" t="s">
        <v>2022</v>
      </c>
    </row>
    <row r="86" spans="1:9" ht="15" customHeight="1" x14ac:dyDescent="0.2">
      <c r="A86" s="1">
        <v>186</v>
      </c>
      <c r="B86" s="1"/>
      <c r="C86" s="1"/>
      <c r="D86" s="1"/>
      <c r="E86" s="1"/>
      <c r="F86" s="1"/>
    </row>
    <row r="87" spans="1:9" ht="15" customHeight="1" x14ac:dyDescent="0.2">
      <c r="A87" s="1">
        <v>189</v>
      </c>
      <c r="B87" s="1" t="s">
        <v>842</v>
      </c>
      <c r="C87" s="1">
        <v>6</v>
      </c>
      <c r="D87" s="1"/>
      <c r="E87" s="1"/>
      <c r="F87" s="1"/>
    </row>
    <row r="88" spans="1:9" ht="15" customHeight="1" x14ac:dyDescent="0.2">
      <c r="A88" s="1">
        <v>190</v>
      </c>
      <c r="B88" s="1" t="s">
        <v>850</v>
      </c>
      <c r="C88" s="1">
        <v>2</v>
      </c>
      <c r="D88" s="1" t="s">
        <v>1974</v>
      </c>
      <c r="E88" s="1" t="s">
        <v>2024</v>
      </c>
      <c r="F88" s="1" t="s">
        <v>2025</v>
      </c>
      <c r="G88" s="1" t="s">
        <v>2068</v>
      </c>
    </row>
    <row r="89" spans="1:9" ht="15" customHeight="1" x14ac:dyDescent="0.2">
      <c r="A89" s="1">
        <v>192</v>
      </c>
      <c r="B89" s="1" t="s">
        <v>861</v>
      </c>
      <c r="C89" s="1" t="s">
        <v>1993</v>
      </c>
      <c r="D89" s="1" t="s">
        <v>2054</v>
      </c>
      <c r="E89" s="1" t="s">
        <v>2053</v>
      </c>
      <c r="F89" s="1">
        <v>2</v>
      </c>
      <c r="G89" s="1" t="s">
        <v>2057</v>
      </c>
    </row>
    <row r="90" spans="1:9" ht="15" customHeight="1" x14ac:dyDescent="0.2">
      <c r="A90" s="1">
        <v>193</v>
      </c>
      <c r="B90" s="1"/>
      <c r="C90" s="1"/>
      <c r="D90" s="1"/>
      <c r="E90" s="1"/>
      <c r="F90" s="1"/>
    </row>
    <row r="91" spans="1:9" ht="15" customHeight="1" x14ac:dyDescent="0.2">
      <c r="A91" s="1">
        <v>196</v>
      </c>
      <c r="B91" s="1"/>
      <c r="C91" s="1"/>
      <c r="D91" s="1"/>
      <c r="E91" s="1"/>
      <c r="F91" s="1"/>
    </row>
    <row r="92" spans="1:9" ht="15" customHeight="1" x14ac:dyDescent="0.2">
      <c r="A92" s="1">
        <v>197</v>
      </c>
      <c r="B92" s="1" t="s">
        <v>885</v>
      </c>
      <c r="C92" s="1" t="s">
        <v>1993</v>
      </c>
      <c r="D92" s="1" t="s">
        <v>1951</v>
      </c>
      <c r="E92" s="1" t="s">
        <v>2053</v>
      </c>
      <c r="F92" s="1" t="s">
        <v>2054</v>
      </c>
      <c r="G92" s="1" t="s">
        <v>1995</v>
      </c>
    </row>
    <row r="93" spans="1:9" ht="15" customHeight="1" x14ac:dyDescent="0.2">
      <c r="A93" s="1">
        <v>200</v>
      </c>
      <c r="B93" s="1" t="s">
        <v>892</v>
      </c>
      <c r="C93" s="1">
        <v>2</v>
      </c>
      <c r="D93" s="1" t="s">
        <v>2054</v>
      </c>
      <c r="E93" s="1"/>
      <c r="F93" s="1"/>
    </row>
    <row r="94" spans="1:9" ht="15" customHeight="1" x14ac:dyDescent="0.2">
      <c r="A94" s="1">
        <v>203</v>
      </c>
      <c r="B94" s="1" t="s">
        <v>897</v>
      </c>
      <c r="C94" s="1">
        <v>2</v>
      </c>
      <c r="D94" s="1">
        <v>4</v>
      </c>
      <c r="E94" s="1">
        <v>6</v>
      </c>
      <c r="F94" s="1"/>
    </row>
    <row r="95" spans="1:9" ht="15" customHeight="1" x14ac:dyDescent="0.2">
      <c r="A95" s="1">
        <v>204</v>
      </c>
      <c r="B95" s="1"/>
      <c r="C95" s="1"/>
      <c r="D95" s="1"/>
      <c r="E95" s="1"/>
      <c r="F95" s="1"/>
    </row>
    <row r="96" spans="1:9" ht="15" customHeight="1" x14ac:dyDescent="0.2">
      <c r="A96" s="1">
        <v>207</v>
      </c>
      <c r="B96" s="1"/>
      <c r="C96" s="1"/>
      <c r="D96" s="1"/>
      <c r="E96" s="1"/>
      <c r="F96" s="1"/>
    </row>
    <row r="97" spans="1:6" ht="15" customHeight="1" x14ac:dyDescent="0.2">
      <c r="A97" s="1">
        <v>208</v>
      </c>
      <c r="B97" s="1" t="s">
        <v>921</v>
      </c>
      <c r="C97" s="1">
        <v>4</v>
      </c>
      <c r="D97" s="1">
        <v>6</v>
      </c>
      <c r="E97" s="1"/>
      <c r="F97" s="1"/>
    </row>
    <row r="98" spans="1:6" ht="15" customHeight="1" x14ac:dyDescent="0.2">
      <c r="A98" s="1">
        <v>210</v>
      </c>
      <c r="B98" s="1" t="s">
        <v>930</v>
      </c>
      <c r="C98" s="1" t="s">
        <v>1993</v>
      </c>
      <c r="D98" s="1"/>
      <c r="E98" s="1"/>
      <c r="F98" s="1"/>
    </row>
    <row r="99" spans="1:6" ht="15" customHeight="1" x14ac:dyDescent="0.2">
      <c r="A99" s="1">
        <v>212</v>
      </c>
      <c r="B99" s="1" t="s">
        <v>940</v>
      </c>
      <c r="C99" s="1" t="s">
        <v>1993</v>
      </c>
      <c r="D99" s="1">
        <v>2</v>
      </c>
      <c r="E99" s="1">
        <v>6</v>
      </c>
      <c r="F99" s="1"/>
    </row>
    <row r="100" spans="1:6" ht="15" customHeight="1" x14ac:dyDescent="0.2">
      <c r="A100" s="1">
        <v>215</v>
      </c>
      <c r="B100" s="1" t="s">
        <v>950</v>
      </c>
      <c r="C100" s="1">
        <v>6</v>
      </c>
      <c r="D100" s="1"/>
      <c r="E100" s="1"/>
      <c r="F100" s="1"/>
    </row>
    <row r="101" spans="1:6" ht="15" customHeight="1" x14ac:dyDescent="0.2">
      <c r="A101" s="1">
        <v>217</v>
      </c>
      <c r="B101" s="1" t="s">
        <v>958</v>
      </c>
      <c r="C101" s="1" t="s">
        <v>1995</v>
      </c>
      <c r="D101" s="1" t="s">
        <v>2026</v>
      </c>
      <c r="E101" s="1"/>
      <c r="F101" s="1"/>
    </row>
    <row r="102" spans="1:6" ht="15" customHeight="1" x14ac:dyDescent="0.2">
      <c r="A102" s="1">
        <v>219</v>
      </c>
      <c r="B102" s="1" t="s">
        <v>966</v>
      </c>
      <c r="C102" s="1">
        <v>2</v>
      </c>
      <c r="D102" s="1" t="s">
        <v>2070</v>
      </c>
      <c r="E102" s="1" t="s">
        <v>2053</v>
      </c>
      <c r="F102" s="1" t="s">
        <v>1958</v>
      </c>
    </row>
    <row r="103" spans="1:6" ht="15" customHeight="1" x14ac:dyDescent="0.2">
      <c r="A103" s="1">
        <v>221</v>
      </c>
      <c r="B103" s="1" t="s">
        <v>975</v>
      </c>
      <c r="C103" s="1">
        <v>2</v>
      </c>
      <c r="D103" s="1">
        <v>1</v>
      </c>
      <c r="E103" s="1" t="s">
        <v>1993</v>
      </c>
      <c r="F103" s="1"/>
    </row>
    <row r="104" spans="1:6" ht="15" customHeight="1" x14ac:dyDescent="0.2">
      <c r="A104" s="1">
        <v>222</v>
      </c>
      <c r="B104" s="1" t="s">
        <v>983</v>
      </c>
      <c r="C104" s="1">
        <v>2</v>
      </c>
      <c r="D104" s="1"/>
      <c r="E104" s="1"/>
      <c r="F104" s="1"/>
    </row>
    <row r="105" spans="1:6" ht="15" customHeight="1" x14ac:dyDescent="0.2">
      <c r="A105" s="1">
        <v>223</v>
      </c>
      <c r="B105" s="1" t="s">
        <v>989</v>
      </c>
      <c r="C105" s="1">
        <v>1</v>
      </c>
      <c r="D105" s="1"/>
      <c r="E105" s="1"/>
      <c r="F105" s="1"/>
    </row>
    <row r="106" spans="1:6" ht="15" customHeight="1" x14ac:dyDescent="0.2">
      <c r="A106" s="1">
        <v>226</v>
      </c>
      <c r="B106" s="1" t="s">
        <v>996</v>
      </c>
      <c r="C106" s="1" t="s">
        <v>1950</v>
      </c>
      <c r="D106" s="1" t="s">
        <v>1961</v>
      </c>
      <c r="E106" s="1" t="s">
        <v>1960</v>
      </c>
      <c r="F106" s="1" t="s">
        <v>2029</v>
      </c>
    </row>
    <row r="107" spans="1:6" ht="15" customHeight="1" x14ac:dyDescent="0.2">
      <c r="A107" s="1">
        <v>231</v>
      </c>
      <c r="B107" s="1" t="s">
        <v>270</v>
      </c>
      <c r="C107" s="1"/>
      <c r="D107" s="1"/>
      <c r="E107" s="1"/>
      <c r="F107" s="1"/>
    </row>
    <row r="108" spans="1:6" ht="15" customHeight="1" x14ac:dyDescent="0.2">
      <c r="A108" s="1">
        <v>232</v>
      </c>
      <c r="B108" s="1" t="s">
        <v>1014</v>
      </c>
      <c r="C108" s="1">
        <v>2</v>
      </c>
      <c r="D108" s="1" t="s">
        <v>1995</v>
      </c>
      <c r="E108" s="1"/>
      <c r="F108" s="1"/>
    </row>
    <row r="109" spans="1:6" ht="15" customHeight="1" x14ac:dyDescent="0.2">
      <c r="A109" s="1">
        <v>233</v>
      </c>
      <c r="B109" s="1"/>
      <c r="C109" s="1"/>
      <c r="D109" s="1"/>
      <c r="E109" s="1"/>
      <c r="F109" s="1"/>
    </row>
    <row r="110" spans="1:6" ht="15" customHeight="1" x14ac:dyDescent="0.2">
      <c r="A110" s="1">
        <v>236</v>
      </c>
      <c r="B110" s="1" t="s">
        <v>1032</v>
      </c>
      <c r="C110" s="1">
        <v>2</v>
      </c>
      <c r="D110" s="1" t="s">
        <v>1993</v>
      </c>
      <c r="E110" s="1" t="s">
        <v>1999</v>
      </c>
      <c r="F110" s="1" t="s">
        <v>2057</v>
      </c>
    </row>
    <row r="111" spans="1:6" ht="15" customHeight="1" x14ac:dyDescent="0.2">
      <c r="A111" s="1">
        <v>238</v>
      </c>
      <c r="B111" s="1" t="s">
        <v>1043</v>
      </c>
      <c r="C111" s="1">
        <v>1</v>
      </c>
      <c r="D111" s="1"/>
      <c r="E111" s="1"/>
      <c r="F111" s="1"/>
    </row>
    <row r="112" spans="1:6" ht="15" customHeight="1" x14ac:dyDescent="0.2">
      <c r="A112" s="1">
        <v>241</v>
      </c>
      <c r="B112" s="1" t="s">
        <v>1054</v>
      </c>
      <c r="C112" s="1"/>
      <c r="D112" s="1"/>
      <c r="E112" s="1"/>
      <c r="F112" s="1"/>
    </row>
    <row r="113" spans="1:9" ht="15" customHeight="1" x14ac:dyDescent="0.2">
      <c r="A113" s="1">
        <v>242</v>
      </c>
      <c r="B113" s="1"/>
      <c r="C113" s="1"/>
      <c r="D113" s="1"/>
      <c r="E113" s="1"/>
      <c r="F113" s="1"/>
    </row>
    <row r="114" spans="1:9" ht="15" customHeight="1" x14ac:dyDescent="0.2">
      <c r="A114" s="1">
        <v>245</v>
      </c>
      <c r="B114" s="1" t="s">
        <v>1065</v>
      </c>
      <c r="C114" s="1" t="s">
        <v>2053</v>
      </c>
      <c r="D114" s="1" t="s">
        <v>2031</v>
      </c>
      <c r="E114" s="1" t="s">
        <v>2032</v>
      </c>
      <c r="F114" s="1"/>
    </row>
    <row r="115" spans="1:9" ht="15" customHeight="1" x14ac:dyDescent="0.2">
      <c r="A115" s="1">
        <v>247</v>
      </c>
      <c r="B115" s="1" t="s">
        <v>1074</v>
      </c>
      <c r="C115" s="1" t="s">
        <v>1993</v>
      </c>
      <c r="D115" s="1"/>
      <c r="E115" s="1"/>
      <c r="F115" s="1"/>
    </row>
    <row r="116" spans="1:9" ht="15" customHeight="1" x14ac:dyDescent="0.2">
      <c r="A116" s="1">
        <v>249</v>
      </c>
      <c r="B116" s="1" t="s">
        <v>1084</v>
      </c>
      <c r="C116" s="1" t="s">
        <v>2057</v>
      </c>
      <c r="D116" s="1" t="s">
        <v>2053</v>
      </c>
      <c r="E116" s="1" t="s">
        <v>2054</v>
      </c>
      <c r="F116" s="1">
        <v>2</v>
      </c>
    </row>
    <row r="117" spans="1:9" ht="15" customHeight="1" x14ac:dyDescent="0.2">
      <c r="A117" s="1">
        <v>250</v>
      </c>
      <c r="B117" s="1" t="s">
        <v>1092</v>
      </c>
      <c r="C117" s="1" t="s">
        <v>1993</v>
      </c>
      <c r="D117" s="1" t="s">
        <v>1961</v>
      </c>
      <c r="E117" s="1" t="s">
        <v>1951</v>
      </c>
      <c r="F117" s="1">
        <v>3</v>
      </c>
      <c r="G117" s="1" t="s">
        <v>2034</v>
      </c>
      <c r="H117" s="1" t="s">
        <v>2036</v>
      </c>
      <c r="I117" s="1" t="s">
        <v>2037</v>
      </c>
    </row>
    <row r="118" spans="1:9" ht="15" customHeight="1" x14ac:dyDescent="0.2">
      <c r="A118" s="1">
        <v>254</v>
      </c>
      <c r="B118" s="1"/>
      <c r="C118" s="1"/>
      <c r="D118" s="1"/>
      <c r="E118" s="1"/>
      <c r="F118" s="1"/>
    </row>
    <row r="119" spans="1:9" ht="15" customHeight="1" x14ac:dyDescent="0.2">
      <c r="A119" s="1">
        <v>256</v>
      </c>
      <c r="B119" s="1"/>
      <c r="C119" s="1"/>
      <c r="D119" s="1"/>
      <c r="E119" s="1"/>
      <c r="F119" s="1"/>
    </row>
    <row r="120" spans="1:9" ht="15" customHeight="1" x14ac:dyDescent="0.2">
      <c r="A120" s="1">
        <v>257</v>
      </c>
      <c r="B120" s="1" t="s">
        <v>1121</v>
      </c>
      <c r="C120" s="1">
        <v>2</v>
      </c>
      <c r="D120" s="1">
        <v>6</v>
      </c>
      <c r="E120" s="1"/>
      <c r="F120" s="1"/>
    </row>
    <row r="121" spans="1:9" ht="15" customHeight="1" x14ac:dyDescent="0.2">
      <c r="A121" s="1">
        <v>260</v>
      </c>
      <c r="B121" s="1" t="s">
        <v>1131</v>
      </c>
      <c r="C121" s="1">
        <v>2</v>
      </c>
      <c r="D121" s="1" t="s">
        <v>1993</v>
      </c>
      <c r="E121" s="1">
        <v>6</v>
      </c>
      <c r="F121" s="1" t="s">
        <v>1954</v>
      </c>
    </row>
    <row r="122" spans="1:9" ht="15" customHeight="1" x14ac:dyDescent="0.2">
      <c r="A122" s="1">
        <v>262</v>
      </c>
      <c r="B122" s="1" t="s">
        <v>1140</v>
      </c>
      <c r="C122" s="1">
        <v>2</v>
      </c>
      <c r="D122" s="1" t="s">
        <v>2005</v>
      </c>
      <c r="E122" s="1"/>
      <c r="F122" s="1"/>
    </row>
    <row r="123" spans="1:9" ht="15" customHeight="1" x14ac:dyDescent="0.2">
      <c r="A123" s="1">
        <v>263</v>
      </c>
      <c r="B123" s="1" t="s">
        <v>1152</v>
      </c>
      <c r="C123" s="1" t="s">
        <v>1985</v>
      </c>
      <c r="D123" s="1"/>
      <c r="E123" s="1"/>
      <c r="F123" s="1"/>
    </row>
    <row r="124" spans="1:9" ht="15" customHeight="1" x14ac:dyDescent="0.2">
      <c r="A124" s="1">
        <v>272</v>
      </c>
      <c r="B124" s="1" t="s">
        <v>1160</v>
      </c>
      <c r="C124" s="1">
        <v>2</v>
      </c>
      <c r="D124" s="1">
        <v>3</v>
      </c>
      <c r="E124" s="1" t="s">
        <v>2039</v>
      </c>
      <c r="F124" s="1" t="s">
        <v>1960</v>
      </c>
    </row>
    <row r="125" spans="1:9" ht="15" customHeight="1" x14ac:dyDescent="0.2">
      <c r="A125" s="1">
        <v>273</v>
      </c>
      <c r="B125" s="1" t="s">
        <v>1170</v>
      </c>
      <c r="C125" s="1">
        <v>4</v>
      </c>
      <c r="D125" s="1" t="s">
        <v>2041</v>
      </c>
      <c r="E125" s="1"/>
      <c r="F125" s="1"/>
    </row>
    <row r="126" spans="1:9" ht="15" customHeight="1" x14ac:dyDescent="0.2">
      <c r="A126" s="1">
        <v>280</v>
      </c>
      <c r="B126" s="1" t="s">
        <v>1179</v>
      </c>
      <c r="C126" s="1">
        <v>6</v>
      </c>
      <c r="D126" s="1" t="s">
        <v>1995</v>
      </c>
      <c r="E126" s="1" t="s">
        <v>2005</v>
      </c>
      <c r="F126" s="1"/>
    </row>
    <row r="127" spans="1:9" ht="15" customHeight="1" x14ac:dyDescent="0.2">
      <c r="A127" s="1">
        <v>282</v>
      </c>
      <c r="B127" s="1" t="s">
        <v>1189</v>
      </c>
      <c r="C127" s="1">
        <v>2</v>
      </c>
      <c r="D127" s="1" t="s">
        <v>1961</v>
      </c>
      <c r="E127" s="1">
        <v>6</v>
      </c>
      <c r="F127" s="1" t="s">
        <v>2043</v>
      </c>
    </row>
    <row r="128" spans="1:9" ht="15" customHeight="1" x14ac:dyDescent="0.2">
      <c r="A128" s="1">
        <v>286</v>
      </c>
      <c r="B128" s="1" t="s">
        <v>1200</v>
      </c>
      <c r="C128" s="1" t="s">
        <v>1995</v>
      </c>
      <c r="D128" s="1" t="s">
        <v>1993</v>
      </c>
      <c r="E128" s="1" t="s">
        <v>2053</v>
      </c>
      <c r="F128" s="1">
        <v>3</v>
      </c>
      <c r="G128" s="1" t="s">
        <v>2039</v>
      </c>
      <c r="H128" s="1" t="s">
        <v>2005</v>
      </c>
      <c r="I128" s="1" t="s">
        <v>2057</v>
      </c>
    </row>
    <row r="129" spans="1:9" ht="15" customHeight="1" x14ac:dyDescent="0.2">
      <c r="A129" s="1">
        <v>287</v>
      </c>
      <c r="B129" s="1" t="s">
        <v>1212</v>
      </c>
      <c r="C129" s="1" t="s">
        <v>1994</v>
      </c>
      <c r="D129" s="1" t="s">
        <v>1992</v>
      </c>
      <c r="E129" s="1"/>
      <c r="F129" s="1"/>
    </row>
    <row r="130" spans="1:9" ht="15" customHeight="1" x14ac:dyDescent="0.2">
      <c r="A130" s="1">
        <v>288</v>
      </c>
      <c r="B130" s="1"/>
      <c r="C130" s="1"/>
      <c r="D130" s="1"/>
      <c r="E130" s="1"/>
      <c r="F130" s="1"/>
    </row>
    <row r="131" spans="1:9" ht="15" customHeight="1" x14ac:dyDescent="0.2">
      <c r="A131" s="1">
        <v>289</v>
      </c>
      <c r="B131" s="1" t="s">
        <v>1228</v>
      </c>
      <c r="C131" s="1" t="s">
        <v>1993</v>
      </c>
      <c r="D131" s="1" t="s">
        <v>1952</v>
      </c>
      <c r="E131" s="1">
        <v>3</v>
      </c>
      <c r="F131" s="1"/>
    </row>
    <row r="132" spans="1:9" ht="15" customHeight="1" x14ac:dyDescent="0.2">
      <c r="A132" s="1">
        <v>290</v>
      </c>
      <c r="B132" s="1" t="s">
        <v>1234</v>
      </c>
      <c r="C132" s="1" t="s">
        <v>1993</v>
      </c>
      <c r="D132" s="1"/>
      <c r="E132" s="1"/>
      <c r="F132" s="1"/>
    </row>
    <row r="133" spans="1:9" ht="15" customHeight="1" x14ac:dyDescent="0.2">
      <c r="A133" s="1">
        <v>291</v>
      </c>
      <c r="B133" s="1" t="s">
        <v>1242</v>
      </c>
      <c r="C133" s="1" t="s">
        <v>1960</v>
      </c>
      <c r="D133" s="1" t="s">
        <v>2039</v>
      </c>
      <c r="E133" s="1"/>
      <c r="F133" s="1"/>
    </row>
    <row r="134" spans="1:9" ht="15" customHeight="1" x14ac:dyDescent="0.2">
      <c r="A134" s="1">
        <v>293</v>
      </c>
      <c r="B134" s="1" t="s">
        <v>1251</v>
      </c>
      <c r="C134" s="1">
        <v>2</v>
      </c>
      <c r="D134" s="1"/>
      <c r="E134" s="1"/>
      <c r="F134" s="1"/>
    </row>
    <row r="135" spans="1:9" ht="15" customHeight="1" x14ac:dyDescent="0.2">
      <c r="A135" s="1">
        <v>294</v>
      </c>
      <c r="B135" s="1" t="s">
        <v>1259</v>
      </c>
      <c r="C135" s="1">
        <v>4</v>
      </c>
      <c r="D135" s="1" t="s">
        <v>1993</v>
      </c>
      <c r="E135" s="1" t="s">
        <v>1960</v>
      </c>
      <c r="F135" s="1"/>
    </row>
    <row r="136" spans="1:9" ht="15" customHeight="1" x14ac:dyDescent="0.2">
      <c r="A136" s="1">
        <v>295</v>
      </c>
      <c r="B136" s="1" t="s">
        <v>1269</v>
      </c>
      <c r="C136" s="1" t="s">
        <v>2053</v>
      </c>
      <c r="D136" s="1" t="s">
        <v>2008</v>
      </c>
      <c r="E136" s="1"/>
      <c r="F136" s="1"/>
    </row>
    <row r="137" spans="1:9" ht="15" customHeight="1" x14ac:dyDescent="0.2">
      <c r="A137" s="1">
        <v>297</v>
      </c>
      <c r="B137" s="1" t="s">
        <v>1279</v>
      </c>
      <c r="C137" s="1" t="s">
        <v>1992</v>
      </c>
      <c r="D137" s="1" t="s">
        <v>1993</v>
      </c>
      <c r="E137" s="1" t="s">
        <v>2054</v>
      </c>
      <c r="F137" s="1">
        <v>6</v>
      </c>
      <c r="G137" s="1" t="s">
        <v>2057</v>
      </c>
    </row>
    <row r="138" spans="1:9" ht="15" customHeight="1" x14ac:dyDescent="0.2">
      <c r="A138" s="1">
        <v>298</v>
      </c>
      <c r="B138" s="1" t="s">
        <v>1287</v>
      </c>
      <c r="C138" s="1">
        <v>2</v>
      </c>
      <c r="D138" s="1">
        <v>6</v>
      </c>
      <c r="E138" s="1" t="s">
        <v>1993</v>
      </c>
      <c r="F138" s="1"/>
    </row>
    <row r="139" spans="1:9" ht="15" customHeight="1" x14ac:dyDescent="0.2">
      <c r="A139" s="1">
        <v>300</v>
      </c>
      <c r="B139" s="1" t="s">
        <v>1296</v>
      </c>
      <c r="C139" s="1" t="s">
        <v>2057</v>
      </c>
      <c r="D139" s="1" t="s">
        <v>1963</v>
      </c>
      <c r="E139" s="1"/>
      <c r="F139" s="1"/>
    </row>
    <row r="140" spans="1:9" ht="15" customHeight="1" x14ac:dyDescent="0.2">
      <c r="A140" s="1">
        <v>301</v>
      </c>
      <c r="B140" s="1" t="s">
        <v>1302</v>
      </c>
      <c r="C140" s="1">
        <v>2</v>
      </c>
      <c r="D140" s="1" t="s">
        <v>2053</v>
      </c>
      <c r="E140" s="1" t="s">
        <v>2057</v>
      </c>
      <c r="F140" s="1" t="s">
        <v>1993</v>
      </c>
    </row>
    <row r="141" spans="1:9" ht="15" customHeight="1" x14ac:dyDescent="0.2">
      <c r="A141" s="1">
        <v>302</v>
      </c>
      <c r="B141" s="1" t="s">
        <v>1310</v>
      </c>
      <c r="C141" s="1" t="s">
        <v>1993</v>
      </c>
      <c r="D141" s="1" t="s">
        <v>1951</v>
      </c>
      <c r="E141" s="1">
        <v>2</v>
      </c>
      <c r="F141" s="1">
        <v>3</v>
      </c>
      <c r="G141" s="1" t="s">
        <v>2017</v>
      </c>
      <c r="H141" s="1" t="s">
        <v>1954</v>
      </c>
      <c r="I141" s="1" t="s">
        <v>2053</v>
      </c>
    </row>
    <row r="142" spans="1:9" ht="15" customHeight="1" x14ac:dyDescent="0.2">
      <c r="A142" s="6">
        <v>303</v>
      </c>
      <c r="B142" s="6" t="s">
        <v>1318</v>
      </c>
      <c r="C142" s="67" t="s">
        <v>2057</v>
      </c>
      <c r="D142" s="67" t="s">
        <v>2005</v>
      </c>
      <c r="E142" s="67"/>
      <c r="F142" s="67"/>
    </row>
    <row r="143" spans="1:9" ht="15" customHeight="1" x14ac:dyDescent="0.2">
      <c r="A143" s="1">
        <v>304</v>
      </c>
      <c r="B143" s="1" t="s">
        <v>1326</v>
      </c>
      <c r="C143" s="1">
        <v>2</v>
      </c>
      <c r="D143" s="1" t="s">
        <v>1993</v>
      </c>
      <c r="E143" s="1" t="s">
        <v>1995</v>
      </c>
      <c r="F143" s="1" t="s">
        <v>2070</v>
      </c>
      <c r="G143" s="1" t="s">
        <v>2057</v>
      </c>
      <c r="H143" s="1" t="s">
        <v>2053</v>
      </c>
    </row>
    <row r="144" spans="1:9" ht="15" customHeight="1" x14ac:dyDescent="0.2">
      <c r="A144" s="1">
        <v>305</v>
      </c>
      <c r="B144" s="1" t="s">
        <v>1337</v>
      </c>
      <c r="C144" s="1">
        <v>2</v>
      </c>
      <c r="D144" s="1" t="s">
        <v>1950</v>
      </c>
      <c r="E144" s="1">
        <v>6</v>
      </c>
      <c r="F144" s="1" t="s">
        <v>1993</v>
      </c>
    </row>
    <row r="145" spans="1:8" ht="15" customHeight="1" x14ac:dyDescent="0.2">
      <c r="A145" s="1">
        <v>307</v>
      </c>
      <c r="B145" s="1" t="s">
        <v>1342</v>
      </c>
      <c r="C145" s="1">
        <v>2</v>
      </c>
      <c r="D145" s="1"/>
      <c r="E145" s="1"/>
      <c r="F145" s="1"/>
    </row>
    <row r="146" spans="1:8" ht="15" customHeight="1" x14ac:dyDescent="0.2">
      <c r="A146" s="1">
        <v>308</v>
      </c>
      <c r="B146" s="1" t="s">
        <v>1351</v>
      </c>
      <c r="C146" s="1">
        <v>6</v>
      </c>
      <c r="D146" s="1">
        <v>2</v>
      </c>
      <c r="E146" s="1" t="s">
        <v>2053</v>
      </c>
      <c r="F146" s="1" t="s">
        <v>2008</v>
      </c>
    </row>
    <row r="147" spans="1:8" ht="15" customHeight="1" x14ac:dyDescent="0.2">
      <c r="A147" s="1">
        <v>310</v>
      </c>
      <c r="B147" s="1" t="s">
        <v>1429</v>
      </c>
      <c r="C147" s="1" t="s">
        <v>1993</v>
      </c>
      <c r="D147" s="1">
        <v>2</v>
      </c>
      <c r="E147" s="1"/>
      <c r="F147" s="1"/>
    </row>
    <row r="148" spans="1:8" ht="15" customHeight="1" x14ac:dyDescent="0.2">
      <c r="A148" s="1">
        <v>312</v>
      </c>
      <c r="B148" s="1" t="s">
        <v>1430</v>
      </c>
      <c r="C148" s="1" t="s">
        <v>1993</v>
      </c>
      <c r="D148" s="1" t="s">
        <v>2054</v>
      </c>
      <c r="E148" s="1">
        <v>3</v>
      </c>
      <c r="F148" s="1"/>
    </row>
    <row r="149" spans="1:8" ht="15" customHeight="1" x14ac:dyDescent="0.2">
      <c r="A149" s="1">
        <v>314</v>
      </c>
      <c r="B149" s="1" t="s">
        <v>1431</v>
      </c>
      <c r="C149" s="1">
        <v>5</v>
      </c>
      <c r="D149" s="1" t="s">
        <v>2045</v>
      </c>
      <c r="E149" s="1" t="s">
        <v>2057</v>
      </c>
      <c r="F149" s="1" t="s">
        <v>1967</v>
      </c>
      <c r="G149" s="1" t="s">
        <v>2034</v>
      </c>
      <c r="H149" s="1" t="s">
        <v>1950</v>
      </c>
    </row>
    <row r="150" spans="1:8" ht="15" customHeight="1" x14ac:dyDescent="0.2">
      <c r="A150" s="1">
        <v>315</v>
      </c>
      <c r="B150" s="1" t="s">
        <v>1432</v>
      </c>
      <c r="C150" s="1">
        <v>3</v>
      </c>
      <c r="D150" s="1">
        <v>2</v>
      </c>
      <c r="E150" s="1"/>
      <c r="F150" s="1"/>
    </row>
    <row r="151" spans="1:8" ht="15" customHeight="1" x14ac:dyDescent="0.2">
      <c r="A151" s="1">
        <v>316</v>
      </c>
      <c r="B151" s="1" t="s">
        <v>1433</v>
      </c>
      <c r="C151" s="1" t="s">
        <v>1992</v>
      </c>
      <c r="D151" s="1" t="s">
        <v>1995</v>
      </c>
      <c r="E151" s="1" t="s">
        <v>2053</v>
      </c>
      <c r="F151" s="1" t="s">
        <v>2064</v>
      </c>
    </row>
    <row r="152" spans="1:8" ht="15" customHeight="1" x14ac:dyDescent="0.2">
      <c r="A152" s="1">
        <v>317</v>
      </c>
      <c r="B152" s="1" t="s">
        <v>1434</v>
      </c>
      <c r="C152" s="1">
        <v>2</v>
      </c>
      <c r="D152" s="1"/>
      <c r="E152" s="1"/>
      <c r="F152" s="1"/>
    </row>
    <row r="153" spans="1:8" ht="15" customHeight="1" x14ac:dyDescent="0.2">
      <c r="A153" s="1">
        <v>319</v>
      </c>
      <c r="B153" s="1" t="s">
        <v>1435</v>
      </c>
      <c r="C153" s="1">
        <v>1</v>
      </c>
      <c r="D153" s="1">
        <v>6</v>
      </c>
      <c r="E153" s="1">
        <v>2</v>
      </c>
      <c r="F153" s="1"/>
    </row>
    <row r="154" spans="1:8" ht="15" customHeight="1" x14ac:dyDescent="0.2">
      <c r="A154" s="1">
        <v>323</v>
      </c>
      <c r="B154" s="1" t="s">
        <v>1436</v>
      </c>
      <c r="C154" s="1">
        <v>5</v>
      </c>
      <c r="D154" s="1"/>
      <c r="E154" s="1"/>
      <c r="F154" s="1"/>
    </row>
    <row r="155" spans="1:8" ht="15" customHeight="1" x14ac:dyDescent="0.2">
      <c r="A155" s="1">
        <v>324</v>
      </c>
      <c r="B155" s="1" t="s">
        <v>1437</v>
      </c>
      <c r="C155" s="1" t="s">
        <v>1993</v>
      </c>
      <c r="D155" s="1" t="s">
        <v>2053</v>
      </c>
      <c r="E155" s="1" t="s">
        <v>2047</v>
      </c>
      <c r="F155" s="1" t="s">
        <v>2057</v>
      </c>
    </row>
    <row r="156" spans="1:8" ht="15" customHeight="1" x14ac:dyDescent="0.2">
      <c r="A156" s="1">
        <v>325</v>
      </c>
      <c r="B156" s="1" t="s">
        <v>1438</v>
      </c>
      <c r="C156" s="1">
        <v>3</v>
      </c>
      <c r="D156" s="1">
        <v>2</v>
      </c>
      <c r="E156" s="1" t="s">
        <v>1995</v>
      </c>
      <c r="F156" s="1"/>
    </row>
    <row r="157" spans="1:8" ht="15" customHeight="1" x14ac:dyDescent="0.2">
      <c r="A157" s="1">
        <v>327</v>
      </c>
      <c r="B157" s="1" t="s">
        <v>1439</v>
      </c>
      <c r="C157" s="1">
        <v>2</v>
      </c>
      <c r="D157" s="1" t="s">
        <v>1950</v>
      </c>
      <c r="E157" s="1" t="s">
        <v>1952</v>
      </c>
      <c r="F157" s="1" t="s">
        <v>1999</v>
      </c>
    </row>
    <row r="158" spans="1:8" ht="15" customHeight="1" x14ac:dyDescent="0.2">
      <c r="A158" s="1">
        <v>328</v>
      </c>
      <c r="B158" s="1" t="s">
        <v>1440</v>
      </c>
      <c r="C158" s="1" t="s">
        <v>2048</v>
      </c>
      <c r="D158" s="1" t="s">
        <v>1995</v>
      </c>
      <c r="E158" s="1" t="s">
        <v>1993</v>
      </c>
      <c r="F158" s="1"/>
    </row>
    <row r="159" spans="1:8" ht="15" customHeight="1" x14ac:dyDescent="0.2">
      <c r="A159" s="1">
        <v>329</v>
      </c>
      <c r="B159" s="1" t="s">
        <v>1441</v>
      </c>
      <c r="C159" s="1">
        <v>1</v>
      </c>
      <c r="D159" s="1" t="s">
        <v>1993</v>
      </c>
      <c r="E159" s="1" t="s">
        <v>2053</v>
      </c>
      <c r="F159" s="1" t="s">
        <v>2049</v>
      </c>
    </row>
    <row r="160" spans="1:8" ht="15" customHeight="1" x14ac:dyDescent="0.2">
      <c r="A160" s="8">
        <v>331</v>
      </c>
      <c r="B160" s="1" t="s">
        <v>1513</v>
      </c>
      <c r="C160" s="1">
        <v>2</v>
      </c>
      <c r="D160" s="1" t="s">
        <v>1951</v>
      </c>
      <c r="E160" s="1">
        <v>6</v>
      </c>
      <c r="F160" s="1" t="s">
        <v>1993</v>
      </c>
      <c r="G160">
        <v>5</v>
      </c>
    </row>
    <row r="161" spans="1:6" ht="15" customHeight="1" x14ac:dyDescent="0.2">
      <c r="A161" s="8">
        <v>332</v>
      </c>
      <c r="B161" s="1" t="s">
        <v>1514</v>
      </c>
      <c r="C161" s="1" t="s">
        <v>1993</v>
      </c>
      <c r="D161" s="1">
        <v>2</v>
      </c>
      <c r="E161" s="1"/>
      <c r="F161" s="1"/>
    </row>
    <row r="162" spans="1:6" ht="15" customHeight="1" x14ac:dyDescent="0.2">
      <c r="A162" s="8">
        <v>334</v>
      </c>
      <c r="B162" s="1" t="s">
        <v>1515</v>
      </c>
      <c r="C162" s="1">
        <v>1</v>
      </c>
      <c r="D162" s="1" t="s">
        <v>2053</v>
      </c>
      <c r="E162" s="1"/>
      <c r="F162" s="1"/>
    </row>
    <row r="163" spans="1:6" ht="15" customHeight="1" x14ac:dyDescent="0.2">
      <c r="A163" s="8">
        <v>336</v>
      </c>
      <c r="B163" s="1" t="s">
        <v>1516</v>
      </c>
      <c r="C163" s="1"/>
      <c r="D163" s="1"/>
      <c r="E163" s="1"/>
      <c r="F163" s="1"/>
    </row>
    <row r="164" spans="1:6" ht="15" customHeight="1" x14ac:dyDescent="0.2">
      <c r="A164" s="8">
        <v>337</v>
      </c>
      <c r="B164" s="1" t="s">
        <v>1517</v>
      </c>
      <c r="C164" s="1">
        <v>6</v>
      </c>
      <c r="D164" s="1" t="s">
        <v>2053</v>
      </c>
      <c r="E164" s="1"/>
      <c r="F164" s="1"/>
    </row>
  </sheetData>
  <sortState ref="N10:P79">
    <sortCondition descending="1" ref="P10:P79"/>
  </sortState>
  <mergeCells count="1">
    <mergeCell ref="N9:P9"/>
  </mergeCell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G164"/>
  <sheetViews>
    <sheetView workbookViewId="0">
      <selection activeCell="G4" sqref="G4"/>
    </sheetView>
  </sheetViews>
  <sheetFormatPr baseColWidth="10" defaultColWidth="8.83203125" defaultRowHeight="15" x14ac:dyDescent="0.2"/>
  <cols>
    <col min="1" max="1" width="11.83203125" bestFit="1" customWidth="1"/>
    <col min="2" max="2" width="94.83203125" customWidth="1"/>
  </cols>
  <sheetData>
    <row r="1" spans="1:7" ht="45" x14ac:dyDescent="0.2">
      <c r="A1" s="1" t="s">
        <v>0</v>
      </c>
      <c r="B1" s="1" t="s">
        <v>28</v>
      </c>
      <c r="D1" t="s">
        <v>2174</v>
      </c>
      <c r="F1">
        <v>102</v>
      </c>
    </row>
    <row r="2" spans="1:7" ht="30" x14ac:dyDescent="0.2">
      <c r="A2" s="1">
        <v>2</v>
      </c>
      <c r="B2" s="1" t="s">
        <v>55</v>
      </c>
      <c r="D2" t="s">
        <v>2175</v>
      </c>
      <c r="F2">
        <v>94</v>
      </c>
      <c r="G2">
        <f>94/102</f>
        <v>0.92156862745098034</v>
      </c>
    </row>
    <row r="3" spans="1:7" ht="135" x14ac:dyDescent="0.2">
      <c r="A3" s="1">
        <v>5</v>
      </c>
      <c r="B3" s="1" t="s">
        <v>67</v>
      </c>
      <c r="D3" t="s">
        <v>2176</v>
      </c>
      <c r="F3">
        <v>64</v>
      </c>
      <c r="G3">
        <f>64/102</f>
        <v>0.62745098039215685</v>
      </c>
    </row>
    <row r="4" spans="1:7" x14ac:dyDescent="0.2">
      <c r="A4" s="1">
        <v>6</v>
      </c>
      <c r="B4" s="1" t="s">
        <v>77</v>
      </c>
    </row>
    <row r="5" spans="1:7" x14ac:dyDescent="0.2">
      <c r="A5" s="1">
        <v>11</v>
      </c>
      <c r="B5" s="1" t="s">
        <v>89</v>
      </c>
    </row>
    <row r="6" spans="1:7" x14ac:dyDescent="0.2">
      <c r="A6" s="1">
        <v>18</v>
      </c>
      <c r="B6" s="1"/>
    </row>
    <row r="7" spans="1:7" x14ac:dyDescent="0.2">
      <c r="A7" s="1">
        <v>21</v>
      </c>
      <c r="B7" s="1"/>
    </row>
    <row r="8" spans="1:7" x14ac:dyDescent="0.2">
      <c r="A8" s="1">
        <v>22</v>
      </c>
      <c r="B8" s="1" t="s">
        <v>108</v>
      </c>
    </row>
    <row r="9" spans="1:7" x14ac:dyDescent="0.2">
      <c r="A9" s="1">
        <v>26</v>
      </c>
      <c r="B9" s="1"/>
    </row>
    <row r="10" spans="1:7" x14ac:dyDescent="0.2">
      <c r="A10" s="1">
        <v>30</v>
      </c>
      <c r="B10" s="1" t="s">
        <v>128</v>
      </c>
    </row>
    <row r="11" spans="1:7" ht="150" x14ac:dyDescent="0.2">
      <c r="A11" s="1">
        <v>31</v>
      </c>
      <c r="B11" s="1" t="s">
        <v>138</v>
      </c>
    </row>
    <row r="12" spans="1:7" x14ac:dyDescent="0.2">
      <c r="A12" s="1">
        <v>28</v>
      </c>
      <c r="B12" s="1" t="s">
        <v>151</v>
      </c>
    </row>
    <row r="13" spans="1:7" x14ac:dyDescent="0.2">
      <c r="A13" s="1">
        <v>32</v>
      </c>
      <c r="B13" s="1" t="s">
        <v>160</v>
      </c>
    </row>
    <row r="14" spans="1:7" x14ac:dyDescent="0.2">
      <c r="A14" s="1">
        <v>34</v>
      </c>
      <c r="B14" s="1" t="s">
        <v>172</v>
      </c>
    </row>
    <row r="15" spans="1:7" x14ac:dyDescent="0.2">
      <c r="A15" s="1">
        <v>35</v>
      </c>
      <c r="B15" s="1" t="s">
        <v>182</v>
      </c>
    </row>
    <row r="16" spans="1:7" x14ac:dyDescent="0.2">
      <c r="A16" s="1">
        <v>36</v>
      </c>
      <c r="B16" s="1" t="s">
        <v>194</v>
      </c>
    </row>
    <row r="17" spans="1:2" x14ac:dyDescent="0.2">
      <c r="A17" s="1">
        <v>38</v>
      </c>
      <c r="B17" s="1" t="s">
        <v>203</v>
      </c>
    </row>
    <row r="18" spans="1:2" ht="45" x14ac:dyDescent="0.2">
      <c r="A18" s="1">
        <v>40</v>
      </c>
      <c r="B18" s="1" t="s">
        <v>213</v>
      </c>
    </row>
    <row r="19" spans="1:2" x14ac:dyDescent="0.2">
      <c r="A19" s="1">
        <v>41</v>
      </c>
      <c r="B19" s="1" t="s">
        <v>221</v>
      </c>
    </row>
    <row r="20" spans="1:2" x14ac:dyDescent="0.2">
      <c r="A20" s="1">
        <v>42</v>
      </c>
      <c r="B20" s="1" t="s">
        <v>231</v>
      </c>
    </row>
    <row r="21" spans="1:2" x14ac:dyDescent="0.2">
      <c r="A21" s="1">
        <v>44</v>
      </c>
      <c r="B21" s="1" t="s">
        <v>240</v>
      </c>
    </row>
    <row r="22" spans="1:2" x14ac:dyDescent="0.2">
      <c r="A22" s="1">
        <v>46</v>
      </c>
      <c r="B22" s="1" t="s">
        <v>251</v>
      </c>
    </row>
    <row r="23" spans="1:2" x14ac:dyDescent="0.2">
      <c r="A23" s="1">
        <v>47</v>
      </c>
      <c r="B23" s="1" t="s">
        <v>262</v>
      </c>
    </row>
    <row r="24" spans="1:2" ht="45" x14ac:dyDescent="0.2">
      <c r="A24" s="1">
        <v>49</v>
      </c>
      <c r="B24" s="1" t="s">
        <v>272</v>
      </c>
    </row>
    <row r="25" spans="1:2" x14ac:dyDescent="0.2">
      <c r="A25" s="1">
        <v>50</v>
      </c>
      <c r="B25" s="1" t="s">
        <v>281</v>
      </c>
    </row>
    <row r="26" spans="1:2" x14ac:dyDescent="0.2">
      <c r="A26" s="1">
        <v>51</v>
      </c>
      <c r="B26" s="1" t="s">
        <v>288</v>
      </c>
    </row>
    <row r="27" spans="1:2" x14ac:dyDescent="0.2">
      <c r="A27" s="1">
        <v>53</v>
      </c>
      <c r="B27" s="1" t="s">
        <v>296</v>
      </c>
    </row>
    <row r="28" spans="1:2" x14ac:dyDescent="0.2">
      <c r="A28" s="1">
        <v>55</v>
      </c>
      <c r="B28" s="1"/>
    </row>
    <row r="29" spans="1:2" ht="60.75" customHeight="1" x14ac:dyDescent="0.2">
      <c r="A29" s="1">
        <v>60</v>
      </c>
      <c r="B29" s="1" t="s">
        <v>315</v>
      </c>
    </row>
    <row r="30" spans="1:2" ht="45" x14ac:dyDescent="0.2">
      <c r="A30" s="1">
        <v>61</v>
      </c>
      <c r="B30" s="1" t="s">
        <v>326</v>
      </c>
    </row>
    <row r="31" spans="1:2" ht="30" x14ac:dyDescent="0.2">
      <c r="A31" s="1">
        <v>62</v>
      </c>
      <c r="B31" s="1" t="s">
        <v>336</v>
      </c>
    </row>
    <row r="32" spans="1:2" x14ac:dyDescent="0.2">
      <c r="A32" s="1">
        <v>65</v>
      </c>
      <c r="B32" s="1" t="s">
        <v>182</v>
      </c>
    </row>
    <row r="33" spans="1:2" ht="30" x14ac:dyDescent="0.2">
      <c r="A33" s="1">
        <v>70</v>
      </c>
      <c r="B33" s="1" t="s">
        <v>355</v>
      </c>
    </row>
    <row r="34" spans="1:2" ht="30" x14ac:dyDescent="0.2">
      <c r="A34" s="1">
        <v>71</v>
      </c>
      <c r="B34" s="1" t="s">
        <v>365</v>
      </c>
    </row>
    <row r="35" spans="1:2" x14ac:dyDescent="0.2">
      <c r="A35" s="1">
        <v>72</v>
      </c>
      <c r="B35" s="1" t="s">
        <v>374</v>
      </c>
    </row>
    <row r="36" spans="1:2" x14ac:dyDescent="0.2">
      <c r="A36" s="1">
        <v>74</v>
      </c>
      <c r="B36" s="1" t="s">
        <v>385</v>
      </c>
    </row>
    <row r="37" spans="1:2" x14ac:dyDescent="0.2">
      <c r="A37" s="1">
        <v>75</v>
      </c>
      <c r="B37" s="1" t="s">
        <v>394</v>
      </c>
    </row>
    <row r="38" spans="1:2" ht="30" x14ac:dyDescent="0.2">
      <c r="A38" s="1">
        <v>76</v>
      </c>
      <c r="B38" s="1" t="s">
        <v>404</v>
      </c>
    </row>
    <row r="39" spans="1:2" x14ac:dyDescent="0.2">
      <c r="A39" s="1">
        <v>78</v>
      </c>
      <c r="B39" s="1" t="s">
        <v>411</v>
      </c>
    </row>
    <row r="40" spans="1:2" x14ac:dyDescent="0.2">
      <c r="A40" s="1">
        <v>79</v>
      </c>
      <c r="B40" s="1" t="s">
        <v>422</v>
      </c>
    </row>
    <row r="41" spans="1:2" x14ac:dyDescent="0.2">
      <c r="A41" s="1">
        <v>80</v>
      </c>
      <c r="B41" s="1" t="s">
        <v>182</v>
      </c>
    </row>
    <row r="42" spans="1:2" x14ac:dyDescent="0.2">
      <c r="A42" s="1">
        <v>87</v>
      </c>
      <c r="B42" s="1" t="s">
        <v>439</v>
      </c>
    </row>
    <row r="43" spans="1:2" x14ac:dyDescent="0.2">
      <c r="A43" s="1">
        <v>89</v>
      </c>
      <c r="B43" s="1" t="s">
        <v>451</v>
      </c>
    </row>
    <row r="44" spans="1:2" x14ac:dyDescent="0.2">
      <c r="A44" s="1">
        <v>90</v>
      </c>
      <c r="B44" s="1" t="s">
        <v>461</v>
      </c>
    </row>
    <row r="45" spans="1:2" x14ac:dyDescent="0.2">
      <c r="A45" s="1">
        <v>91</v>
      </c>
      <c r="B45" s="1" t="s">
        <v>469</v>
      </c>
    </row>
    <row r="46" spans="1:2" ht="75" x14ac:dyDescent="0.2">
      <c r="A46" s="1">
        <v>92</v>
      </c>
      <c r="B46" s="1" t="s">
        <v>477</v>
      </c>
    </row>
    <row r="47" spans="1:2" x14ac:dyDescent="0.2">
      <c r="A47" s="1">
        <v>93</v>
      </c>
      <c r="B47" s="1" t="s">
        <v>486</v>
      </c>
    </row>
    <row r="48" spans="1:2" ht="30" x14ac:dyDescent="0.2">
      <c r="A48" s="1">
        <v>95</v>
      </c>
      <c r="B48" s="1" t="s">
        <v>497</v>
      </c>
    </row>
    <row r="49" spans="1:2" x14ac:dyDescent="0.2">
      <c r="A49" s="1">
        <v>96</v>
      </c>
      <c r="B49" s="1" t="s">
        <v>507</v>
      </c>
    </row>
    <row r="50" spans="1:2" x14ac:dyDescent="0.2">
      <c r="A50" s="1">
        <v>100</v>
      </c>
      <c r="B50" s="1" t="s">
        <v>517</v>
      </c>
    </row>
    <row r="51" spans="1:2" x14ac:dyDescent="0.2">
      <c r="A51" s="1">
        <v>104</v>
      </c>
      <c r="B51" s="1" t="s">
        <v>524</v>
      </c>
    </row>
    <row r="52" spans="1:2" x14ac:dyDescent="0.2">
      <c r="A52" s="1">
        <v>107</v>
      </c>
      <c r="B52" s="1" t="s">
        <v>533</v>
      </c>
    </row>
    <row r="53" spans="1:2" x14ac:dyDescent="0.2">
      <c r="A53" s="1">
        <v>109</v>
      </c>
      <c r="B53" s="1" t="s">
        <v>544</v>
      </c>
    </row>
    <row r="54" spans="1:2" x14ac:dyDescent="0.2">
      <c r="A54" s="1">
        <v>110</v>
      </c>
      <c r="B54" s="1" t="s">
        <v>552</v>
      </c>
    </row>
    <row r="55" spans="1:2" x14ac:dyDescent="0.2">
      <c r="A55" s="1">
        <v>112</v>
      </c>
      <c r="B55" s="1" t="s">
        <v>560</v>
      </c>
    </row>
    <row r="56" spans="1:2" x14ac:dyDescent="0.2">
      <c r="A56" s="1">
        <v>118</v>
      </c>
      <c r="B56" s="1" t="s">
        <v>570</v>
      </c>
    </row>
    <row r="57" spans="1:2" x14ac:dyDescent="0.2">
      <c r="A57" s="1">
        <v>119</v>
      </c>
      <c r="B57" s="1" t="s">
        <v>182</v>
      </c>
    </row>
    <row r="58" spans="1:2" x14ac:dyDescent="0.2">
      <c r="A58" s="1">
        <v>120</v>
      </c>
      <c r="B58" s="1" t="s">
        <v>584</v>
      </c>
    </row>
    <row r="59" spans="1:2" x14ac:dyDescent="0.2">
      <c r="A59" s="1">
        <v>121</v>
      </c>
      <c r="B59" s="1" t="s">
        <v>592</v>
      </c>
    </row>
    <row r="60" spans="1:2" ht="45" x14ac:dyDescent="0.2">
      <c r="A60" s="1">
        <v>122</v>
      </c>
      <c r="B60" s="1" t="s">
        <v>600</v>
      </c>
    </row>
    <row r="61" spans="1:2" x14ac:dyDescent="0.2">
      <c r="A61" s="1">
        <v>127</v>
      </c>
      <c r="B61" s="1" t="s">
        <v>609</v>
      </c>
    </row>
    <row r="62" spans="1:2" x14ac:dyDescent="0.2">
      <c r="A62" s="1">
        <v>128</v>
      </c>
      <c r="B62" s="1" t="s">
        <v>182</v>
      </c>
    </row>
    <row r="63" spans="1:2" ht="60" x14ac:dyDescent="0.2">
      <c r="A63" s="1">
        <v>132</v>
      </c>
      <c r="B63" s="1" t="s">
        <v>626</v>
      </c>
    </row>
    <row r="64" spans="1:2" x14ac:dyDescent="0.2">
      <c r="A64" s="1">
        <v>135</v>
      </c>
      <c r="B64" s="1" t="s">
        <v>635</v>
      </c>
    </row>
    <row r="65" spans="1:2" ht="45" x14ac:dyDescent="0.2">
      <c r="A65" s="1">
        <v>136</v>
      </c>
      <c r="B65" s="1" t="s">
        <v>644</v>
      </c>
    </row>
    <row r="66" spans="1:2" ht="30" x14ac:dyDescent="0.2">
      <c r="A66" s="1">
        <v>138</v>
      </c>
      <c r="B66" s="1" t="s">
        <v>652</v>
      </c>
    </row>
    <row r="67" spans="1:2" ht="45" x14ac:dyDescent="0.2">
      <c r="A67" s="1">
        <v>139</v>
      </c>
      <c r="B67" s="1" t="s">
        <v>662</v>
      </c>
    </row>
    <row r="68" spans="1:2" ht="90" x14ac:dyDescent="0.2">
      <c r="A68" s="1">
        <v>140</v>
      </c>
      <c r="B68" s="1" t="s">
        <v>672</v>
      </c>
    </row>
    <row r="69" spans="1:2" ht="60" x14ac:dyDescent="0.2">
      <c r="A69" s="1">
        <v>148</v>
      </c>
      <c r="B69" s="1" t="s">
        <v>682</v>
      </c>
    </row>
    <row r="70" spans="1:2" x14ac:dyDescent="0.2">
      <c r="A70" s="1">
        <v>149</v>
      </c>
      <c r="B70" s="1" t="s">
        <v>689</v>
      </c>
    </row>
    <row r="71" spans="1:2" x14ac:dyDescent="0.2">
      <c r="A71" s="1">
        <v>150</v>
      </c>
      <c r="B71" s="1" t="s">
        <v>696</v>
      </c>
    </row>
    <row r="72" spans="1:2" x14ac:dyDescent="0.2">
      <c r="A72" s="1">
        <v>151</v>
      </c>
      <c r="B72" s="1" t="s">
        <v>708</v>
      </c>
    </row>
    <row r="73" spans="1:2" x14ac:dyDescent="0.2">
      <c r="A73" s="1">
        <v>152</v>
      </c>
      <c r="B73" s="1" t="s">
        <v>718</v>
      </c>
    </row>
    <row r="74" spans="1:2" x14ac:dyDescent="0.2">
      <c r="A74" s="1">
        <v>153</v>
      </c>
      <c r="B74" s="1" t="s">
        <v>727</v>
      </c>
    </row>
    <row r="75" spans="1:2" x14ac:dyDescent="0.2">
      <c r="A75" s="1">
        <v>157</v>
      </c>
      <c r="B75" s="1" t="s">
        <v>736</v>
      </c>
    </row>
    <row r="76" spans="1:2" x14ac:dyDescent="0.2">
      <c r="A76" s="1">
        <v>156</v>
      </c>
      <c r="B76" s="1" t="s">
        <v>747</v>
      </c>
    </row>
    <row r="77" spans="1:2" x14ac:dyDescent="0.2">
      <c r="A77" s="1">
        <v>162</v>
      </c>
      <c r="B77" s="1" t="s">
        <v>757</v>
      </c>
    </row>
    <row r="78" spans="1:2" x14ac:dyDescent="0.2">
      <c r="A78" s="1">
        <v>164</v>
      </c>
      <c r="B78" s="1" t="s">
        <v>767</v>
      </c>
    </row>
    <row r="79" spans="1:2" x14ac:dyDescent="0.2">
      <c r="A79" s="1">
        <v>166</v>
      </c>
      <c r="B79" s="1"/>
    </row>
    <row r="80" spans="1:2" x14ac:dyDescent="0.2">
      <c r="A80" s="1">
        <v>170</v>
      </c>
      <c r="B80" s="1" t="s">
        <v>781</v>
      </c>
    </row>
    <row r="81" spans="1:2" x14ac:dyDescent="0.2">
      <c r="A81" s="1">
        <v>173</v>
      </c>
      <c r="B81" s="1" t="s">
        <v>791</v>
      </c>
    </row>
    <row r="82" spans="1:2" x14ac:dyDescent="0.2">
      <c r="A82" s="1">
        <v>175</v>
      </c>
      <c r="B82" s="1" t="s">
        <v>800</v>
      </c>
    </row>
    <row r="83" spans="1:2" x14ac:dyDescent="0.2">
      <c r="A83" s="1">
        <v>178</v>
      </c>
      <c r="B83" s="1" t="s">
        <v>809</v>
      </c>
    </row>
    <row r="84" spans="1:2" ht="30" x14ac:dyDescent="0.2">
      <c r="A84" s="1">
        <v>183</v>
      </c>
      <c r="B84" s="1" t="s">
        <v>818</v>
      </c>
    </row>
    <row r="85" spans="1:2" ht="30" x14ac:dyDescent="0.2">
      <c r="A85" s="1">
        <v>185</v>
      </c>
      <c r="B85" s="1" t="s">
        <v>828</v>
      </c>
    </row>
    <row r="86" spans="1:2" x14ac:dyDescent="0.2">
      <c r="A86" s="1">
        <v>186</v>
      </c>
      <c r="B86" s="1"/>
    </row>
    <row r="87" spans="1:2" x14ac:dyDescent="0.2">
      <c r="A87" s="1">
        <v>189</v>
      </c>
      <c r="B87" s="1" t="s">
        <v>810</v>
      </c>
    </row>
    <row r="88" spans="1:2" ht="30" x14ac:dyDescent="0.2">
      <c r="A88" s="1">
        <v>190</v>
      </c>
      <c r="B88" s="1" t="s">
        <v>851</v>
      </c>
    </row>
    <row r="89" spans="1:2" ht="75" x14ac:dyDescent="0.2">
      <c r="A89" s="1">
        <v>192</v>
      </c>
      <c r="B89" s="1" t="s">
        <v>862</v>
      </c>
    </row>
    <row r="90" spans="1:2" x14ac:dyDescent="0.2">
      <c r="A90" s="1">
        <v>193</v>
      </c>
      <c r="B90" s="1"/>
    </row>
    <row r="91" spans="1:2" x14ac:dyDescent="0.2">
      <c r="A91" s="1">
        <v>196</v>
      </c>
      <c r="B91" s="1"/>
    </row>
    <row r="92" spans="1:2" x14ac:dyDescent="0.2">
      <c r="A92" s="1">
        <v>197</v>
      </c>
      <c r="B92" s="1" t="s">
        <v>886</v>
      </c>
    </row>
    <row r="93" spans="1:2" ht="30" x14ac:dyDescent="0.2">
      <c r="A93" s="1">
        <v>200</v>
      </c>
      <c r="B93" s="1" t="s">
        <v>893</v>
      </c>
    </row>
    <row r="94" spans="1:2" ht="30" x14ac:dyDescent="0.2">
      <c r="A94" s="1">
        <v>203</v>
      </c>
      <c r="B94" s="1" t="s">
        <v>898</v>
      </c>
    </row>
    <row r="95" spans="1:2" x14ac:dyDescent="0.2">
      <c r="A95" s="1">
        <v>204</v>
      </c>
      <c r="B95" s="1"/>
    </row>
    <row r="96" spans="1:2" x14ac:dyDescent="0.2">
      <c r="A96" s="1">
        <v>207</v>
      </c>
      <c r="B96" s="1"/>
    </row>
    <row r="97" spans="1:2" x14ac:dyDescent="0.2">
      <c r="A97" s="1">
        <v>208</v>
      </c>
      <c r="B97" s="1" t="s">
        <v>922</v>
      </c>
    </row>
    <row r="98" spans="1:2" ht="30" x14ac:dyDescent="0.2">
      <c r="A98" s="1">
        <v>210</v>
      </c>
      <c r="B98" s="1" t="s">
        <v>931</v>
      </c>
    </row>
    <row r="99" spans="1:2" x14ac:dyDescent="0.2">
      <c r="A99" s="1">
        <v>212</v>
      </c>
      <c r="B99" s="1" t="s">
        <v>941</v>
      </c>
    </row>
    <row r="100" spans="1:2" ht="30" x14ac:dyDescent="0.2">
      <c r="A100" s="1">
        <v>215</v>
      </c>
      <c r="B100" s="129" t="s">
        <v>951</v>
      </c>
    </row>
    <row r="101" spans="1:2" x14ac:dyDescent="0.2">
      <c r="A101" s="1">
        <v>217</v>
      </c>
      <c r="B101" s="1" t="s">
        <v>959</v>
      </c>
    </row>
    <row r="102" spans="1:2" x14ac:dyDescent="0.2">
      <c r="A102" s="1">
        <v>219</v>
      </c>
      <c r="B102" s="1" t="s">
        <v>967</v>
      </c>
    </row>
    <row r="103" spans="1:2" x14ac:dyDescent="0.2">
      <c r="A103" s="1">
        <v>221</v>
      </c>
      <c r="B103" s="1" t="s">
        <v>976</v>
      </c>
    </row>
    <row r="104" spans="1:2" x14ac:dyDescent="0.2">
      <c r="A104" s="1">
        <v>222</v>
      </c>
      <c r="B104" s="1" t="s">
        <v>984</v>
      </c>
    </row>
    <row r="105" spans="1:2" x14ac:dyDescent="0.2">
      <c r="A105" s="1">
        <v>223</v>
      </c>
      <c r="B105" s="1" t="s">
        <v>990</v>
      </c>
    </row>
    <row r="106" spans="1:2" ht="30" x14ac:dyDescent="0.2">
      <c r="A106" s="1">
        <v>226</v>
      </c>
      <c r="B106" s="1" t="s">
        <v>997</v>
      </c>
    </row>
    <row r="107" spans="1:2" x14ac:dyDescent="0.2">
      <c r="A107" s="1">
        <v>231</v>
      </c>
      <c r="B107" s="1" t="s">
        <v>1006</v>
      </c>
    </row>
    <row r="108" spans="1:2" x14ac:dyDescent="0.2">
      <c r="A108" s="1">
        <v>232</v>
      </c>
      <c r="B108" s="1" t="s">
        <v>1015</v>
      </c>
    </row>
    <row r="109" spans="1:2" x14ac:dyDescent="0.2">
      <c r="A109" s="1">
        <v>233</v>
      </c>
      <c r="B109" s="1"/>
    </row>
    <row r="110" spans="1:2" x14ac:dyDescent="0.2">
      <c r="A110" s="1">
        <v>236</v>
      </c>
      <c r="B110" s="1" t="s">
        <v>1033</v>
      </c>
    </row>
    <row r="111" spans="1:2" x14ac:dyDescent="0.2">
      <c r="A111" s="1">
        <v>238</v>
      </c>
      <c r="B111" s="1" t="s">
        <v>1044</v>
      </c>
    </row>
    <row r="112" spans="1:2" ht="60" x14ac:dyDescent="0.2">
      <c r="A112" s="1">
        <v>241</v>
      </c>
      <c r="B112" s="1" t="s">
        <v>1055</v>
      </c>
    </row>
    <row r="113" spans="1:2" x14ac:dyDescent="0.2">
      <c r="A113" s="1">
        <v>242</v>
      </c>
      <c r="B113" s="1"/>
    </row>
    <row r="114" spans="1:2" ht="45" x14ac:dyDescent="0.2">
      <c r="A114" s="1">
        <v>245</v>
      </c>
      <c r="B114" s="1" t="s">
        <v>1066</v>
      </c>
    </row>
    <row r="115" spans="1:2" ht="45" x14ac:dyDescent="0.2">
      <c r="A115" s="1">
        <v>247</v>
      </c>
      <c r="B115" s="1" t="s">
        <v>1075</v>
      </c>
    </row>
    <row r="116" spans="1:2" x14ac:dyDescent="0.2">
      <c r="A116" s="1">
        <v>249</v>
      </c>
      <c r="B116" s="1" t="s">
        <v>1085</v>
      </c>
    </row>
    <row r="117" spans="1:2" x14ac:dyDescent="0.2">
      <c r="A117" s="1">
        <v>250</v>
      </c>
      <c r="B117" s="1" t="s">
        <v>1093</v>
      </c>
    </row>
    <row r="118" spans="1:2" x14ac:dyDescent="0.2">
      <c r="A118" s="1">
        <v>254</v>
      </c>
      <c r="B118" s="1"/>
    </row>
    <row r="119" spans="1:2" x14ac:dyDescent="0.2">
      <c r="A119" s="1">
        <v>256</v>
      </c>
      <c r="B119" s="1"/>
    </row>
    <row r="120" spans="1:2" x14ac:dyDescent="0.2">
      <c r="A120" s="1">
        <v>257</v>
      </c>
      <c r="B120" s="1" t="s">
        <v>1122</v>
      </c>
    </row>
    <row r="121" spans="1:2" ht="30" x14ac:dyDescent="0.2">
      <c r="A121" s="1">
        <v>260</v>
      </c>
      <c r="B121" s="1" t="s">
        <v>1132</v>
      </c>
    </row>
    <row r="122" spans="1:2" x14ac:dyDescent="0.2">
      <c r="A122" s="1">
        <v>262</v>
      </c>
      <c r="B122" s="1" t="s">
        <v>1141</v>
      </c>
    </row>
    <row r="123" spans="1:2" x14ac:dyDescent="0.2">
      <c r="A123" s="1">
        <v>263</v>
      </c>
      <c r="B123" s="1" t="s">
        <v>771</v>
      </c>
    </row>
    <row r="124" spans="1:2" ht="90" x14ac:dyDescent="0.2">
      <c r="A124" s="1">
        <v>272</v>
      </c>
      <c r="B124" s="1" t="s">
        <v>1161</v>
      </c>
    </row>
    <row r="125" spans="1:2" ht="30" x14ac:dyDescent="0.2">
      <c r="A125" s="1">
        <v>273</v>
      </c>
      <c r="B125" s="1" t="s">
        <v>1171</v>
      </c>
    </row>
    <row r="126" spans="1:2" x14ac:dyDescent="0.2">
      <c r="A126" s="1">
        <v>280</v>
      </c>
      <c r="B126" s="1" t="s">
        <v>1180</v>
      </c>
    </row>
    <row r="127" spans="1:2" ht="45" x14ac:dyDescent="0.2">
      <c r="A127" s="1">
        <v>282</v>
      </c>
      <c r="B127" s="1" t="s">
        <v>1190</v>
      </c>
    </row>
    <row r="128" spans="1:2" ht="60" x14ac:dyDescent="0.2">
      <c r="A128" s="1">
        <v>286</v>
      </c>
      <c r="B128" s="1" t="s">
        <v>1201</v>
      </c>
    </row>
    <row r="129" spans="1:2" ht="30" x14ac:dyDescent="0.2">
      <c r="A129" s="1">
        <v>287</v>
      </c>
      <c r="B129" s="1" t="s">
        <v>1213</v>
      </c>
    </row>
    <row r="130" spans="1:2" x14ac:dyDescent="0.2">
      <c r="A130" s="1">
        <v>288</v>
      </c>
      <c r="B130" s="1"/>
    </row>
    <row r="131" spans="1:2" x14ac:dyDescent="0.2">
      <c r="A131" s="1">
        <v>289</v>
      </c>
      <c r="B131" s="1" t="s">
        <v>182</v>
      </c>
    </row>
    <row r="132" spans="1:2" x14ac:dyDescent="0.2">
      <c r="A132" s="1">
        <v>290</v>
      </c>
      <c r="B132" s="1" t="s">
        <v>182</v>
      </c>
    </row>
    <row r="133" spans="1:2" x14ac:dyDescent="0.2">
      <c r="A133" s="1">
        <v>291</v>
      </c>
      <c r="B133" s="1" t="s">
        <v>1243</v>
      </c>
    </row>
    <row r="134" spans="1:2" x14ac:dyDescent="0.2">
      <c r="A134" s="1">
        <v>293</v>
      </c>
      <c r="B134" s="1" t="s">
        <v>1252</v>
      </c>
    </row>
    <row r="135" spans="1:2" x14ac:dyDescent="0.2">
      <c r="A135" s="1">
        <v>294</v>
      </c>
      <c r="B135" s="1" t="s">
        <v>1260</v>
      </c>
    </row>
    <row r="136" spans="1:2" x14ac:dyDescent="0.2">
      <c r="A136" s="1">
        <v>295</v>
      </c>
      <c r="B136" s="1" t="s">
        <v>1270</v>
      </c>
    </row>
    <row r="137" spans="1:2" ht="60" x14ac:dyDescent="0.2">
      <c r="A137" s="1">
        <v>297</v>
      </c>
      <c r="B137" s="1" t="s">
        <v>1280</v>
      </c>
    </row>
    <row r="138" spans="1:2" ht="45" x14ac:dyDescent="0.2">
      <c r="A138" s="1">
        <v>298</v>
      </c>
      <c r="B138" s="1" t="s">
        <v>1288</v>
      </c>
    </row>
    <row r="139" spans="1:2" x14ac:dyDescent="0.2">
      <c r="A139" s="1">
        <v>300</v>
      </c>
      <c r="B139" s="1" t="s">
        <v>182</v>
      </c>
    </row>
    <row r="140" spans="1:2" ht="75" x14ac:dyDescent="0.2">
      <c r="A140" s="1">
        <v>301</v>
      </c>
      <c r="B140" s="1" t="s">
        <v>1303</v>
      </c>
    </row>
    <row r="141" spans="1:2" x14ac:dyDescent="0.2">
      <c r="A141" s="1">
        <v>302</v>
      </c>
      <c r="B141" s="1" t="s">
        <v>1311</v>
      </c>
    </row>
    <row r="142" spans="1:2" x14ac:dyDescent="0.2">
      <c r="A142" s="6">
        <v>303</v>
      </c>
      <c r="B142" s="6" t="s">
        <v>1319</v>
      </c>
    </row>
    <row r="143" spans="1:2" x14ac:dyDescent="0.2">
      <c r="A143" s="1">
        <v>304</v>
      </c>
      <c r="B143" s="1" t="s">
        <v>1327</v>
      </c>
    </row>
    <row r="144" spans="1:2" ht="45" x14ac:dyDescent="0.2">
      <c r="A144" s="1">
        <v>305</v>
      </c>
      <c r="B144" s="1" t="s">
        <v>1338</v>
      </c>
    </row>
    <row r="145" spans="1:2" x14ac:dyDescent="0.2">
      <c r="A145" s="1">
        <v>307</v>
      </c>
      <c r="B145" s="1" t="s">
        <v>1343</v>
      </c>
    </row>
    <row r="146" spans="1:2" ht="30" x14ac:dyDescent="0.2">
      <c r="A146" s="1">
        <v>308</v>
      </c>
      <c r="B146" s="1" t="s">
        <v>1352</v>
      </c>
    </row>
    <row r="147" spans="1:2" x14ac:dyDescent="0.2">
      <c r="A147" s="1">
        <v>310</v>
      </c>
      <c r="B147" s="1" t="s">
        <v>1442</v>
      </c>
    </row>
    <row r="148" spans="1:2" x14ac:dyDescent="0.2">
      <c r="A148" s="1">
        <v>312</v>
      </c>
      <c r="B148" s="1" t="s">
        <v>1180</v>
      </c>
    </row>
    <row r="149" spans="1:2" ht="90" x14ac:dyDescent="0.2">
      <c r="A149" s="1">
        <v>314</v>
      </c>
      <c r="B149" s="1" t="s">
        <v>1443</v>
      </c>
    </row>
    <row r="150" spans="1:2" ht="30" x14ac:dyDescent="0.2">
      <c r="A150" s="1">
        <v>315</v>
      </c>
      <c r="B150" s="1" t="s">
        <v>1444</v>
      </c>
    </row>
    <row r="151" spans="1:2" ht="45" x14ac:dyDescent="0.2">
      <c r="A151" s="1">
        <v>316</v>
      </c>
      <c r="B151" s="1" t="s">
        <v>1445</v>
      </c>
    </row>
    <row r="152" spans="1:2" x14ac:dyDescent="0.2">
      <c r="A152" s="1">
        <v>317</v>
      </c>
      <c r="B152" s="1" t="s">
        <v>1446</v>
      </c>
    </row>
    <row r="153" spans="1:2" x14ac:dyDescent="0.2">
      <c r="A153" s="1">
        <v>319</v>
      </c>
      <c r="B153" s="1" t="s">
        <v>1447</v>
      </c>
    </row>
    <row r="154" spans="1:2" ht="30" x14ac:dyDescent="0.2">
      <c r="A154" s="1">
        <v>323</v>
      </c>
      <c r="B154" s="1" t="s">
        <v>818</v>
      </c>
    </row>
    <row r="155" spans="1:2" x14ac:dyDescent="0.2">
      <c r="A155" s="1">
        <v>324</v>
      </c>
      <c r="B155" s="1" t="s">
        <v>1448</v>
      </c>
    </row>
    <row r="156" spans="1:2" x14ac:dyDescent="0.2">
      <c r="A156" s="1">
        <v>325</v>
      </c>
      <c r="B156" s="1" t="s">
        <v>767</v>
      </c>
    </row>
    <row r="157" spans="1:2" x14ac:dyDescent="0.2">
      <c r="A157" s="1">
        <v>327</v>
      </c>
      <c r="B157" s="1" t="s">
        <v>1449</v>
      </c>
    </row>
    <row r="158" spans="1:2" x14ac:dyDescent="0.2">
      <c r="A158" s="1">
        <v>328</v>
      </c>
      <c r="B158" s="1" t="s">
        <v>1450</v>
      </c>
    </row>
    <row r="159" spans="1:2" ht="30" x14ac:dyDescent="0.2">
      <c r="A159" s="1">
        <v>329</v>
      </c>
      <c r="B159" s="1" t="s">
        <v>1451</v>
      </c>
    </row>
    <row r="160" spans="1:2" x14ac:dyDescent="0.2">
      <c r="A160" s="8">
        <v>331</v>
      </c>
      <c r="B160" s="1" t="s">
        <v>1518</v>
      </c>
    </row>
    <row r="161" spans="1:2" x14ac:dyDescent="0.2">
      <c r="A161" s="8">
        <v>332</v>
      </c>
      <c r="B161" s="1" t="s">
        <v>1519</v>
      </c>
    </row>
    <row r="162" spans="1:2" x14ac:dyDescent="0.2">
      <c r="A162" s="8">
        <v>334</v>
      </c>
      <c r="B162" s="1" t="s">
        <v>1520</v>
      </c>
    </row>
    <row r="163" spans="1:2" x14ac:dyDescent="0.2">
      <c r="A163" s="8">
        <v>336</v>
      </c>
      <c r="B163" s="1" t="s">
        <v>1516</v>
      </c>
    </row>
    <row r="164" spans="1:2" x14ac:dyDescent="0.2">
      <c r="A164" s="8">
        <v>337</v>
      </c>
      <c r="B164" s="1" t="s">
        <v>374</v>
      </c>
    </row>
  </sheetData>
  <pageMargins left="0.7" right="0.7" top="0.75" bottom="0.75" header="0.3" footer="0.3"/>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4"/>
  <sheetViews>
    <sheetView workbookViewId="0">
      <selection activeCell="E5" sqref="E5"/>
    </sheetView>
  </sheetViews>
  <sheetFormatPr baseColWidth="10" defaultColWidth="8.83203125" defaultRowHeight="15" x14ac:dyDescent="0.2"/>
  <cols>
    <col min="1" max="1" width="12.5" customWidth="1"/>
    <col min="2" max="2" width="43.83203125" customWidth="1"/>
    <col min="4" max="4" width="10" bestFit="1" customWidth="1"/>
  </cols>
  <sheetData>
    <row r="1" spans="1:6" x14ac:dyDescent="0.2">
      <c r="A1" s="1" t="s">
        <v>0</v>
      </c>
      <c r="B1" s="1" t="s">
        <v>29</v>
      </c>
    </row>
    <row r="2" spans="1:6" x14ac:dyDescent="0.2">
      <c r="A2" s="1">
        <v>2</v>
      </c>
      <c r="B2" s="1" t="s">
        <v>46</v>
      </c>
      <c r="D2" s="22" t="s">
        <v>1373</v>
      </c>
      <c r="E2" s="23">
        <f>COUNTIF(B2:B164,"Yes")+COUNTIF(B2:B164,"No")</f>
        <v>148</v>
      </c>
      <c r="F2" s="24" t="s">
        <v>1375</v>
      </c>
    </row>
    <row r="3" spans="1:6" x14ac:dyDescent="0.2">
      <c r="A3" s="1">
        <v>5</v>
      </c>
      <c r="B3" s="1" t="s">
        <v>47</v>
      </c>
      <c r="D3" s="11" t="s">
        <v>47</v>
      </c>
      <c r="E3" s="16">
        <f>COUNTIF(B2:B164,"Yes")</f>
        <v>44</v>
      </c>
      <c r="F3" s="19">
        <f>E3/E2*100</f>
        <v>29.72972972972973</v>
      </c>
    </row>
    <row r="4" spans="1:6" x14ac:dyDescent="0.2">
      <c r="A4" s="1">
        <v>6</v>
      </c>
      <c r="B4" s="1" t="s">
        <v>47</v>
      </c>
      <c r="D4" s="10" t="s">
        <v>46</v>
      </c>
      <c r="E4" s="25">
        <f>COUNTIF(B2:B164,"No")</f>
        <v>104</v>
      </c>
      <c r="F4" s="21">
        <f>E4/E2*100</f>
        <v>70.270270270270274</v>
      </c>
    </row>
    <row r="5" spans="1:6" x14ac:dyDescent="0.2">
      <c r="A5" s="1">
        <v>11</v>
      </c>
      <c r="B5" s="1" t="s">
        <v>47</v>
      </c>
    </row>
    <row r="6" spans="1:6" x14ac:dyDescent="0.2">
      <c r="A6" s="1">
        <v>18</v>
      </c>
      <c r="B6" s="1" t="s">
        <v>56</v>
      </c>
    </row>
    <row r="7" spans="1:6" x14ac:dyDescent="0.2">
      <c r="A7" s="1">
        <v>21</v>
      </c>
      <c r="B7" s="1" t="s">
        <v>56</v>
      </c>
    </row>
    <row r="8" spans="1:6" x14ac:dyDescent="0.2">
      <c r="A8" s="1">
        <v>22</v>
      </c>
      <c r="B8" s="1" t="s">
        <v>47</v>
      </c>
    </row>
    <row r="9" spans="1:6" x14ac:dyDescent="0.2">
      <c r="A9" s="1">
        <v>26</v>
      </c>
      <c r="B9" s="1" t="s">
        <v>56</v>
      </c>
    </row>
    <row r="10" spans="1:6" x14ac:dyDescent="0.2">
      <c r="A10" s="1">
        <v>30</v>
      </c>
      <c r="B10" s="1" t="s">
        <v>47</v>
      </c>
    </row>
    <row r="11" spans="1:6" x14ac:dyDescent="0.2">
      <c r="A11" s="1">
        <v>31</v>
      </c>
      <c r="B11" s="1" t="s">
        <v>47</v>
      </c>
    </row>
    <row r="12" spans="1:6" x14ac:dyDescent="0.2">
      <c r="A12" s="1">
        <v>28</v>
      </c>
      <c r="B12" s="1" t="s">
        <v>46</v>
      </c>
    </row>
    <row r="13" spans="1:6" x14ac:dyDescent="0.2">
      <c r="A13" s="1">
        <v>32</v>
      </c>
      <c r="B13" s="1" t="s">
        <v>46</v>
      </c>
    </row>
    <row r="14" spans="1:6" x14ac:dyDescent="0.2">
      <c r="A14" s="1">
        <v>34</v>
      </c>
      <c r="B14" s="1" t="s">
        <v>46</v>
      </c>
    </row>
    <row r="15" spans="1:6" x14ac:dyDescent="0.2">
      <c r="A15" s="1">
        <v>35</v>
      </c>
      <c r="B15" s="1" t="s">
        <v>46</v>
      </c>
    </row>
    <row r="16" spans="1:6" x14ac:dyDescent="0.2">
      <c r="A16" s="1">
        <v>36</v>
      </c>
      <c r="B16" s="1" t="s">
        <v>46</v>
      </c>
    </row>
    <row r="17" spans="1:2" x14ac:dyDescent="0.2">
      <c r="A17" s="1">
        <v>38</v>
      </c>
      <c r="B17" s="1" t="s">
        <v>46</v>
      </c>
    </row>
    <row r="18" spans="1:2" x14ac:dyDescent="0.2">
      <c r="A18" s="1">
        <v>40</v>
      </c>
      <c r="B18" s="1" t="s">
        <v>47</v>
      </c>
    </row>
    <row r="19" spans="1:2" x14ac:dyDescent="0.2">
      <c r="A19" s="1">
        <v>41</v>
      </c>
      <c r="B19" s="1" t="s">
        <v>46</v>
      </c>
    </row>
    <row r="20" spans="1:2" x14ac:dyDescent="0.2">
      <c r="A20" s="1">
        <v>42</v>
      </c>
      <c r="B20" s="1" t="s">
        <v>46</v>
      </c>
    </row>
    <row r="21" spans="1:2" x14ac:dyDescent="0.2">
      <c r="A21" s="1">
        <v>44</v>
      </c>
      <c r="B21" s="1" t="s">
        <v>46</v>
      </c>
    </row>
    <row r="22" spans="1:2" x14ac:dyDescent="0.2">
      <c r="A22" s="1">
        <v>46</v>
      </c>
      <c r="B22" s="1" t="s">
        <v>46</v>
      </c>
    </row>
    <row r="23" spans="1:2" x14ac:dyDescent="0.2">
      <c r="A23" s="1">
        <v>47</v>
      </c>
      <c r="B23" s="1" t="s">
        <v>46</v>
      </c>
    </row>
    <row r="24" spans="1:2" x14ac:dyDescent="0.2">
      <c r="A24" s="1">
        <v>49</v>
      </c>
      <c r="B24" s="1" t="s">
        <v>46</v>
      </c>
    </row>
    <row r="25" spans="1:2" x14ac:dyDescent="0.2">
      <c r="A25" s="1">
        <v>50</v>
      </c>
      <c r="B25" s="1" t="s">
        <v>46</v>
      </c>
    </row>
    <row r="26" spans="1:2" x14ac:dyDescent="0.2">
      <c r="A26" s="1">
        <v>51</v>
      </c>
      <c r="B26" s="1" t="s">
        <v>46</v>
      </c>
    </row>
    <row r="27" spans="1:2" x14ac:dyDescent="0.2">
      <c r="A27" s="1">
        <v>53</v>
      </c>
      <c r="B27" s="1" t="s">
        <v>47</v>
      </c>
    </row>
    <row r="28" spans="1:2" x14ac:dyDescent="0.2">
      <c r="A28" s="1">
        <v>55</v>
      </c>
      <c r="B28" s="1" t="s">
        <v>56</v>
      </c>
    </row>
    <row r="29" spans="1:2" x14ac:dyDescent="0.2">
      <c r="A29" s="1">
        <v>60</v>
      </c>
      <c r="B29" s="1" t="s">
        <v>46</v>
      </c>
    </row>
    <row r="30" spans="1:2" x14ac:dyDescent="0.2">
      <c r="A30" s="1">
        <v>61</v>
      </c>
      <c r="B30" s="1" t="s">
        <v>46</v>
      </c>
    </row>
    <row r="31" spans="1:2" x14ac:dyDescent="0.2">
      <c r="A31" s="1">
        <v>62</v>
      </c>
      <c r="B31" s="1" t="s">
        <v>47</v>
      </c>
    </row>
    <row r="32" spans="1:2" x14ac:dyDescent="0.2">
      <c r="A32" s="1">
        <v>65</v>
      </c>
      <c r="B32" s="1" t="s">
        <v>46</v>
      </c>
    </row>
    <row r="33" spans="1:2" x14ac:dyDescent="0.2">
      <c r="A33" s="1">
        <v>70</v>
      </c>
      <c r="B33" s="1" t="s">
        <v>46</v>
      </c>
    </row>
    <row r="34" spans="1:2" x14ac:dyDescent="0.2">
      <c r="A34" s="1">
        <v>71</v>
      </c>
      <c r="B34" s="1" t="s">
        <v>46</v>
      </c>
    </row>
    <row r="35" spans="1:2" x14ac:dyDescent="0.2">
      <c r="A35" s="1">
        <v>72</v>
      </c>
      <c r="B35" s="1" t="s">
        <v>47</v>
      </c>
    </row>
    <row r="36" spans="1:2" x14ac:dyDescent="0.2">
      <c r="A36" s="1">
        <v>74</v>
      </c>
      <c r="B36" s="1" t="s">
        <v>46</v>
      </c>
    </row>
    <row r="37" spans="1:2" x14ac:dyDescent="0.2">
      <c r="A37" s="1">
        <v>75</v>
      </c>
      <c r="B37" s="1" t="s">
        <v>46</v>
      </c>
    </row>
    <row r="38" spans="1:2" x14ac:dyDescent="0.2">
      <c r="A38" s="1">
        <v>76</v>
      </c>
      <c r="B38" s="1" t="s">
        <v>47</v>
      </c>
    </row>
    <row r="39" spans="1:2" x14ac:dyDescent="0.2">
      <c r="A39" s="1">
        <v>78</v>
      </c>
      <c r="B39" s="1" t="s">
        <v>47</v>
      </c>
    </row>
    <row r="40" spans="1:2" x14ac:dyDescent="0.2">
      <c r="A40" s="1">
        <v>79</v>
      </c>
      <c r="B40" s="1" t="s">
        <v>46</v>
      </c>
    </row>
    <row r="41" spans="1:2" x14ac:dyDescent="0.2">
      <c r="A41" s="1">
        <v>80</v>
      </c>
      <c r="B41" s="1" t="s">
        <v>46</v>
      </c>
    </row>
    <row r="42" spans="1:2" x14ac:dyDescent="0.2">
      <c r="A42" s="1">
        <v>87</v>
      </c>
      <c r="B42" s="1" t="s">
        <v>47</v>
      </c>
    </row>
    <row r="43" spans="1:2" x14ac:dyDescent="0.2">
      <c r="A43" s="1">
        <v>89</v>
      </c>
      <c r="B43" s="1" t="s">
        <v>46</v>
      </c>
    </row>
    <row r="44" spans="1:2" x14ac:dyDescent="0.2">
      <c r="A44" s="1">
        <v>90</v>
      </c>
      <c r="B44" s="1" t="s">
        <v>47</v>
      </c>
    </row>
    <row r="45" spans="1:2" x14ac:dyDescent="0.2">
      <c r="A45" s="1">
        <v>91</v>
      </c>
      <c r="B45" s="1" t="s">
        <v>46</v>
      </c>
    </row>
    <row r="46" spans="1:2" x14ac:dyDescent="0.2">
      <c r="A46" s="1">
        <v>92</v>
      </c>
      <c r="B46" s="1" t="s">
        <v>46</v>
      </c>
    </row>
    <row r="47" spans="1:2" x14ac:dyDescent="0.2">
      <c r="A47" s="1">
        <v>93</v>
      </c>
      <c r="B47" s="1" t="s">
        <v>47</v>
      </c>
    </row>
    <row r="48" spans="1:2" x14ac:dyDescent="0.2">
      <c r="A48" s="1">
        <v>95</v>
      </c>
      <c r="B48" s="1" t="s">
        <v>47</v>
      </c>
    </row>
    <row r="49" spans="1:2" x14ac:dyDescent="0.2">
      <c r="A49" s="1">
        <v>96</v>
      </c>
      <c r="B49" s="1" t="s">
        <v>47</v>
      </c>
    </row>
    <row r="50" spans="1:2" x14ac:dyDescent="0.2">
      <c r="A50" s="1">
        <v>100</v>
      </c>
      <c r="B50" s="1" t="s">
        <v>46</v>
      </c>
    </row>
    <row r="51" spans="1:2" x14ac:dyDescent="0.2">
      <c r="A51" s="1">
        <v>104</v>
      </c>
      <c r="B51" s="1" t="s">
        <v>46</v>
      </c>
    </row>
    <row r="52" spans="1:2" x14ac:dyDescent="0.2">
      <c r="A52" s="1">
        <v>107</v>
      </c>
      <c r="B52" s="1" t="s">
        <v>46</v>
      </c>
    </row>
    <row r="53" spans="1:2" x14ac:dyDescent="0.2">
      <c r="A53" s="1">
        <v>109</v>
      </c>
      <c r="B53" s="1" t="s">
        <v>46</v>
      </c>
    </row>
    <row r="54" spans="1:2" x14ac:dyDescent="0.2">
      <c r="A54" s="1">
        <v>110</v>
      </c>
      <c r="B54" s="1" t="s">
        <v>46</v>
      </c>
    </row>
    <row r="55" spans="1:2" x14ac:dyDescent="0.2">
      <c r="A55" s="1">
        <v>112</v>
      </c>
      <c r="B55" s="1" t="s">
        <v>46</v>
      </c>
    </row>
    <row r="56" spans="1:2" x14ac:dyDescent="0.2">
      <c r="A56" s="1">
        <v>118</v>
      </c>
      <c r="B56" s="1" t="s">
        <v>46</v>
      </c>
    </row>
    <row r="57" spans="1:2" x14ac:dyDescent="0.2">
      <c r="A57" s="1">
        <v>119</v>
      </c>
      <c r="B57" s="1" t="s">
        <v>46</v>
      </c>
    </row>
    <row r="58" spans="1:2" x14ac:dyDescent="0.2">
      <c r="A58" s="1">
        <v>120</v>
      </c>
      <c r="B58" s="1" t="s">
        <v>46</v>
      </c>
    </row>
    <row r="59" spans="1:2" x14ac:dyDescent="0.2">
      <c r="A59" s="1">
        <v>121</v>
      </c>
      <c r="B59" s="1" t="s">
        <v>46</v>
      </c>
    </row>
    <row r="60" spans="1:2" x14ac:dyDescent="0.2">
      <c r="A60" s="1">
        <v>122</v>
      </c>
      <c r="B60" s="1" t="s">
        <v>47</v>
      </c>
    </row>
    <row r="61" spans="1:2" x14ac:dyDescent="0.2">
      <c r="A61" s="1">
        <v>127</v>
      </c>
      <c r="B61" s="1" t="s">
        <v>46</v>
      </c>
    </row>
    <row r="62" spans="1:2" x14ac:dyDescent="0.2">
      <c r="A62" s="1">
        <v>128</v>
      </c>
      <c r="B62" s="1" t="s">
        <v>47</v>
      </c>
    </row>
    <row r="63" spans="1:2" x14ac:dyDescent="0.2">
      <c r="A63" s="1">
        <v>132</v>
      </c>
      <c r="B63" s="1" t="s">
        <v>46</v>
      </c>
    </row>
    <row r="64" spans="1:2" x14ac:dyDescent="0.2">
      <c r="A64" s="1">
        <v>135</v>
      </c>
      <c r="B64" s="1" t="s">
        <v>46</v>
      </c>
    </row>
    <row r="65" spans="1:2" x14ac:dyDescent="0.2">
      <c r="A65" s="1">
        <v>136</v>
      </c>
      <c r="B65" s="1" t="s">
        <v>46</v>
      </c>
    </row>
    <row r="66" spans="1:2" x14ac:dyDescent="0.2">
      <c r="A66" s="1">
        <v>138</v>
      </c>
      <c r="B66" s="1" t="s">
        <v>46</v>
      </c>
    </row>
    <row r="67" spans="1:2" x14ac:dyDescent="0.2">
      <c r="A67" s="1">
        <v>139</v>
      </c>
      <c r="B67" s="1" t="s">
        <v>47</v>
      </c>
    </row>
    <row r="68" spans="1:2" x14ac:dyDescent="0.2">
      <c r="A68" s="1">
        <v>140</v>
      </c>
      <c r="B68" s="1" t="s">
        <v>46</v>
      </c>
    </row>
    <row r="69" spans="1:2" x14ac:dyDescent="0.2">
      <c r="A69" s="1">
        <v>148</v>
      </c>
      <c r="B69" s="1" t="s">
        <v>46</v>
      </c>
    </row>
    <row r="70" spans="1:2" x14ac:dyDescent="0.2">
      <c r="A70" s="1">
        <v>149</v>
      </c>
      <c r="B70" s="1" t="s">
        <v>46</v>
      </c>
    </row>
    <row r="71" spans="1:2" x14ac:dyDescent="0.2">
      <c r="A71" s="1">
        <v>150</v>
      </c>
      <c r="B71" s="1" t="s">
        <v>47</v>
      </c>
    </row>
    <row r="72" spans="1:2" x14ac:dyDescent="0.2">
      <c r="A72" s="1">
        <v>151</v>
      </c>
      <c r="B72" s="1" t="s">
        <v>46</v>
      </c>
    </row>
    <row r="73" spans="1:2" x14ac:dyDescent="0.2">
      <c r="A73" s="1">
        <v>152</v>
      </c>
      <c r="B73" s="1" t="s">
        <v>46</v>
      </c>
    </row>
    <row r="74" spans="1:2" x14ac:dyDescent="0.2">
      <c r="A74" s="1">
        <v>153</v>
      </c>
      <c r="B74" s="1" t="s">
        <v>46</v>
      </c>
    </row>
    <row r="75" spans="1:2" x14ac:dyDescent="0.2">
      <c r="A75" s="1">
        <v>157</v>
      </c>
      <c r="B75" s="1" t="s">
        <v>47</v>
      </c>
    </row>
    <row r="76" spans="1:2" x14ac:dyDescent="0.2">
      <c r="A76" s="1">
        <v>156</v>
      </c>
      <c r="B76" s="1" t="s">
        <v>46</v>
      </c>
    </row>
    <row r="77" spans="1:2" x14ac:dyDescent="0.2">
      <c r="A77" s="1">
        <v>162</v>
      </c>
      <c r="B77" s="1" t="s">
        <v>46</v>
      </c>
    </row>
    <row r="78" spans="1:2" x14ac:dyDescent="0.2">
      <c r="A78" s="1">
        <v>164</v>
      </c>
      <c r="B78" s="1" t="s">
        <v>46</v>
      </c>
    </row>
    <row r="79" spans="1:2" x14ac:dyDescent="0.2">
      <c r="A79" s="1">
        <v>166</v>
      </c>
      <c r="B79" s="1" t="s">
        <v>56</v>
      </c>
    </row>
    <row r="80" spans="1:2" x14ac:dyDescent="0.2">
      <c r="A80" s="1">
        <v>170</v>
      </c>
      <c r="B80" s="1" t="s">
        <v>47</v>
      </c>
    </row>
    <row r="81" spans="1:2" x14ac:dyDescent="0.2">
      <c r="A81" s="1">
        <v>173</v>
      </c>
      <c r="B81" s="1" t="s">
        <v>47</v>
      </c>
    </row>
    <row r="82" spans="1:2" x14ac:dyDescent="0.2">
      <c r="A82" s="1">
        <v>175</v>
      </c>
      <c r="B82" s="1" t="s">
        <v>47</v>
      </c>
    </row>
    <row r="83" spans="1:2" x14ac:dyDescent="0.2">
      <c r="A83" s="1">
        <v>178</v>
      </c>
      <c r="B83" s="1" t="s">
        <v>46</v>
      </c>
    </row>
    <row r="84" spans="1:2" x14ac:dyDescent="0.2">
      <c r="A84" s="1">
        <v>183</v>
      </c>
      <c r="B84" s="1" t="s">
        <v>47</v>
      </c>
    </row>
    <row r="85" spans="1:2" x14ac:dyDescent="0.2">
      <c r="A85" s="1">
        <v>185</v>
      </c>
      <c r="B85" s="1" t="s">
        <v>46</v>
      </c>
    </row>
    <row r="86" spans="1:2" x14ac:dyDescent="0.2">
      <c r="A86" s="1">
        <v>186</v>
      </c>
      <c r="B86" s="1" t="s">
        <v>56</v>
      </c>
    </row>
    <row r="87" spans="1:2" x14ac:dyDescent="0.2">
      <c r="A87" s="1">
        <v>189</v>
      </c>
      <c r="B87" s="1" t="s">
        <v>47</v>
      </c>
    </row>
    <row r="88" spans="1:2" x14ac:dyDescent="0.2">
      <c r="A88" s="1">
        <v>190</v>
      </c>
      <c r="B88" s="1" t="s">
        <v>46</v>
      </c>
    </row>
    <row r="89" spans="1:2" x14ac:dyDescent="0.2">
      <c r="A89" s="1">
        <v>192</v>
      </c>
      <c r="B89" s="1" t="s">
        <v>46</v>
      </c>
    </row>
    <row r="90" spans="1:2" x14ac:dyDescent="0.2">
      <c r="A90" s="1">
        <v>193</v>
      </c>
      <c r="B90" s="1" t="s">
        <v>56</v>
      </c>
    </row>
    <row r="91" spans="1:2" x14ac:dyDescent="0.2">
      <c r="A91" s="1">
        <v>196</v>
      </c>
      <c r="B91" s="1" t="s">
        <v>56</v>
      </c>
    </row>
    <row r="92" spans="1:2" x14ac:dyDescent="0.2">
      <c r="A92" s="1">
        <v>197</v>
      </c>
      <c r="B92" s="1" t="s">
        <v>46</v>
      </c>
    </row>
    <row r="93" spans="1:2" x14ac:dyDescent="0.2">
      <c r="A93" s="1">
        <v>200</v>
      </c>
      <c r="B93" s="1" t="s">
        <v>46</v>
      </c>
    </row>
    <row r="94" spans="1:2" x14ac:dyDescent="0.2">
      <c r="A94" s="1">
        <v>203</v>
      </c>
      <c r="B94" s="1" t="s">
        <v>47</v>
      </c>
    </row>
    <row r="95" spans="1:2" x14ac:dyDescent="0.2">
      <c r="A95" s="1">
        <v>204</v>
      </c>
      <c r="B95" s="1" t="s">
        <v>56</v>
      </c>
    </row>
    <row r="96" spans="1:2" x14ac:dyDescent="0.2">
      <c r="A96" s="1">
        <v>207</v>
      </c>
      <c r="B96" s="1" t="s">
        <v>56</v>
      </c>
    </row>
    <row r="97" spans="1:2" x14ac:dyDescent="0.2">
      <c r="A97" s="1">
        <v>208</v>
      </c>
      <c r="B97" s="1" t="s">
        <v>47</v>
      </c>
    </row>
    <row r="98" spans="1:2" x14ac:dyDescent="0.2">
      <c r="A98" s="1">
        <v>210</v>
      </c>
      <c r="B98" s="1" t="s">
        <v>47</v>
      </c>
    </row>
    <row r="99" spans="1:2" x14ac:dyDescent="0.2">
      <c r="A99" s="1">
        <v>212</v>
      </c>
      <c r="B99" s="1" t="s">
        <v>46</v>
      </c>
    </row>
    <row r="100" spans="1:2" x14ac:dyDescent="0.2">
      <c r="A100" s="1">
        <v>215</v>
      </c>
      <c r="B100" s="1" t="s">
        <v>47</v>
      </c>
    </row>
    <row r="101" spans="1:2" x14ac:dyDescent="0.2">
      <c r="A101" s="1">
        <v>217</v>
      </c>
      <c r="B101" s="1" t="s">
        <v>46</v>
      </c>
    </row>
    <row r="102" spans="1:2" x14ac:dyDescent="0.2">
      <c r="A102" s="1">
        <v>219</v>
      </c>
      <c r="B102" s="1" t="s">
        <v>46</v>
      </c>
    </row>
    <row r="103" spans="1:2" x14ac:dyDescent="0.2">
      <c r="A103" s="1">
        <v>221</v>
      </c>
      <c r="B103" s="1" t="s">
        <v>46</v>
      </c>
    </row>
    <row r="104" spans="1:2" x14ac:dyDescent="0.2">
      <c r="A104" s="1">
        <v>222</v>
      </c>
      <c r="B104" s="1" t="s">
        <v>46</v>
      </c>
    </row>
    <row r="105" spans="1:2" x14ac:dyDescent="0.2">
      <c r="A105" s="1">
        <v>223</v>
      </c>
      <c r="B105" s="1" t="s">
        <v>46</v>
      </c>
    </row>
    <row r="106" spans="1:2" x14ac:dyDescent="0.2">
      <c r="A106" s="1">
        <v>226</v>
      </c>
      <c r="B106" s="1" t="s">
        <v>47</v>
      </c>
    </row>
    <row r="107" spans="1:2" x14ac:dyDescent="0.2">
      <c r="A107" s="1">
        <v>231</v>
      </c>
      <c r="B107" s="1" t="s">
        <v>47</v>
      </c>
    </row>
    <row r="108" spans="1:2" x14ac:dyDescent="0.2">
      <c r="A108" s="1">
        <v>232</v>
      </c>
      <c r="B108" s="1" t="s">
        <v>46</v>
      </c>
    </row>
    <row r="109" spans="1:2" x14ac:dyDescent="0.2">
      <c r="A109" s="1">
        <v>233</v>
      </c>
      <c r="B109" s="1" t="s">
        <v>56</v>
      </c>
    </row>
    <row r="110" spans="1:2" x14ac:dyDescent="0.2">
      <c r="A110" s="1">
        <v>236</v>
      </c>
      <c r="B110" s="1" t="s">
        <v>47</v>
      </c>
    </row>
    <row r="111" spans="1:2" x14ac:dyDescent="0.2">
      <c r="A111" s="1">
        <v>238</v>
      </c>
      <c r="B111" s="1" t="s">
        <v>46</v>
      </c>
    </row>
    <row r="112" spans="1:2" x14ac:dyDescent="0.2">
      <c r="A112" s="1">
        <v>241</v>
      </c>
      <c r="B112" s="1" t="s">
        <v>46</v>
      </c>
    </row>
    <row r="113" spans="1:2" x14ac:dyDescent="0.2">
      <c r="A113" s="1">
        <v>242</v>
      </c>
      <c r="B113" s="1" t="s">
        <v>56</v>
      </c>
    </row>
    <row r="114" spans="1:2" x14ac:dyDescent="0.2">
      <c r="A114" s="1">
        <v>245</v>
      </c>
      <c r="B114" s="1" t="s">
        <v>46</v>
      </c>
    </row>
    <row r="115" spans="1:2" x14ac:dyDescent="0.2">
      <c r="A115" s="1">
        <v>247</v>
      </c>
      <c r="B115" s="1" t="s">
        <v>46</v>
      </c>
    </row>
    <row r="116" spans="1:2" x14ac:dyDescent="0.2">
      <c r="A116" s="1">
        <v>249</v>
      </c>
      <c r="B116" s="1" t="s">
        <v>46</v>
      </c>
    </row>
    <row r="117" spans="1:2" x14ac:dyDescent="0.2">
      <c r="A117" s="1">
        <v>250</v>
      </c>
      <c r="B117" s="1" t="s">
        <v>47</v>
      </c>
    </row>
    <row r="118" spans="1:2" x14ac:dyDescent="0.2">
      <c r="A118" s="1">
        <v>254</v>
      </c>
      <c r="B118" s="1" t="s">
        <v>56</v>
      </c>
    </row>
    <row r="119" spans="1:2" x14ac:dyDescent="0.2">
      <c r="A119" s="1">
        <v>256</v>
      </c>
      <c r="B119" s="1" t="s">
        <v>56</v>
      </c>
    </row>
    <row r="120" spans="1:2" x14ac:dyDescent="0.2">
      <c r="A120" s="1">
        <v>257</v>
      </c>
      <c r="B120" s="1" t="s">
        <v>46</v>
      </c>
    </row>
    <row r="121" spans="1:2" x14ac:dyDescent="0.2">
      <c r="A121" s="1">
        <v>260</v>
      </c>
      <c r="B121" s="1" t="s">
        <v>46</v>
      </c>
    </row>
    <row r="122" spans="1:2" x14ac:dyDescent="0.2">
      <c r="A122" s="1">
        <v>262</v>
      </c>
      <c r="B122" s="1" t="s">
        <v>47</v>
      </c>
    </row>
    <row r="123" spans="1:2" x14ac:dyDescent="0.2">
      <c r="A123" s="1">
        <v>263</v>
      </c>
      <c r="B123" s="1" t="s">
        <v>46</v>
      </c>
    </row>
    <row r="124" spans="1:2" x14ac:dyDescent="0.2">
      <c r="A124" s="1">
        <v>272</v>
      </c>
      <c r="B124" s="1" t="s">
        <v>46</v>
      </c>
    </row>
    <row r="125" spans="1:2" x14ac:dyDescent="0.2">
      <c r="A125" s="1">
        <v>273</v>
      </c>
      <c r="B125" s="1" t="s">
        <v>47</v>
      </c>
    </row>
    <row r="126" spans="1:2" x14ac:dyDescent="0.2">
      <c r="A126" s="1">
        <v>280</v>
      </c>
      <c r="B126" s="1" t="s">
        <v>46</v>
      </c>
    </row>
    <row r="127" spans="1:2" x14ac:dyDescent="0.2">
      <c r="A127" s="1">
        <v>282</v>
      </c>
      <c r="B127" s="1" t="s">
        <v>46</v>
      </c>
    </row>
    <row r="128" spans="1:2" x14ac:dyDescent="0.2">
      <c r="A128" s="1">
        <v>286</v>
      </c>
      <c r="B128" s="1" t="s">
        <v>46</v>
      </c>
    </row>
    <row r="129" spans="1:2" x14ac:dyDescent="0.2">
      <c r="A129" s="1">
        <v>287</v>
      </c>
      <c r="B129" s="1" t="s">
        <v>46</v>
      </c>
    </row>
    <row r="130" spans="1:2" x14ac:dyDescent="0.2">
      <c r="A130" s="1">
        <v>288</v>
      </c>
      <c r="B130" s="1" t="s">
        <v>56</v>
      </c>
    </row>
    <row r="131" spans="1:2" x14ac:dyDescent="0.2">
      <c r="A131" s="1">
        <v>289</v>
      </c>
      <c r="B131" s="1" t="s">
        <v>47</v>
      </c>
    </row>
    <row r="132" spans="1:2" x14ac:dyDescent="0.2">
      <c r="A132" s="1">
        <v>290</v>
      </c>
      <c r="B132" s="1" t="s">
        <v>47</v>
      </c>
    </row>
    <row r="133" spans="1:2" x14ac:dyDescent="0.2">
      <c r="A133" s="1">
        <v>291</v>
      </c>
      <c r="B133" s="1" t="s">
        <v>46</v>
      </c>
    </row>
    <row r="134" spans="1:2" x14ac:dyDescent="0.2">
      <c r="A134" s="1">
        <v>293</v>
      </c>
      <c r="B134" s="1" t="s">
        <v>46</v>
      </c>
    </row>
    <row r="135" spans="1:2" x14ac:dyDescent="0.2">
      <c r="A135" s="1">
        <v>294</v>
      </c>
      <c r="B135" s="1" t="s">
        <v>46</v>
      </c>
    </row>
    <row r="136" spans="1:2" x14ac:dyDescent="0.2">
      <c r="A136" s="1">
        <v>295</v>
      </c>
      <c r="B136" s="1" t="s">
        <v>46</v>
      </c>
    </row>
    <row r="137" spans="1:2" x14ac:dyDescent="0.2">
      <c r="A137" s="1">
        <v>297</v>
      </c>
      <c r="B137" s="1" t="s">
        <v>47</v>
      </c>
    </row>
    <row r="138" spans="1:2" x14ac:dyDescent="0.2">
      <c r="A138" s="1">
        <v>298</v>
      </c>
      <c r="B138" s="1" t="s">
        <v>47</v>
      </c>
    </row>
    <row r="139" spans="1:2" x14ac:dyDescent="0.2">
      <c r="A139" s="1">
        <v>300</v>
      </c>
      <c r="B139" s="1" t="s">
        <v>46</v>
      </c>
    </row>
    <row r="140" spans="1:2" x14ac:dyDescent="0.2">
      <c r="A140" s="1">
        <v>301</v>
      </c>
      <c r="B140" s="1" t="s">
        <v>46</v>
      </c>
    </row>
    <row r="141" spans="1:2" x14ac:dyDescent="0.2">
      <c r="A141" s="1">
        <v>302</v>
      </c>
      <c r="B141" s="1" t="s">
        <v>46</v>
      </c>
    </row>
    <row r="142" spans="1:2" x14ac:dyDescent="0.2">
      <c r="A142" s="6">
        <v>303</v>
      </c>
      <c r="B142" s="6" t="s">
        <v>46</v>
      </c>
    </row>
    <row r="143" spans="1:2" x14ac:dyDescent="0.2">
      <c r="A143" s="1">
        <v>304</v>
      </c>
      <c r="B143" s="1" t="s">
        <v>46</v>
      </c>
    </row>
    <row r="144" spans="1:2" x14ac:dyDescent="0.2">
      <c r="A144" s="1">
        <v>305</v>
      </c>
      <c r="B144" s="1" t="s">
        <v>46</v>
      </c>
    </row>
    <row r="145" spans="1:2" x14ac:dyDescent="0.2">
      <c r="A145" s="1">
        <v>307</v>
      </c>
      <c r="B145" s="1" t="s">
        <v>46</v>
      </c>
    </row>
    <row r="146" spans="1:2" x14ac:dyDescent="0.2">
      <c r="A146" s="1">
        <v>308</v>
      </c>
      <c r="B146" s="1" t="s">
        <v>46</v>
      </c>
    </row>
    <row r="147" spans="1:2" x14ac:dyDescent="0.2">
      <c r="A147" s="8">
        <v>310</v>
      </c>
      <c r="B147" s="8" t="s">
        <v>46</v>
      </c>
    </row>
    <row r="148" spans="1:2" x14ac:dyDescent="0.2">
      <c r="A148" s="8">
        <v>312</v>
      </c>
      <c r="B148" s="8" t="s">
        <v>46</v>
      </c>
    </row>
    <row r="149" spans="1:2" x14ac:dyDescent="0.2">
      <c r="A149" s="8">
        <v>314</v>
      </c>
      <c r="B149" s="8" t="s">
        <v>47</v>
      </c>
    </row>
    <row r="150" spans="1:2" x14ac:dyDescent="0.2">
      <c r="A150" s="8">
        <v>315</v>
      </c>
      <c r="B150" s="8" t="s">
        <v>46</v>
      </c>
    </row>
    <row r="151" spans="1:2" x14ac:dyDescent="0.2">
      <c r="A151" s="8">
        <v>316</v>
      </c>
      <c r="B151" s="8" t="s">
        <v>47</v>
      </c>
    </row>
    <row r="152" spans="1:2" x14ac:dyDescent="0.2">
      <c r="A152" s="8">
        <v>317</v>
      </c>
      <c r="B152" s="8" t="s">
        <v>46</v>
      </c>
    </row>
    <row r="153" spans="1:2" x14ac:dyDescent="0.2">
      <c r="A153" s="8">
        <v>319</v>
      </c>
      <c r="B153" s="8" t="s">
        <v>46</v>
      </c>
    </row>
    <row r="154" spans="1:2" x14ac:dyDescent="0.2">
      <c r="A154" s="8">
        <v>323</v>
      </c>
      <c r="B154" s="8" t="s">
        <v>46</v>
      </c>
    </row>
    <row r="155" spans="1:2" x14ac:dyDescent="0.2">
      <c r="A155" s="8">
        <v>324</v>
      </c>
      <c r="B155" s="8" t="s">
        <v>46</v>
      </c>
    </row>
    <row r="156" spans="1:2" x14ac:dyDescent="0.2">
      <c r="A156" s="8">
        <v>325</v>
      </c>
      <c r="B156" s="8" t="s">
        <v>47</v>
      </c>
    </row>
    <row r="157" spans="1:2" x14ac:dyDescent="0.2">
      <c r="A157" s="8">
        <v>327</v>
      </c>
      <c r="B157" s="8" t="s">
        <v>46</v>
      </c>
    </row>
    <row r="158" spans="1:2" x14ac:dyDescent="0.2">
      <c r="A158" s="8">
        <v>328</v>
      </c>
      <c r="B158" s="8" t="s">
        <v>46</v>
      </c>
    </row>
    <row r="159" spans="1:2" x14ac:dyDescent="0.2">
      <c r="A159" s="8">
        <v>329</v>
      </c>
      <c r="B159" s="8" t="s">
        <v>46</v>
      </c>
    </row>
    <row r="160" spans="1:2" x14ac:dyDescent="0.2">
      <c r="A160" s="8">
        <v>331</v>
      </c>
      <c r="B160" s="1" t="s">
        <v>46</v>
      </c>
    </row>
    <row r="161" spans="1:2" x14ac:dyDescent="0.2">
      <c r="A161" s="8">
        <v>332</v>
      </c>
      <c r="B161" s="1" t="s">
        <v>46</v>
      </c>
    </row>
    <row r="162" spans="1:2" x14ac:dyDescent="0.2">
      <c r="A162" s="8">
        <v>334</v>
      </c>
      <c r="B162" s="1" t="s">
        <v>46</v>
      </c>
    </row>
    <row r="163" spans="1:2" x14ac:dyDescent="0.2">
      <c r="A163" s="8">
        <v>336</v>
      </c>
      <c r="B163" s="1" t="s">
        <v>46</v>
      </c>
    </row>
    <row r="164" spans="1:2" x14ac:dyDescent="0.2">
      <c r="A164" s="8">
        <v>337</v>
      </c>
      <c r="B164" s="1" t="s">
        <v>46</v>
      </c>
    </row>
  </sheetData>
  <pageMargins left="0.7" right="0.7" top="0.75" bottom="0.75" header="0.3" footer="0.3"/>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165"/>
  <sheetViews>
    <sheetView topLeftCell="B1" workbookViewId="0">
      <selection activeCell="K26" sqref="K26"/>
    </sheetView>
  </sheetViews>
  <sheetFormatPr baseColWidth="10" defaultColWidth="8.83203125" defaultRowHeight="15" x14ac:dyDescent="0.2"/>
  <cols>
    <col min="1" max="1" width="12.5" customWidth="1"/>
    <col min="2" max="2" width="8.5" bestFit="1" customWidth="1"/>
    <col min="4" max="4" width="10" bestFit="1" customWidth="1"/>
    <col min="6" max="6" width="19.5" customWidth="1"/>
    <col min="7" max="7" width="21.6640625" customWidth="1"/>
    <col min="9" max="9" width="15.33203125" customWidth="1"/>
    <col min="14" max="14" width="10.5" customWidth="1"/>
  </cols>
  <sheetData>
    <row r="1" spans="1:14" x14ac:dyDescent="0.2">
      <c r="A1" s="160" t="s">
        <v>0</v>
      </c>
      <c r="B1" s="161" t="s">
        <v>1377</v>
      </c>
      <c r="C1" s="161"/>
      <c r="D1" s="161"/>
      <c r="E1" s="161"/>
      <c r="F1" s="161"/>
      <c r="G1" s="161"/>
    </row>
    <row r="2" spans="1:14" ht="30" x14ac:dyDescent="0.2">
      <c r="A2" s="160"/>
      <c r="B2" s="6" t="s">
        <v>1378</v>
      </c>
      <c r="C2" s="6" t="s">
        <v>1379</v>
      </c>
      <c r="D2" s="6" t="s">
        <v>1380</v>
      </c>
      <c r="E2" s="6" t="s">
        <v>1381</v>
      </c>
      <c r="F2" s="6" t="s">
        <v>1382</v>
      </c>
      <c r="G2" s="6" t="s">
        <v>1383</v>
      </c>
    </row>
    <row r="3" spans="1:14" x14ac:dyDescent="0.2">
      <c r="A3" s="6">
        <v>2</v>
      </c>
      <c r="B3" s="6" t="s">
        <v>47</v>
      </c>
      <c r="C3" s="6" t="s">
        <v>47</v>
      </c>
      <c r="D3" s="6" t="s">
        <v>47</v>
      </c>
      <c r="E3" s="6" t="s">
        <v>46</v>
      </c>
      <c r="F3" s="6" t="s">
        <v>47</v>
      </c>
      <c r="G3" s="6" t="s">
        <v>47</v>
      </c>
      <c r="I3" s="22"/>
      <c r="J3" s="36" t="s">
        <v>47</v>
      </c>
      <c r="K3" s="36" t="s">
        <v>1387</v>
      </c>
      <c r="L3" s="36" t="s">
        <v>46</v>
      </c>
      <c r="M3" s="36" t="s">
        <v>1388</v>
      </c>
      <c r="N3" s="37" t="s">
        <v>1373</v>
      </c>
    </row>
    <row r="4" spans="1:14" x14ac:dyDescent="0.2">
      <c r="A4" s="6">
        <v>5</v>
      </c>
      <c r="B4" s="6" t="s">
        <v>47</v>
      </c>
      <c r="C4" s="6" t="s">
        <v>46</v>
      </c>
      <c r="D4" s="6" t="s">
        <v>46</v>
      </c>
      <c r="E4" s="6" t="s">
        <v>46</v>
      </c>
      <c r="F4" s="6" t="s">
        <v>47</v>
      </c>
      <c r="G4" s="6" t="s">
        <v>46</v>
      </c>
      <c r="I4" s="33" t="s">
        <v>1378</v>
      </c>
      <c r="J4" s="16">
        <f>COUNTIF(B3:B164,"Yes")</f>
        <v>129</v>
      </c>
      <c r="K4" s="18">
        <f>J4/N4*100</f>
        <v>87.755102040816325</v>
      </c>
      <c r="L4" s="16">
        <f>COUNTIF(B3:B164,"No")</f>
        <v>18</v>
      </c>
      <c r="M4" s="18">
        <f>L4/N4*100</f>
        <v>12.244897959183673</v>
      </c>
      <c r="N4" s="14">
        <f>COUNTIF(B3:B164,"Yes")+COUNTIF(B3:B164,"No")</f>
        <v>147</v>
      </c>
    </row>
    <row r="5" spans="1:14" x14ac:dyDescent="0.2">
      <c r="A5" s="6">
        <v>6</v>
      </c>
      <c r="B5" s="6" t="s">
        <v>47</v>
      </c>
      <c r="C5" s="6" t="s">
        <v>47</v>
      </c>
      <c r="D5" s="6" t="s">
        <v>47</v>
      </c>
      <c r="E5" s="6" t="s">
        <v>47</v>
      </c>
      <c r="F5" s="6" t="s">
        <v>47</v>
      </c>
      <c r="G5" s="6" t="s">
        <v>46</v>
      </c>
      <c r="I5" s="33" t="s">
        <v>1379</v>
      </c>
      <c r="J5" s="16">
        <f>COUNTIF(C3:C164,"Yes")</f>
        <v>54</v>
      </c>
      <c r="K5" s="18">
        <f t="shared" ref="K5:K8" si="0">J5/N5*100</f>
        <v>36.734693877551024</v>
      </c>
      <c r="L5" s="16">
        <f>COUNTIF(C3:C164,"No")</f>
        <v>93</v>
      </c>
      <c r="M5" s="18">
        <f t="shared" ref="M5:M9" si="1">L5/N5*100</f>
        <v>63.265306122448983</v>
      </c>
      <c r="N5" s="14">
        <f>COUNTIF(C3:C164,"Yes")+COUNTIF(C4:C164,"No")</f>
        <v>147</v>
      </c>
    </row>
    <row r="6" spans="1:14" x14ac:dyDescent="0.2">
      <c r="A6" s="6">
        <v>11</v>
      </c>
      <c r="B6" s="6" t="s">
        <v>47</v>
      </c>
      <c r="C6" s="6" t="s">
        <v>47</v>
      </c>
      <c r="D6" s="6" t="s">
        <v>46</v>
      </c>
      <c r="E6" s="6" t="s">
        <v>47</v>
      </c>
      <c r="F6" s="6" t="s">
        <v>47</v>
      </c>
      <c r="G6" s="6" t="s">
        <v>47</v>
      </c>
      <c r="I6" s="33" t="s">
        <v>1384</v>
      </c>
      <c r="J6" s="16">
        <f>COUNTIF(D3:D164,"Yes")</f>
        <v>72</v>
      </c>
      <c r="K6" s="18">
        <f t="shared" si="0"/>
        <v>48.979591836734691</v>
      </c>
      <c r="L6" s="16">
        <f>COUNTIF(D3:D164,"No")</f>
        <v>75</v>
      </c>
      <c r="M6" s="18">
        <f t="shared" si="1"/>
        <v>51.020408163265309</v>
      </c>
      <c r="N6" s="14">
        <f>COUNTIF(D3:D164,"Yes")+COUNTIF(D3:D164,"No")</f>
        <v>147</v>
      </c>
    </row>
    <row r="7" spans="1:14" x14ac:dyDescent="0.2">
      <c r="A7" s="6">
        <v>18</v>
      </c>
      <c r="B7" s="6" t="s">
        <v>56</v>
      </c>
      <c r="C7" s="6" t="s">
        <v>56</v>
      </c>
      <c r="D7" s="6" t="s">
        <v>56</v>
      </c>
      <c r="E7" s="6" t="s">
        <v>56</v>
      </c>
      <c r="F7" s="6" t="s">
        <v>56</v>
      </c>
      <c r="G7" s="6" t="s">
        <v>56</v>
      </c>
      <c r="I7" s="33" t="s">
        <v>1381</v>
      </c>
      <c r="J7" s="16">
        <f>COUNTIF(E3:E164,"Yes")</f>
        <v>46</v>
      </c>
      <c r="K7" s="18">
        <f t="shared" si="0"/>
        <v>31.292517006802722</v>
      </c>
      <c r="L7" s="16">
        <f>COUNTIF(E3:E164,"No")</f>
        <v>101</v>
      </c>
      <c r="M7" s="18">
        <f t="shared" si="1"/>
        <v>68.707482993197274</v>
      </c>
      <c r="N7" s="14">
        <f>COUNTIF(E3:E164,"Yes")+COUNTIF(E3:E164,"No")</f>
        <v>147</v>
      </c>
    </row>
    <row r="8" spans="1:14" x14ac:dyDescent="0.2">
      <c r="A8" s="6">
        <v>21</v>
      </c>
      <c r="B8" s="6" t="s">
        <v>56</v>
      </c>
      <c r="C8" s="6" t="s">
        <v>56</v>
      </c>
      <c r="D8" s="6" t="s">
        <v>56</v>
      </c>
      <c r="E8" s="6" t="s">
        <v>56</v>
      </c>
      <c r="F8" s="6" t="s">
        <v>56</v>
      </c>
      <c r="G8" s="6" t="s">
        <v>56</v>
      </c>
      <c r="I8" s="33" t="s">
        <v>1385</v>
      </c>
      <c r="J8" s="16">
        <f>COUNTIF(F3:F164,"Yes")</f>
        <v>118</v>
      </c>
      <c r="K8" s="18">
        <f t="shared" si="0"/>
        <v>80.27210884353741</v>
      </c>
      <c r="L8" s="16">
        <f>COUNTIF(F3:F164,"No")</f>
        <v>29</v>
      </c>
      <c r="M8" s="18">
        <f t="shared" si="1"/>
        <v>19.727891156462583</v>
      </c>
      <c r="N8" s="14">
        <f>COUNTIF(F3:F164,"Yes")+COUNTIF(F3:F164,"No")</f>
        <v>147</v>
      </c>
    </row>
    <row r="9" spans="1:14" x14ac:dyDescent="0.2">
      <c r="A9" s="6">
        <v>22</v>
      </c>
      <c r="B9" s="6" t="s">
        <v>47</v>
      </c>
      <c r="C9" s="6" t="s">
        <v>47</v>
      </c>
      <c r="D9" s="6" t="s">
        <v>47</v>
      </c>
      <c r="E9" s="6" t="s">
        <v>47</v>
      </c>
      <c r="F9" s="6" t="s">
        <v>47</v>
      </c>
      <c r="G9" s="6" t="s">
        <v>47</v>
      </c>
      <c r="I9" s="34" t="s">
        <v>1386</v>
      </c>
      <c r="J9" s="25">
        <f>COUNTIF(G3:G164,"Yes")</f>
        <v>53</v>
      </c>
      <c r="K9" s="35">
        <f>J9/N9*100</f>
        <v>36.054421768707485</v>
      </c>
      <c r="L9" s="25">
        <f>COUNTIF(G3:G164,"No")</f>
        <v>94</v>
      </c>
      <c r="M9" s="35">
        <f t="shared" si="1"/>
        <v>63.945578231292522</v>
      </c>
      <c r="N9" s="15">
        <f>COUNTIF(G3:G164,"Yes")+COUNTIF(G3:G164,"No")</f>
        <v>147</v>
      </c>
    </row>
    <row r="10" spans="1:14" x14ac:dyDescent="0.2">
      <c r="A10" s="6">
        <v>26</v>
      </c>
      <c r="B10" s="6" t="s">
        <v>56</v>
      </c>
      <c r="C10" s="6" t="s">
        <v>56</v>
      </c>
      <c r="D10" s="6" t="s">
        <v>56</v>
      </c>
      <c r="E10" s="6" t="s">
        <v>56</v>
      </c>
      <c r="F10" s="6" t="s">
        <v>56</v>
      </c>
      <c r="G10" s="6" t="s">
        <v>56</v>
      </c>
    </row>
    <row r="11" spans="1:14" x14ac:dyDescent="0.2">
      <c r="A11" s="6">
        <v>30</v>
      </c>
      <c r="B11" s="6" t="s">
        <v>47</v>
      </c>
      <c r="C11" s="6" t="s">
        <v>46</v>
      </c>
      <c r="D11" s="6" t="s">
        <v>46</v>
      </c>
      <c r="E11" s="6" t="s">
        <v>46</v>
      </c>
      <c r="F11" s="6" t="s">
        <v>47</v>
      </c>
      <c r="G11" s="6" t="s">
        <v>46</v>
      </c>
    </row>
    <row r="12" spans="1:14" x14ac:dyDescent="0.2">
      <c r="A12" s="6">
        <v>31</v>
      </c>
      <c r="B12" s="6" t="s">
        <v>47</v>
      </c>
      <c r="C12" s="6" t="s">
        <v>46</v>
      </c>
      <c r="D12" s="6" t="s">
        <v>46</v>
      </c>
      <c r="E12" s="6" t="s">
        <v>46</v>
      </c>
      <c r="F12" s="6" t="s">
        <v>47</v>
      </c>
      <c r="G12" s="6" t="s">
        <v>46</v>
      </c>
    </row>
    <row r="13" spans="1:14" x14ac:dyDescent="0.2">
      <c r="A13" s="6">
        <v>28</v>
      </c>
      <c r="B13" s="6" t="s">
        <v>46</v>
      </c>
      <c r="C13" s="6" t="s">
        <v>47</v>
      </c>
      <c r="D13" s="6" t="s">
        <v>46</v>
      </c>
      <c r="E13" s="6" t="s">
        <v>46</v>
      </c>
      <c r="F13" s="6" t="s">
        <v>46</v>
      </c>
      <c r="G13" s="6" t="s">
        <v>47</v>
      </c>
    </row>
    <row r="14" spans="1:14" x14ac:dyDescent="0.2">
      <c r="A14" s="6">
        <v>32</v>
      </c>
      <c r="B14" s="6" t="s">
        <v>46</v>
      </c>
      <c r="C14" s="6" t="s">
        <v>46</v>
      </c>
      <c r="D14" s="6" t="s">
        <v>46</v>
      </c>
      <c r="E14" s="6" t="s">
        <v>46</v>
      </c>
      <c r="F14" s="6" t="s">
        <v>47</v>
      </c>
      <c r="G14" s="6" t="s">
        <v>46</v>
      </c>
    </row>
    <row r="15" spans="1:14" x14ac:dyDescent="0.2">
      <c r="A15" s="6">
        <v>34</v>
      </c>
      <c r="B15" s="6" t="s">
        <v>47</v>
      </c>
      <c r="C15" s="6" t="s">
        <v>46</v>
      </c>
      <c r="D15" s="6" t="s">
        <v>47</v>
      </c>
      <c r="E15" s="6" t="s">
        <v>46</v>
      </c>
      <c r="F15" s="6" t="s">
        <v>47</v>
      </c>
      <c r="G15" s="6" t="s">
        <v>46</v>
      </c>
    </row>
    <row r="16" spans="1:14" x14ac:dyDescent="0.2">
      <c r="A16" s="6">
        <v>35</v>
      </c>
      <c r="B16" s="6" t="s">
        <v>47</v>
      </c>
      <c r="C16" s="6" t="s">
        <v>46</v>
      </c>
      <c r="D16" s="6" t="s">
        <v>47</v>
      </c>
      <c r="E16" s="6" t="s">
        <v>46</v>
      </c>
      <c r="F16" s="6" t="s">
        <v>47</v>
      </c>
      <c r="G16" s="6" t="s">
        <v>46</v>
      </c>
    </row>
    <row r="17" spans="1:7" x14ac:dyDescent="0.2">
      <c r="A17" s="6">
        <v>36</v>
      </c>
      <c r="B17" s="6" t="s">
        <v>47</v>
      </c>
      <c r="C17" s="6" t="s">
        <v>46</v>
      </c>
      <c r="D17" s="6" t="s">
        <v>47</v>
      </c>
      <c r="E17" s="6" t="s">
        <v>46</v>
      </c>
      <c r="F17" s="6" t="s">
        <v>47</v>
      </c>
      <c r="G17" s="6" t="s">
        <v>47</v>
      </c>
    </row>
    <row r="18" spans="1:7" x14ac:dyDescent="0.2">
      <c r="A18" s="6">
        <v>38</v>
      </c>
      <c r="B18" s="6" t="s">
        <v>47</v>
      </c>
      <c r="C18" s="6" t="s">
        <v>46</v>
      </c>
      <c r="D18" s="6" t="s">
        <v>46</v>
      </c>
      <c r="E18" s="6" t="s">
        <v>46</v>
      </c>
      <c r="F18" s="6" t="s">
        <v>46</v>
      </c>
      <c r="G18" s="6" t="s">
        <v>46</v>
      </c>
    </row>
    <row r="19" spans="1:7" x14ac:dyDescent="0.2">
      <c r="A19" s="6">
        <v>40</v>
      </c>
      <c r="B19" s="6" t="s">
        <v>47</v>
      </c>
      <c r="C19" s="6" t="s">
        <v>46</v>
      </c>
      <c r="D19" s="6" t="s">
        <v>46</v>
      </c>
      <c r="E19" s="6" t="s">
        <v>46</v>
      </c>
      <c r="F19" s="6" t="s">
        <v>47</v>
      </c>
      <c r="G19" s="6" t="s">
        <v>47</v>
      </c>
    </row>
    <row r="20" spans="1:7" x14ac:dyDescent="0.2">
      <c r="A20" s="6">
        <v>41</v>
      </c>
      <c r="B20" s="6" t="s">
        <v>47</v>
      </c>
      <c r="C20" s="6" t="s">
        <v>46</v>
      </c>
      <c r="D20" s="6" t="s">
        <v>47</v>
      </c>
      <c r="E20" s="6" t="s">
        <v>46</v>
      </c>
      <c r="F20" s="6" t="s">
        <v>47</v>
      </c>
      <c r="G20" s="6" t="s">
        <v>46</v>
      </c>
    </row>
    <row r="21" spans="1:7" x14ac:dyDescent="0.2">
      <c r="A21" s="6">
        <v>42</v>
      </c>
      <c r="B21" s="6" t="s">
        <v>47</v>
      </c>
      <c r="C21" s="6" t="s">
        <v>47</v>
      </c>
      <c r="D21" s="6" t="s">
        <v>46</v>
      </c>
      <c r="E21" s="6" t="s">
        <v>47</v>
      </c>
      <c r="F21" s="6" t="s">
        <v>47</v>
      </c>
      <c r="G21" s="6" t="s">
        <v>47</v>
      </c>
    </row>
    <row r="22" spans="1:7" x14ac:dyDescent="0.2">
      <c r="A22" s="6">
        <v>44</v>
      </c>
      <c r="B22" s="6" t="s">
        <v>47</v>
      </c>
      <c r="C22" s="6" t="s">
        <v>46</v>
      </c>
      <c r="D22" s="6" t="s">
        <v>46</v>
      </c>
      <c r="E22" s="6" t="s">
        <v>47</v>
      </c>
      <c r="F22" s="6" t="s">
        <v>46</v>
      </c>
      <c r="G22" s="6" t="s">
        <v>46</v>
      </c>
    </row>
    <row r="23" spans="1:7" x14ac:dyDescent="0.2">
      <c r="A23" s="6">
        <v>46</v>
      </c>
      <c r="B23" s="6" t="s">
        <v>47</v>
      </c>
      <c r="C23" s="6" t="s">
        <v>46</v>
      </c>
      <c r="D23" s="6" t="s">
        <v>46</v>
      </c>
      <c r="E23" s="6" t="s">
        <v>47</v>
      </c>
      <c r="F23" s="6" t="s">
        <v>47</v>
      </c>
      <c r="G23" s="6" t="s">
        <v>46</v>
      </c>
    </row>
    <row r="24" spans="1:7" x14ac:dyDescent="0.2">
      <c r="A24" s="6">
        <v>47</v>
      </c>
      <c r="B24" s="6" t="s">
        <v>47</v>
      </c>
      <c r="C24" s="6" t="s">
        <v>47</v>
      </c>
      <c r="D24" s="6" t="s">
        <v>47</v>
      </c>
      <c r="E24" s="6" t="s">
        <v>47</v>
      </c>
      <c r="F24" s="6" t="s">
        <v>47</v>
      </c>
      <c r="G24" s="6" t="s">
        <v>46</v>
      </c>
    </row>
    <row r="25" spans="1:7" x14ac:dyDescent="0.2">
      <c r="A25" s="6">
        <v>49</v>
      </c>
      <c r="B25" s="6" t="s">
        <v>47</v>
      </c>
      <c r="C25" s="6" t="s">
        <v>46</v>
      </c>
      <c r="D25" s="6" t="s">
        <v>46</v>
      </c>
      <c r="E25" s="6" t="s">
        <v>47</v>
      </c>
      <c r="F25" s="6" t="s">
        <v>46</v>
      </c>
      <c r="G25" s="6" t="s">
        <v>46</v>
      </c>
    </row>
    <row r="26" spans="1:7" x14ac:dyDescent="0.2">
      <c r="A26" s="6">
        <v>50</v>
      </c>
      <c r="B26" s="6" t="s">
        <v>46</v>
      </c>
      <c r="C26" s="6" t="s">
        <v>47</v>
      </c>
      <c r="D26" s="6" t="s">
        <v>46</v>
      </c>
      <c r="E26" s="6" t="s">
        <v>46</v>
      </c>
      <c r="F26" s="6" t="s">
        <v>47</v>
      </c>
      <c r="G26" s="6" t="s">
        <v>47</v>
      </c>
    </row>
    <row r="27" spans="1:7" x14ac:dyDescent="0.2">
      <c r="A27" s="6">
        <v>51</v>
      </c>
      <c r="B27" s="6" t="s">
        <v>47</v>
      </c>
      <c r="C27" s="6" t="s">
        <v>46</v>
      </c>
      <c r="D27" s="6" t="s">
        <v>47</v>
      </c>
      <c r="E27" s="6" t="s">
        <v>46</v>
      </c>
      <c r="F27" s="6" t="s">
        <v>46</v>
      </c>
      <c r="G27" s="6" t="s">
        <v>46</v>
      </c>
    </row>
    <row r="28" spans="1:7" x14ac:dyDescent="0.2">
      <c r="A28" s="6">
        <v>53</v>
      </c>
      <c r="B28" s="6" t="s">
        <v>47</v>
      </c>
      <c r="C28" s="6" t="s">
        <v>46</v>
      </c>
      <c r="D28" s="6" t="s">
        <v>47</v>
      </c>
      <c r="E28" s="6" t="s">
        <v>46</v>
      </c>
      <c r="F28" s="6" t="s">
        <v>47</v>
      </c>
      <c r="G28" s="6" t="s">
        <v>46</v>
      </c>
    </row>
    <row r="29" spans="1:7" x14ac:dyDescent="0.2">
      <c r="A29" s="6">
        <v>55</v>
      </c>
      <c r="B29" s="6" t="s">
        <v>56</v>
      </c>
      <c r="C29" s="6" t="s">
        <v>56</v>
      </c>
      <c r="D29" s="6" t="s">
        <v>56</v>
      </c>
      <c r="E29" s="6" t="s">
        <v>56</v>
      </c>
      <c r="F29" s="6" t="s">
        <v>56</v>
      </c>
      <c r="G29" s="6" t="s">
        <v>56</v>
      </c>
    </row>
    <row r="30" spans="1:7" x14ac:dyDescent="0.2">
      <c r="A30" s="6">
        <v>60</v>
      </c>
      <c r="B30" s="6" t="s">
        <v>47</v>
      </c>
      <c r="C30" s="6" t="s">
        <v>46</v>
      </c>
      <c r="D30" s="6" t="s">
        <v>47</v>
      </c>
      <c r="E30" s="6" t="s">
        <v>46</v>
      </c>
      <c r="F30" s="6" t="s">
        <v>47</v>
      </c>
      <c r="G30" s="6" t="s">
        <v>47</v>
      </c>
    </row>
    <row r="31" spans="1:7" x14ac:dyDescent="0.2">
      <c r="A31" s="6">
        <v>61</v>
      </c>
      <c r="B31" s="6" t="s">
        <v>47</v>
      </c>
      <c r="C31" s="6" t="s">
        <v>46</v>
      </c>
      <c r="D31" s="6" t="s">
        <v>47</v>
      </c>
      <c r="E31" s="6" t="s">
        <v>46</v>
      </c>
      <c r="F31" s="6" t="s">
        <v>47</v>
      </c>
      <c r="G31" s="6" t="s">
        <v>46</v>
      </c>
    </row>
    <row r="32" spans="1:7" x14ac:dyDescent="0.2">
      <c r="A32" s="6">
        <v>62</v>
      </c>
      <c r="B32" s="6" t="s">
        <v>47</v>
      </c>
      <c r="C32" s="6" t="s">
        <v>46</v>
      </c>
      <c r="D32" s="6" t="s">
        <v>47</v>
      </c>
      <c r="E32" s="6" t="s">
        <v>47</v>
      </c>
      <c r="F32" s="6" t="s">
        <v>47</v>
      </c>
      <c r="G32" s="6" t="s">
        <v>47</v>
      </c>
    </row>
    <row r="33" spans="1:7" x14ac:dyDescent="0.2">
      <c r="A33" s="6">
        <v>65</v>
      </c>
      <c r="B33" s="6" t="s">
        <v>47</v>
      </c>
      <c r="C33" s="6" t="s">
        <v>47</v>
      </c>
      <c r="D33" s="6" t="s">
        <v>47</v>
      </c>
      <c r="E33" s="6" t="s">
        <v>46</v>
      </c>
      <c r="F33" s="6" t="s">
        <v>46</v>
      </c>
      <c r="G33" s="6" t="s">
        <v>47</v>
      </c>
    </row>
    <row r="34" spans="1:7" x14ac:dyDescent="0.2">
      <c r="A34" s="6">
        <v>70</v>
      </c>
      <c r="B34" s="6" t="s">
        <v>47</v>
      </c>
      <c r="C34" s="6" t="s">
        <v>46</v>
      </c>
      <c r="D34" s="6" t="s">
        <v>46</v>
      </c>
      <c r="E34" s="6" t="s">
        <v>46</v>
      </c>
      <c r="F34" s="6" t="s">
        <v>47</v>
      </c>
      <c r="G34" s="6" t="s">
        <v>46</v>
      </c>
    </row>
    <row r="35" spans="1:7" x14ac:dyDescent="0.2">
      <c r="A35" s="6">
        <v>71</v>
      </c>
      <c r="B35" s="6" t="s">
        <v>47</v>
      </c>
      <c r="C35" s="6" t="s">
        <v>46</v>
      </c>
      <c r="D35" s="6" t="s">
        <v>47</v>
      </c>
      <c r="E35" s="6" t="s">
        <v>46</v>
      </c>
      <c r="F35" s="6" t="s">
        <v>47</v>
      </c>
      <c r="G35" s="6" t="s">
        <v>47</v>
      </c>
    </row>
    <row r="36" spans="1:7" x14ac:dyDescent="0.2">
      <c r="A36" s="6">
        <v>72</v>
      </c>
      <c r="B36" s="6" t="s">
        <v>47</v>
      </c>
      <c r="C36" s="6" t="s">
        <v>46</v>
      </c>
      <c r="D36" s="6" t="s">
        <v>47</v>
      </c>
      <c r="E36" s="6" t="s">
        <v>46</v>
      </c>
      <c r="F36" s="6" t="s">
        <v>47</v>
      </c>
      <c r="G36" s="6" t="s">
        <v>46</v>
      </c>
    </row>
    <row r="37" spans="1:7" x14ac:dyDescent="0.2">
      <c r="A37" s="6">
        <v>74</v>
      </c>
      <c r="B37" s="6" t="s">
        <v>47</v>
      </c>
      <c r="C37" s="6" t="s">
        <v>46</v>
      </c>
      <c r="D37" s="6" t="s">
        <v>46</v>
      </c>
      <c r="E37" s="6" t="s">
        <v>47</v>
      </c>
      <c r="F37" s="6" t="s">
        <v>47</v>
      </c>
      <c r="G37" s="6" t="s">
        <v>47</v>
      </c>
    </row>
    <row r="38" spans="1:7" x14ac:dyDescent="0.2">
      <c r="A38" s="6">
        <v>75</v>
      </c>
      <c r="B38" s="6" t="s">
        <v>46</v>
      </c>
      <c r="C38" s="6" t="s">
        <v>47</v>
      </c>
      <c r="D38" s="6" t="s">
        <v>47</v>
      </c>
      <c r="E38" s="6" t="s">
        <v>46</v>
      </c>
      <c r="F38" s="6" t="s">
        <v>47</v>
      </c>
      <c r="G38" s="6" t="s">
        <v>46</v>
      </c>
    </row>
    <row r="39" spans="1:7" x14ac:dyDescent="0.2">
      <c r="A39" s="6">
        <v>76</v>
      </c>
      <c r="B39" s="6" t="s">
        <v>47</v>
      </c>
      <c r="C39" s="6" t="s">
        <v>47</v>
      </c>
      <c r="D39" s="6" t="s">
        <v>47</v>
      </c>
      <c r="E39" s="6" t="s">
        <v>46</v>
      </c>
      <c r="F39" s="6" t="s">
        <v>47</v>
      </c>
      <c r="G39" s="6" t="s">
        <v>46</v>
      </c>
    </row>
    <row r="40" spans="1:7" x14ac:dyDescent="0.2">
      <c r="A40" s="6">
        <v>78</v>
      </c>
      <c r="B40" s="6" t="s">
        <v>47</v>
      </c>
      <c r="C40" s="6" t="s">
        <v>46</v>
      </c>
      <c r="D40" s="6" t="s">
        <v>46</v>
      </c>
      <c r="E40" s="6" t="s">
        <v>46</v>
      </c>
      <c r="F40" s="6" t="s">
        <v>47</v>
      </c>
      <c r="G40" s="6" t="s">
        <v>47</v>
      </c>
    </row>
    <row r="41" spans="1:7" x14ac:dyDescent="0.2">
      <c r="A41" s="6">
        <v>79</v>
      </c>
      <c r="B41" s="6" t="s">
        <v>47</v>
      </c>
      <c r="C41" s="6" t="s">
        <v>46</v>
      </c>
      <c r="D41" s="6" t="s">
        <v>47</v>
      </c>
      <c r="E41" s="6" t="s">
        <v>46</v>
      </c>
      <c r="F41" s="6" t="s">
        <v>47</v>
      </c>
      <c r="G41" s="6" t="s">
        <v>46</v>
      </c>
    </row>
    <row r="42" spans="1:7" x14ac:dyDescent="0.2">
      <c r="A42" s="6">
        <v>80</v>
      </c>
      <c r="B42" s="6" t="s">
        <v>47</v>
      </c>
      <c r="C42" s="6" t="s">
        <v>46</v>
      </c>
      <c r="D42" s="6" t="s">
        <v>46</v>
      </c>
      <c r="E42" s="6" t="s">
        <v>47</v>
      </c>
      <c r="F42" s="6" t="s">
        <v>47</v>
      </c>
      <c r="G42" s="6" t="s">
        <v>46</v>
      </c>
    </row>
    <row r="43" spans="1:7" x14ac:dyDescent="0.2">
      <c r="A43" s="6">
        <v>87</v>
      </c>
      <c r="B43" s="6" t="s">
        <v>47</v>
      </c>
      <c r="C43" s="6" t="s">
        <v>47</v>
      </c>
      <c r="D43" s="6" t="s">
        <v>47</v>
      </c>
      <c r="E43" s="6" t="s">
        <v>47</v>
      </c>
      <c r="F43" s="6" t="s">
        <v>47</v>
      </c>
      <c r="G43" s="6" t="s">
        <v>47</v>
      </c>
    </row>
    <row r="44" spans="1:7" x14ac:dyDescent="0.2">
      <c r="A44" s="6">
        <v>89</v>
      </c>
      <c r="B44" s="6" t="s">
        <v>47</v>
      </c>
      <c r="C44" s="6" t="s">
        <v>47</v>
      </c>
      <c r="D44" s="6" t="s">
        <v>46</v>
      </c>
      <c r="E44" s="6" t="s">
        <v>46</v>
      </c>
      <c r="F44" s="6" t="s">
        <v>47</v>
      </c>
      <c r="G44" s="6" t="s">
        <v>47</v>
      </c>
    </row>
    <row r="45" spans="1:7" x14ac:dyDescent="0.2">
      <c r="A45" s="6">
        <v>90</v>
      </c>
      <c r="B45" s="6" t="s">
        <v>47</v>
      </c>
      <c r="C45" s="6" t="s">
        <v>46</v>
      </c>
      <c r="D45" s="6" t="s">
        <v>46</v>
      </c>
      <c r="E45" s="6" t="s">
        <v>46</v>
      </c>
      <c r="F45" s="6" t="s">
        <v>46</v>
      </c>
      <c r="G45" s="6" t="s">
        <v>47</v>
      </c>
    </row>
    <row r="46" spans="1:7" x14ac:dyDescent="0.2">
      <c r="A46" s="6">
        <v>91</v>
      </c>
      <c r="B46" s="6" t="s">
        <v>47</v>
      </c>
      <c r="C46" s="6" t="s">
        <v>46</v>
      </c>
      <c r="D46" s="6" t="s">
        <v>46</v>
      </c>
      <c r="E46" s="6" t="s">
        <v>47</v>
      </c>
      <c r="F46" s="6" t="s">
        <v>46</v>
      </c>
      <c r="G46" s="6" t="s">
        <v>46</v>
      </c>
    </row>
    <row r="47" spans="1:7" x14ac:dyDescent="0.2">
      <c r="A47" s="6">
        <v>92</v>
      </c>
      <c r="B47" s="6" t="s">
        <v>47</v>
      </c>
      <c r="C47" s="6" t="s">
        <v>47</v>
      </c>
      <c r="D47" s="6" t="s">
        <v>47</v>
      </c>
      <c r="E47" s="6" t="s">
        <v>46</v>
      </c>
      <c r="F47" s="6" t="s">
        <v>47</v>
      </c>
      <c r="G47" s="6" t="s">
        <v>47</v>
      </c>
    </row>
    <row r="48" spans="1:7" x14ac:dyDescent="0.2">
      <c r="A48" s="6">
        <v>93</v>
      </c>
      <c r="B48" s="6" t="s">
        <v>47</v>
      </c>
      <c r="C48" s="6" t="s">
        <v>46</v>
      </c>
      <c r="D48" s="6" t="s">
        <v>47</v>
      </c>
      <c r="E48" s="6" t="s">
        <v>46</v>
      </c>
      <c r="F48" s="6" t="s">
        <v>47</v>
      </c>
      <c r="G48" s="6" t="s">
        <v>46</v>
      </c>
    </row>
    <row r="49" spans="1:7" x14ac:dyDescent="0.2">
      <c r="A49" s="6">
        <v>95</v>
      </c>
      <c r="B49" s="6" t="s">
        <v>47</v>
      </c>
      <c r="C49" s="6" t="s">
        <v>47</v>
      </c>
      <c r="D49" s="6" t="s">
        <v>47</v>
      </c>
      <c r="E49" s="6" t="s">
        <v>46</v>
      </c>
      <c r="F49" s="6" t="s">
        <v>47</v>
      </c>
      <c r="G49" s="6" t="s">
        <v>46</v>
      </c>
    </row>
    <row r="50" spans="1:7" x14ac:dyDescent="0.2">
      <c r="A50" s="6">
        <v>96</v>
      </c>
      <c r="B50" s="6" t="s">
        <v>46</v>
      </c>
      <c r="C50" s="6" t="s">
        <v>46</v>
      </c>
      <c r="D50" s="6" t="s">
        <v>47</v>
      </c>
      <c r="E50" s="6" t="s">
        <v>46</v>
      </c>
      <c r="F50" s="6" t="s">
        <v>47</v>
      </c>
      <c r="G50" s="6" t="s">
        <v>46</v>
      </c>
    </row>
    <row r="51" spans="1:7" x14ac:dyDescent="0.2">
      <c r="A51" s="6">
        <v>100</v>
      </c>
      <c r="B51" s="6" t="s">
        <v>47</v>
      </c>
      <c r="C51" s="6" t="s">
        <v>46</v>
      </c>
      <c r="D51" s="6" t="s">
        <v>47</v>
      </c>
      <c r="E51" s="6" t="s">
        <v>46</v>
      </c>
      <c r="F51" s="6" t="s">
        <v>47</v>
      </c>
      <c r="G51" s="6" t="s">
        <v>47</v>
      </c>
    </row>
    <row r="52" spans="1:7" x14ac:dyDescent="0.2">
      <c r="A52" s="6">
        <v>104</v>
      </c>
      <c r="B52" s="6" t="s">
        <v>47</v>
      </c>
      <c r="C52" s="6" t="s">
        <v>46</v>
      </c>
      <c r="D52" s="6" t="s">
        <v>47</v>
      </c>
      <c r="E52" s="6" t="s">
        <v>46</v>
      </c>
      <c r="F52" s="6" t="s">
        <v>47</v>
      </c>
      <c r="G52" s="6" t="s">
        <v>46</v>
      </c>
    </row>
    <row r="53" spans="1:7" x14ac:dyDescent="0.2">
      <c r="A53" s="6">
        <v>107</v>
      </c>
      <c r="B53" s="6" t="s">
        <v>47</v>
      </c>
      <c r="C53" s="6" t="s">
        <v>46</v>
      </c>
      <c r="D53" s="6" t="s">
        <v>46</v>
      </c>
      <c r="E53" s="6" t="s">
        <v>47</v>
      </c>
      <c r="F53" s="6" t="s">
        <v>47</v>
      </c>
      <c r="G53" s="6" t="s">
        <v>46</v>
      </c>
    </row>
    <row r="54" spans="1:7" x14ac:dyDescent="0.2">
      <c r="A54" s="6">
        <v>109</v>
      </c>
      <c r="B54" s="6" t="s">
        <v>47</v>
      </c>
      <c r="C54" s="6" t="s">
        <v>47</v>
      </c>
      <c r="D54" s="6" t="s">
        <v>46</v>
      </c>
      <c r="E54" s="6" t="s">
        <v>46</v>
      </c>
      <c r="F54" s="6" t="s">
        <v>47</v>
      </c>
      <c r="G54" s="6" t="s">
        <v>47</v>
      </c>
    </row>
    <row r="55" spans="1:7" x14ac:dyDescent="0.2">
      <c r="A55" s="6">
        <v>110</v>
      </c>
      <c r="B55" s="6" t="s">
        <v>46</v>
      </c>
      <c r="C55" s="6" t="s">
        <v>47</v>
      </c>
      <c r="D55" s="6" t="s">
        <v>47</v>
      </c>
      <c r="E55" s="6" t="s">
        <v>46</v>
      </c>
      <c r="F55" s="6" t="s">
        <v>47</v>
      </c>
      <c r="G55" s="6" t="s">
        <v>46</v>
      </c>
    </row>
    <row r="56" spans="1:7" x14ac:dyDescent="0.2">
      <c r="A56" s="6">
        <v>112</v>
      </c>
      <c r="B56" s="6" t="s">
        <v>47</v>
      </c>
      <c r="C56" s="6" t="s">
        <v>47</v>
      </c>
      <c r="D56" s="6" t="s">
        <v>47</v>
      </c>
      <c r="E56" s="6" t="s">
        <v>47</v>
      </c>
      <c r="F56" s="6" t="s">
        <v>47</v>
      </c>
      <c r="G56" s="6" t="s">
        <v>47</v>
      </c>
    </row>
    <row r="57" spans="1:7" x14ac:dyDescent="0.2">
      <c r="A57" s="6">
        <v>118</v>
      </c>
      <c r="B57" s="6" t="s">
        <v>47</v>
      </c>
      <c r="C57" s="6" t="s">
        <v>46</v>
      </c>
      <c r="D57" s="6" t="s">
        <v>47</v>
      </c>
      <c r="E57" s="6" t="s">
        <v>46</v>
      </c>
      <c r="F57" s="6" t="s">
        <v>47</v>
      </c>
      <c r="G57" s="6" t="s">
        <v>46</v>
      </c>
    </row>
    <row r="58" spans="1:7" x14ac:dyDescent="0.2">
      <c r="A58" s="6">
        <v>119</v>
      </c>
      <c r="B58" s="6" t="s">
        <v>46</v>
      </c>
      <c r="C58" s="6" t="s">
        <v>47</v>
      </c>
      <c r="D58" s="6" t="s">
        <v>47</v>
      </c>
      <c r="E58" s="6" t="s">
        <v>46</v>
      </c>
      <c r="F58" s="6" t="s">
        <v>47</v>
      </c>
      <c r="G58" s="6" t="s">
        <v>47</v>
      </c>
    </row>
    <row r="59" spans="1:7" x14ac:dyDescent="0.2">
      <c r="A59" s="6">
        <v>120</v>
      </c>
      <c r="B59" s="6" t="s">
        <v>47</v>
      </c>
      <c r="C59" s="6" t="s">
        <v>46</v>
      </c>
      <c r="D59" s="6" t="s">
        <v>46</v>
      </c>
      <c r="E59" s="6" t="s">
        <v>46</v>
      </c>
      <c r="F59" s="6" t="s">
        <v>47</v>
      </c>
      <c r="G59" s="6" t="s">
        <v>47</v>
      </c>
    </row>
    <row r="60" spans="1:7" x14ac:dyDescent="0.2">
      <c r="A60" s="6">
        <v>121</v>
      </c>
      <c r="B60" s="6" t="s">
        <v>47</v>
      </c>
      <c r="C60" s="6" t="s">
        <v>46</v>
      </c>
      <c r="D60" s="6" t="s">
        <v>46</v>
      </c>
      <c r="E60" s="6" t="s">
        <v>46</v>
      </c>
      <c r="F60" s="6" t="s">
        <v>47</v>
      </c>
      <c r="G60" s="6" t="s">
        <v>46</v>
      </c>
    </row>
    <row r="61" spans="1:7" x14ac:dyDescent="0.2">
      <c r="A61" s="6">
        <v>122</v>
      </c>
      <c r="B61" s="6" t="s">
        <v>47</v>
      </c>
      <c r="C61" s="6" t="s">
        <v>47</v>
      </c>
      <c r="D61" s="6" t="s">
        <v>46</v>
      </c>
      <c r="E61" s="6" t="s">
        <v>46</v>
      </c>
      <c r="F61" s="6" t="s">
        <v>47</v>
      </c>
      <c r="G61" s="6" t="s">
        <v>46</v>
      </c>
    </row>
    <row r="62" spans="1:7" x14ac:dyDescent="0.2">
      <c r="A62" s="6">
        <v>127</v>
      </c>
      <c r="B62" s="6" t="s">
        <v>47</v>
      </c>
      <c r="C62" s="6" t="s">
        <v>46</v>
      </c>
      <c r="D62" s="6" t="s">
        <v>47</v>
      </c>
      <c r="E62" s="6" t="s">
        <v>46</v>
      </c>
      <c r="F62" s="6" t="s">
        <v>47</v>
      </c>
      <c r="G62" s="6" t="s">
        <v>47</v>
      </c>
    </row>
    <row r="63" spans="1:7" x14ac:dyDescent="0.2">
      <c r="A63" s="6">
        <v>128</v>
      </c>
      <c r="B63" s="6" t="s">
        <v>47</v>
      </c>
      <c r="C63" s="6" t="s">
        <v>46</v>
      </c>
      <c r="D63" s="6" t="s">
        <v>46</v>
      </c>
      <c r="E63" s="6" t="s">
        <v>47</v>
      </c>
      <c r="F63" s="6" t="s">
        <v>46</v>
      </c>
      <c r="G63" s="6" t="s">
        <v>46</v>
      </c>
    </row>
    <row r="64" spans="1:7" x14ac:dyDescent="0.2">
      <c r="A64" s="6">
        <v>132</v>
      </c>
      <c r="B64" s="6" t="s">
        <v>47</v>
      </c>
      <c r="C64" s="6" t="s">
        <v>46</v>
      </c>
      <c r="D64" s="6" t="s">
        <v>47</v>
      </c>
      <c r="E64" s="6" t="s">
        <v>46</v>
      </c>
      <c r="F64" s="6" t="s">
        <v>47</v>
      </c>
      <c r="G64" s="6" t="s">
        <v>46</v>
      </c>
    </row>
    <row r="65" spans="1:7" x14ac:dyDescent="0.2">
      <c r="A65" s="6">
        <v>135</v>
      </c>
      <c r="B65" s="6" t="s">
        <v>47</v>
      </c>
      <c r="C65" s="6" t="s">
        <v>46</v>
      </c>
      <c r="D65" s="6" t="s">
        <v>47</v>
      </c>
      <c r="E65" s="6" t="s">
        <v>46</v>
      </c>
      <c r="F65" s="6" t="s">
        <v>46</v>
      </c>
      <c r="G65" s="6" t="s">
        <v>46</v>
      </c>
    </row>
    <row r="66" spans="1:7" x14ac:dyDescent="0.2">
      <c r="A66" s="6">
        <v>136</v>
      </c>
      <c r="B66" s="6" t="s">
        <v>47</v>
      </c>
      <c r="C66" s="6" t="s">
        <v>47</v>
      </c>
      <c r="D66" s="6" t="s">
        <v>47</v>
      </c>
      <c r="E66" s="6" t="s">
        <v>46</v>
      </c>
      <c r="F66" s="6" t="s">
        <v>47</v>
      </c>
      <c r="G66" s="6" t="s">
        <v>46</v>
      </c>
    </row>
    <row r="67" spans="1:7" x14ac:dyDescent="0.2">
      <c r="A67" s="6">
        <v>138</v>
      </c>
      <c r="B67" s="6" t="s">
        <v>47</v>
      </c>
      <c r="C67" s="6" t="s">
        <v>46</v>
      </c>
      <c r="D67" s="6" t="s">
        <v>47</v>
      </c>
      <c r="E67" s="6" t="s">
        <v>46</v>
      </c>
      <c r="F67" s="6" t="s">
        <v>47</v>
      </c>
      <c r="G67" s="6" t="s">
        <v>46</v>
      </c>
    </row>
    <row r="68" spans="1:7" x14ac:dyDescent="0.2">
      <c r="A68" s="6">
        <v>139</v>
      </c>
      <c r="B68" s="6" t="s">
        <v>47</v>
      </c>
      <c r="C68" s="6" t="s">
        <v>46</v>
      </c>
      <c r="D68" s="6" t="s">
        <v>46</v>
      </c>
      <c r="E68" s="6" t="s">
        <v>47</v>
      </c>
      <c r="F68" s="6" t="s">
        <v>47</v>
      </c>
      <c r="G68" s="6" t="s">
        <v>47</v>
      </c>
    </row>
    <row r="69" spans="1:7" x14ac:dyDescent="0.2">
      <c r="A69" s="6">
        <v>140</v>
      </c>
      <c r="B69" s="6" t="s">
        <v>47</v>
      </c>
      <c r="C69" s="6" t="s">
        <v>46</v>
      </c>
      <c r="D69" s="6" t="s">
        <v>47</v>
      </c>
      <c r="E69" s="6" t="s">
        <v>46</v>
      </c>
      <c r="F69" s="6" t="s">
        <v>47</v>
      </c>
      <c r="G69" s="6" t="s">
        <v>46</v>
      </c>
    </row>
    <row r="70" spans="1:7" x14ac:dyDescent="0.2">
      <c r="A70" s="6">
        <v>148</v>
      </c>
      <c r="B70" s="6" t="s">
        <v>47</v>
      </c>
      <c r="C70" s="6" t="s">
        <v>47</v>
      </c>
      <c r="D70" s="6" t="s">
        <v>47</v>
      </c>
      <c r="E70" s="6" t="s">
        <v>46</v>
      </c>
      <c r="F70" s="6" t="s">
        <v>47</v>
      </c>
      <c r="G70" s="6" t="s">
        <v>46</v>
      </c>
    </row>
    <row r="71" spans="1:7" x14ac:dyDescent="0.2">
      <c r="A71" s="6">
        <v>149</v>
      </c>
      <c r="B71" s="6" t="s">
        <v>47</v>
      </c>
      <c r="C71" s="6" t="s">
        <v>46</v>
      </c>
      <c r="D71" s="6" t="s">
        <v>47</v>
      </c>
      <c r="E71" s="6" t="s">
        <v>46</v>
      </c>
      <c r="F71" s="6" t="s">
        <v>47</v>
      </c>
      <c r="G71" s="6" t="s">
        <v>47</v>
      </c>
    </row>
    <row r="72" spans="1:7" x14ac:dyDescent="0.2">
      <c r="A72" s="6">
        <v>150</v>
      </c>
      <c r="B72" s="6" t="s">
        <v>47</v>
      </c>
      <c r="C72" s="6" t="s">
        <v>46</v>
      </c>
      <c r="D72" s="6" t="s">
        <v>47</v>
      </c>
      <c r="E72" s="6" t="s">
        <v>47</v>
      </c>
      <c r="F72" s="6" t="s">
        <v>46</v>
      </c>
      <c r="G72" s="6" t="s">
        <v>46</v>
      </c>
    </row>
    <row r="73" spans="1:7" x14ac:dyDescent="0.2">
      <c r="A73" s="6">
        <v>151</v>
      </c>
      <c r="B73" s="6" t="s">
        <v>47</v>
      </c>
      <c r="C73" s="6" t="s">
        <v>46</v>
      </c>
      <c r="D73" s="6" t="s">
        <v>46</v>
      </c>
      <c r="E73" s="6" t="s">
        <v>46</v>
      </c>
      <c r="F73" s="6" t="s">
        <v>46</v>
      </c>
      <c r="G73" s="6" t="s">
        <v>46</v>
      </c>
    </row>
    <row r="74" spans="1:7" x14ac:dyDescent="0.2">
      <c r="A74" s="6">
        <v>152</v>
      </c>
      <c r="B74" s="6" t="s">
        <v>47</v>
      </c>
      <c r="C74" s="6" t="s">
        <v>46</v>
      </c>
      <c r="D74" s="6" t="s">
        <v>46</v>
      </c>
      <c r="E74" s="6" t="s">
        <v>46</v>
      </c>
      <c r="F74" s="6" t="s">
        <v>47</v>
      </c>
      <c r="G74" s="6" t="s">
        <v>46</v>
      </c>
    </row>
    <row r="75" spans="1:7" x14ac:dyDescent="0.2">
      <c r="A75" s="6">
        <v>153</v>
      </c>
      <c r="B75" s="6" t="s">
        <v>47</v>
      </c>
      <c r="C75" s="6" t="s">
        <v>46</v>
      </c>
      <c r="D75" s="6" t="s">
        <v>46</v>
      </c>
      <c r="E75" s="6" t="s">
        <v>46</v>
      </c>
      <c r="F75" s="6" t="s">
        <v>47</v>
      </c>
      <c r="G75" s="6" t="s">
        <v>47</v>
      </c>
    </row>
    <row r="76" spans="1:7" x14ac:dyDescent="0.2">
      <c r="A76" s="6">
        <v>157</v>
      </c>
      <c r="B76" s="6" t="s">
        <v>47</v>
      </c>
      <c r="C76" s="6" t="s">
        <v>47</v>
      </c>
      <c r="D76" s="6" t="s">
        <v>46</v>
      </c>
      <c r="E76" s="6" t="s">
        <v>46</v>
      </c>
      <c r="F76" s="6" t="s">
        <v>47</v>
      </c>
      <c r="G76" s="6" t="s">
        <v>47</v>
      </c>
    </row>
    <row r="77" spans="1:7" x14ac:dyDescent="0.2">
      <c r="A77" s="6">
        <v>156</v>
      </c>
      <c r="B77" s="6" t="s">
        <v>47</v>
      </c>
      <c r="C77" s="6" t="s">
        <v>47</v>
      </c>
      <c r="D77" s="6" t="s">
        <v>47</v>
      </c>
      <c r="E77" s="6" t="s">
        <v>46</v>
      </c>
      <c r="F77" s="6" t="s">
        <v>47</v>
      </c>
      <c r="G77" s="6" t="s">
        <v>46</v>
      </c>
    </row>
    <row r="78" spans="1:7" x14ac:dyDescent="0.2">
      <c r="A78" s="6">
        <v>162</v>
      </c>
      <c r="B78" s="6" t="s">
        <v>47</v>
      </c>
      <c r="C78" s="6" t="s">
        <v>46</v>
      </c>
      <c r="D78" s="6" t="s">
        <v>46</v>
      </c>
      <c r="E78" s="6" t="s">
        <v>46</v>
      </c>
      <c r="F78" s="6" t="s">
        <v>47</v>
      </c>
      <c r="G78" s="6" t="s">
        <v>47</v>
      </c>
    </row>
    <row r="79" spans="1:7" x14ac:dyDescent="0.2">
      <c r="A79" s="6">
        <v>164</v>
      </c>
      <c r="B79" s="6" t="s">
        <v>47</v>
      </c>
      <c r="C79" s="6" t="s">
        <v>46</v>
      </c>
      <c r="D79" s="6" t="s">
        <v>46</v>
      </c>
      <c r="E79" s="6" t="s">
        <v>46</v>
      </c>
      <c r="F79" s="6" t="s">
        <v>47</v>
      </c>
      <c r="G79" s="6" t="s">
        <v>46</v>
      </c>
    </row>
    <row r="80" spans="1:7" x14ac:dyDescent="0.2">
      <c r="A80" s="6">
        <v>166</v>
      </c>
      <c r="B80" s="6" t="s">
        <v>56</v>
      </c>
      <c r="C80" s="6" t="s">
        <v>56</v>
      </c>
      <c r="D80" s="6" t="s">
        <v>56</v>
      </c>
      <c r="E80" s="6" t="s">
        <v>56</v>
      </c>
      <c r="F80" s="6" t="s">
        <v>56</v>
      </c>
      <c r="G80" s="6" t="s">
        <v>56</v>
      </c>
    </row>
    <row r="81" spans="1:7" x14ac:dyDescent="0.2">
      <c r="A81" s="6">
        <v>170</v>
      </c>
      <c r="B81" s="6" t="s">
        <v>47</v>
      </c>
      <c r="C81" s="6" t="s">
        <v>46</v>
      </c>
      <c r="D81" s="6" t="s">
        <v>47</v>
      </c>
      <c r="E81" s="6" t="s">
        <v>47</v>
      </c>
      <c r="F81" s="6" t="s">
        <v>46</v>
      </c>
      <c r="G81" s="6" t="s">
        <v>47</v>
      </c>
    </row>
    <row r="82" spans="1:7" x14ac:dyDescent="0.2">
      <c r="A82" s="6">
        <v>173</v>
      </c>
      <c r="B82" s="6" t="s">
        <v>47</v>
      </c>
      <c r="C82" s="6" t="s">
        <v>47</v>
      </c>
      <c r="D82" s="6" t="s">
        <v>47</v>
      </c>
      <c r="E82" s="6" t="s">
        <v>47</v>
      </c>
      <c r="F82" s="6" t="s">
        <v>47</v>
      </c>
      <c r="G82" s="6" t="s">
        <v>46</v>
      </c>
    </row>
    <row r="83" spans="1:7" x14ac:dyDescent="0.2">
      <c r="A83" s="6">
        <v>175</v>
      </c>
      <c r="B83" s="6" t="s">
        <v>47</v>
      </c>
      <c r="C83" s="6" t="s">
        <v>47</v>
      </c>
      <c r="D83" s="6" t="s">
        <v>47</v>
      </c>
      <c r="E83" s="6" t="s">
        <v>46</v>
      </c>
      <c r="F83" s="6" t="s">
        <v>47</v>
      </c>
      <c r="G83" s="6" t="s">
        <v>47</v>
      </c>
    </row>
    <row r="84" spans="1:7" x14ac:dyDescent="0.2">
      <c r="A84" s="6">
        <v>178</v>
      </c>
      <c r="B84" s="6" t="s">
        <v>46</v>
      </c>
      <c r="C84" s="6" t="s">
        <v>46</v>
      </c>
      <c r="D84" s="6" t="s">
        <v>47</v>
      </c>
      <c r="E84" s="6" t="s">
        <v>46</v>
      </c>
      <c r="F84" s="6" t="s">
        <v>47</v>
      </c>
      <c r="G84" s="6" t="s">
        <v>46</v>
      </c>
    </row>
    <row r="85" spans="1:7" x14ac:dyDescent="0.2">
      <c r="A85" s="6">
        <v>183</v>
      </c>
      <c r="B85" s="6" t="s">
        <v>47</v>
      </c>
      <c r="C85" s="6" t="s">
        <v>46</v>
      </c>
      <c r="D85" s="6" t="s">
        <v>46</v>
      </c>
      <c r="E85" s="6" t="s">
        <v>47</v>
      </c>
      <c r="F85" s="6" t="s">
        <v>47</v>
      </c>
      <c r="G85" s="6" t="s">
        <v>47</v>
      </c>
    </row>
    <row r="86" spans="1:7" x14ac:dyDescent="0.2">
      <c r="A86" s="6">
        <v>185</v>
      </c>
      <c r="B86" s="6" t="s">
        <v>47</v>
      </c>
      <c r="C86" s="6" t="s">
        <v>46</v>
      </c>
      <c r="D86" s="6" t="s">
        <v>46</v>
      </c>
      <c r="E86" s="6" t="s">
        <v>46</v>
      </c>
      <c r="F86" s="6" t="s">
        <v>46</v>
      </c>
      <c r="G86" s="6" t="s">
        <v>46</v>
      </c>
    </row>
    <row r="87" spans="1:7" x14ac:dyDescent="0.2">
      <c r="A87" s="6">
        <v>186</v>
      </c>
      <c r="B87" s="6" t="s">
        <v>56</v>
      </c>
      <c r="C87" s="6" t="s">
        <v>56</v>
      </c>
      <c r="D87" s="6" t="s">
        <v>56</v>
      </c>
      <c r="E87" s="6" t="s">
        <v>56</v>
      </c>
      <c r="F87" s="6" t="s">
        <v>56</v>
      </c>
      <c r="G87" s="6" t="s">
        <v>56</v>
      </c>
    </row>
    <row r="88" spans="1:7" x14ac:dyDescent="0.2">
      <c r="A88" s="6">
        <v>189</v>
      </c>
      <c r="B88" s="6" t="s">
        <v>47</v>
      </c>
      <c r="C88" s="6" t="s">
        <v>46</v>
      </c>
      <c r="D88" s="6" t="s">
        <v>46</v>
      </c>
      <c r="E88" s="6" t="s">
        <v>47</v>
      </c>
      <c r="F88" s="6" t="s">
        <v>46</v>
      </c>
      <c r="G88" s="6" t="s">
        <v>46</v>
      </c>
    </row>
    <row r="89" spans="1:7" x14ac:dyDescent="0.2">
      <c r="A89" s="6">
        <v>190</v>
      </c>
      <c r="B89" s="6" t="s">
        <v>47</v>
      </c>
      <c r="C89" s="6" t="s">
        <v>46</v>
      </c>
      <c r="D89" s="6" t="s">
        <v>46</v>
      </c>
      <c r="E89" s="6" t="s">
        <v>47</v>
      </c>
      <c r="F89" s="6" t="s">
        <v>47</v>
      </c>
      <c r="G89" s="6" t="s">
        <v>46</v>
      </c>
    </row>
    <row r="90" spans="1:7" x14ac:dyDescent="0.2">
      <c r="A90" s="6">
        <v>192</v>
      </c>
      <c r="B90" s="6" t="s">
        <v>47</v>
      </c>
      <c r="C90" s="6" t="s">
        <v>46</v>
      </c>
      <c r="D90" s="6" t="s">
        <v>46</v>
      </c>
      <c r="E90" s="6" t="s">
        <v>47</v>
      </c>
      <c r="F90" s="6" t="s">
        <v>47</v>
      </c>
      <c r="G90" s="6" t="s">
        <v>47</v>
      </c>
    </row>
    <row r="91" spans="1:7" x14ac:dyDescent="0.2">
      <c r="A91" s="6">
        <v>193</v>
      </c>
      <c r="B91" s="6" t="s">
        <v>56</v>
      </c>
      <c r="C91" s="6" t="s">
        <v>56</v>
      </c>
      <c r="D91" s="6" t="s">
        <v>56</v>
      </c>
      <c r="E91" s="6" t="s">
        <v>56</v>
      </c>
      <c r="F91" s="6" t="s">
        <v>56</v>
      </c>
      <c r="G91" s="6" t="s">
        <v>56</v>
      </c>
    </row>
    <row r="92" spans="1:7" x14ac:dyDescent="0.2">
      <c r="A92" s="6">
        <v>196</v>
      </c>
      <c r="B92" s="6" t="s">
        <v>56</v>
      </c>
      <c r="C92" s="6" t="s">
        <v>56</v>
      </c>
      <c r="D92" s="6" t="s">
        <v>56</v>
      </c>
      <c r="E92" s="6" t="s">
        <v>56</v>
      </c>
      <c r="F92" s="6" t="s">
        <v>56</v>
      </c>
      <c r="G92" s="6" t="s">
        <v>56</v>
      </c>
    </row>
    <row r="93" spans="1:7" x14ac:dyDescent="0.2">
      <c r="A93" s="6">
        <v>197</v>
      </c>
      <c r="B93" s="6" t="s">
        <v>47</v>
      </c>
      <c r="C93" s="6" t="s">
        <v>47</v>
      </c>
      <c r="D93" s="6" t="s">
        <v>46</v>
      </c>
      <c r="E93" s="6" t="s">
        <v>47</v>
      </c>
      <c r="F93" s="6" t="s">
        <v>47</v>
      </c>
      <c r="G93" s="6" t="s">
        <v>46</v>
      </c>
    </row>
    <row r="94" spans="1:7" x14ac:dyDescent="0.2">
      <c r="A94" s="6">
        <v>200</v>
      </c>
      <c r="B94" s="6" t="s">
        <v>47</v>
      </c>
      <c r="C94" s="6" t="s">
        <v>46</v>
      </c>
      <c r="D94" s="6" t="s">
        <v>46</v>
      </c>
      <c r="E94" s="6" t="s">
        <v>47</v>
      </c>
      <c r="F94" s="6" t="s">
        <v>47</v>
      </c>
      <c r="G94" s="6" t="s">
        <v>46</v>
      </c>
    </row>
    <row r="95" spans="1:7" x14ac:dyDescent="0.2">
      <c r="A95" s="6">
        <v>203</v>
      </c>
      <c r="B95" s="6" t="s">
        <v>47</v>
      </c>
      <c r="C95" s="6" t="s">
        <v>46</v>
      </c>
      <c r="D95" s="6" t="s">
        <v>47</v>
      </c>
      <c r="E95" s="6" t="s">
        <v>46</v>
      </c>
      <c r="F95" s="6" t="s">
        <v>47</v>
      </c>
      <c r="G95" s="6" t="s">
        <v>46</v>
      </c>
    </row>
    <row r="96" spans="1:7" x14ac:dyDescent="0.2">
      <c r="A96" s="6">
        <v>204</v>
      </c>
      <c r="B96" s="6" t="s">
        <v>56</v>
      </c>
      <c r="C96" s="6" t="s">
        <v>56</v>
      </c>
      <c r="D96" s="6" t="s">
        <v>56</v>
      </c>
      <c r="E96" s="6" t="s">
        <v>56</v>
      </c>
      <c r="F96" s="6" t="s">
        <v>56</v>
      </c>
      <c r="G96" s="6" t="s">
        <v>56</v>
      </c>
    </row>
    <row r="97" spans="1:7" x14ac:dyDescent="0.2">
      <c r="A97" s="6">
        <v>207</v>
      </c>
      <c r="B97" s="6" t="s">
        <v>56</v>
      </c>
      <c r="C97" s="6" t="s">
        <v>56</v>
      </c>
      <c r="D97" s="6" t="s">
        <v>56</v>
      </c>
      <c r="E97" s="6" t="s">
        <v>56</v>
      </c>
      <c r="F97" s="6" t="s">
        <v>56</v>
      </c>
      <c r="G97" s="6" t="s">
        <v>56</v>
      </c>
    </row>
    <row r="98" spans="1:7" x14ac:dyDescent="0.2">
      <c r="A98" s="6">
        <v>208</v>
      </c>
      <c r="B98" s="6" t="s">
        <v>47</v>
      </c>
      <c r="C98" s="6" t="s">
        <v>47</v>
      </c>
      <c r="D98" s="6" t="s">
        <v>46</v>
      </c>
      <c r="E98" s="6" t="s">
        <v>46</v>
      </c>
      <c r="F98" s="6" t="s">
        <v>47</v>
      </c>
      <c r="G98" s="6" t="s">
        <v>47</v>
      </c>
    </row>
    <row r="99" spans="1:7" x14ac:dyDescent="0.2">
      <c r="A99" s="6">
        <v>210</v>
      </c>
      <c r="B99" s="6" t="s">
        <v>47</v>
      </c>
      <c r="C99" s="6" t="s">
        <v>47</v>
      </c>
      <c r="D99" s="6" t="s">
        <v>46</v>
      </c>
      <c r="E99" s="6" t="s">
        <v>46</v>
      </c>
      <c r="F99" s="6" t="s">
        <v>47</v>
      </c>
      <c r="G99" s="6" t="s">
        <v>46</v>
      </c>
    </row>
    <row r="100" spans="1:7" x14ac:dyDescent="0.2">
      <c r="A100" s="6">
        <v>212</v>
      </c>
      <c r="B100" s="6" t="s">
        <v>46</v>
      </c>
      <c r="C100" s="6" t="s">
        <v>46</v>
      </c>
      <c r="D100" s="6" t="s">
        <v>47</v>
      </c>
      <c r="E100" s="6" t="s">
        <v>46</v>
      </c>
      <c r="F100" s="6" t="s">
        <v>47</v>
      </c>
      <c r="G100" s="6" t="s">
        <v>46</v>
      </c>
    </row>
    <row r="101" spans="1:7" x14ac:dyDescent="0.2">
      <c r="A101" s="6">
        <v>215</v>
      </c>
      <c r="B101" s="6" t="s">
        <v>47</v>
      </c>
      <c r="C101" s="6" t="s">
        <v>46</v>
      </c>
      <c r="D101" s="6" t="s">
        <v>46</v>
      </c>
      <c r="E101" s="6" t="s">
        <v>47</v>
      </c>
      <c r="F101" s="6" t="s">
        <v>47</v>
      </c>
      <c r="G101" s="6" t="s">
        <v>47</v>
      </c>
    </row>
    <row r="102" spans="1:7" x14ac:dyDescent="0.2">
      <c r="A102" s="6">
        <v>217</v>
      </c>
      <c r="B102" s="6" t="s">
        <v>47</v>
      </c>
      <c r="C102" s="6" t="s">
        <v>46</v>
      </c>
      <c r="D102" s="6" t="s">
        <v>46</v>
      </c>
      <c r="E102" s="6" t="s">
        <v>47</v>
      </c>
      <c r="F102" s="6" t="s">
        <v>46</v>
      </c>
      <c r="G102" s="6" t="s">
        <v>46</v>
      </c>
    </row>
    <row r="103" spans="1:7" x14ac:dyDescent="0.2">
      <c r="A103" s="6">
        <v>219</v>
      </c>
      <c r="B103" s="6" t="s">
        <v>47</v>
      </c>
      <c r="C103" s="6" t="s">
        <v>47</v>
      </c>
      <c r="D103" s="6" t="s">
        <v>46</v>
      </c>
      <c r="E103" s="6" t="s">
        <v>46</v>
      </c>
      <c r="F103" s="6" t="s">
        <v>47</v>
      </c>
      <c r="G103" s="6" t="s">
        <v>46</v>
      </c>
    </row>
    <row r="104" spans="1:7" x14ac:dyDescent="0.2">
      <c r="A104" s="6">
        <v>221</v>
      </c>
      <c r="B104" s="6" t="s">
        <v>47</v>
      </c>
      <c r="C104" s="6" t="s">
        <v>47</v>
      </c>
      <c r="D104" s="6" t="s">
        <v>46</v>
      </c>
      <c r="E104" s="6" t="s">
        <v>46</v>
      </c>
      <c r="F104" s="6" t="s">
        <v>47</v>
      </c>
      <c r="G104" s="6" t="s">
        <v>47</v>
      </c>
    </row>
    <row r="105" spans="1:7" x14ac:dyDescent="0.2">
      <c r="A105" s="6">
        <v>222</v>
      </c>
      <c r="B105" s="6" t="s">
        <v>47</v>
      </c>
      <c r="C105" s="6" t="s">
        <v>46</v>
      </c>
      <c r="D105" s="6" t="s">
        <v>47</v>
      </c>
      <c r="E105" s="6" t="s">
        <v>46</v>
      </c>
      <c r="F105" s="6" t="s">
        <v>47</v>
      </c>
      <c r="G105" s="6" t="s">
        <v>46</v>
      </c>
    </row>
    <row r="106" spans="1:7" x14ac:dyDescent="0.2">
      <c r="A106" s="6">
        <v>223</v>
      </c>
      <c r="B106" s="6" t="s">
        <v>47</v>
      </c>
      <c r="C106" s="6" t="s">
        <v>47</v>
      </c>
      <c r="D106" s="6" t="s">
        <v>47</v>
      </c>
      <c r="E106" s="6" t="s">
        <v>47</v>
      </c>
      <c r="F106" s="6" t="s">
        <v>47</v>
      </c>
      <c r="G106" s="6" t="s">
        <v>47</v>
      </c>
    </row>
    <row r="107" spans="1:7" x14ac:dyDescent="0.2">
      <c r="A107" s="6">
        <v>226</v>
      </c>
      <c r="B107" s="6" t="s">
        <v>47</v>
      </c>
      <c r="C107" s="6" t="s">
        <v>47</v>
      </c>
      <c r="D107" s="6" t="s">
        <v>47</v>
      </c>
      <c r="E107" s="6" t="s">
        <v>46</v>
      </c>
      <c r="F107" s="6" t="s">
        <v>47</v>
      </c>
      <c r="G107" s="6" t="s">
        <v>46</v>
      </c>
    </row>
    <row r="108" spans="1:7" x14ac:dyDescent="0.2">
      <c r="A108" s="6">
        <v>231</v>
      </c>
      <c r="B108" s="6" t="s">
        <v>47</v>
      </c>
      <c r="C108" s="6" t="s">
        <v>47</v>
      </c>
      <c r="D108" s="6" t="s">
        <v>46</v>
      </c>
      <c r="E108" s="6" t="s">
        <v>46</v>
      </c>
      <c r="F108" s="6" t="s">
        <v>47</v>
      </c>
      <c r="G108" s="6" t="s">
        <v>46</v>
      </c>
    </row>
    <row r="109" spans="1:7" x14ac:dyDescent="0.2">
      <c r="A109" s="6">
        <v>232</v>
      </c>
      <c r="B109" s="6" t="s">
        <v>46</v>
      </c>
      <c r="C109" s="6" t="s">
        <v>46</v>
      </c>
      <c r="D109" s="6" t="s">
        <v>46</v>
      </c>
      <c r="E109" s="6" t="s">
        <v>47</v>
      </c>
      <c r="F109" s="6" t="s">
        <v>47</v>
      </c>
      <c r="G109" s="6" t="s">
        <v>47</v>
      </c>
    </row>
    <row r="110" spans="1:7" x14ac:dyDescent="0.2">
      <c r="A110" s="6">
        <v>233</v>
      </c>
      <c r="B110" s="6" t="s">
        <v>56</v>
      </c>
      <c r="C110" s="6" t="s">
        <v>56</v>
      </c>
      <c r="D110" s="6" t="s">
        <v>56</v>
      </c>
      <c r="E110" s="6" t="s">
        <v>56</v>
      </c>
      <c r="F110" s="6" t="s">
        <v>56</v>
      </c>
      <c r="G110" s="6" t="s">
        <v>56</v>
      </c>
    </row>
    <row r="111" spans="1:7" x14ac:dyDescent="0.2">
      <c r="A111" s="6">
        <v>236</v>
      </c>
      <c r="B111" s="6" t="s">
        <v>46</v>
      </c>
      <c r="C111" s="6" t="s">
        <v>47</v>
      </c>
      <c r="D111" s="6" t="s">
        <v>47</v>
      </c>
      <c r="E111" s="6" t="s">
        <v>46</v>
      </c>
      <c r="F111" s="6" t="s">
        <v>47</v>
      </c>
      <c r="G111" s="6" t="s">
        <v>47</v>
      </c>
    </row>
    <row r="112" spans="1:7" x14ac:dyDescent="0.2">
      <c r="A112" s="6">
        <v>238</v>
      </c>
      <c r="B112" s="6" t="s">
        <v>47</v>
      </c>
      <c r="C112" s="6" t="s">
        <v>47</v>
      </c>
      <c r="D112" s="6" t="s">
        <v>46</v>
      </c>
      <c r="E112" s="6" t="s">
        <v>46</v>
      </c>
      <c r="F112" s="6" t="s">
        <v>46</v>
      </c>
      <c r="G112" s="6" t="s">
        <v>46</v>
      </c>
    </row>
    <row r="113" spans="1:7" x14ac:dyDescent="0.2">
      <c r="A113" s="6">
        <v>241</v>
      </c>
      <c r="B113" s="6" t="s">
        <v>47</v>
      </c>
      <c r="C113" s="6" t="s">
        <v>46</v>
      </c>
      <c r="D113" s="6" t="s">
        <v>46</v>
      </c>
      <c r="E113" s="6" t="s">
        <v>46</v>
      </c>
      <c r="F113" s="6" t="s">
        <v>46</v>
      </c>
      <c r="G113" s="6" t="s">
        <v>46</v>
      </c>
    </row>
    <row r="114" spans="1:7" x14ac:dyDescent="0.2">
      <c r="A114" s="6">
        <v>242</v>
      </c>
      <c r="B114" s="6" t="s">
        <v>56</v>
      </c>
      <c r="C114" s="6" t="s">
        <v>56</v>
      </c>
      <c r="D114" s="6" t="s">
        <v>56</v>
      </c>
      <c r="E114" s="6" t="s">
        <v>56</v>
      </c>
      <c r="F114" s="6" t="s">
        <v>56</v>
      </c>
      <c r="G114" s="6" t="s">
        <v>56</v>
      </c>
    </row>
    <row r="115" spans="1:7" x14ac:dyDescent="0.2">
      <c r="A115" s="6">
        <v>245</v>
      </c>
      <c r="B115" s="6" t="s">
        <v>47</v>
      </c>
      <c r="C115" s="6" t="s">
        <v>46</v>
      </c>
      <c r="D115" s="6" t="s">
        <v>46</v>
      </c>
      <c r="E115" s="6" t="s">
        <v>46</v>
      </c>
      <c r="F115" s="6" t="s">
        <v>47</v>
      </c>
      <c r="G115" s="6" t="s">
        <v>47</v>
      </c>
    </row>
    <row r="116" spans="1:7" x14ac:dyDescent="0.2">
      <c r="A116" s="6">
        <v>247</v>
      </c>
      <c r="B116" s="6" t="s">
        <v>47</v>
      </c>
      <c r="C116" s="6" t="s">
        <v>47</v>
      </c>
      <c r="D116" s="6" t="s">
        <v>47</v>
      </c>
      <c r="E116" s="6" t="s">
        <v>46</v>
      </c>
      <c r="F116" s="6" t="s">
        <v>47</v>
      </c>
      <c r="G116" s="6" t="s">
        <v>46</v>
      </c>
    </row>
    <row r="117" spans="1:7" x14ac:dyDescent="0.2">
      <c r="A117" s="6">
        <v>249</v>
      </c>
      <c r="B117" s="6" t="s">
        <v>46</v>
      </c>
      <c r="C117" s="6" t="s">
        <v>46</v>
      </c>
      <c r="D117" s="6" t="s">
        <v>47</v>
      </c>
      <c r="E117" s="6" t="s">
        <v>46</v>
      </c>
      <c r="F117" s="6" t="s">
        <v>47</v>
      </c>
      <c r="G117" s="6" t="s">
        <v>46</v>
      </c>
    </row>
    <row r="118" spans="1:7" x14ac:dyDescent="0.2">
      <c r="A118" s="6">
        <v>250</v>
      </c>
      <c r="B118" s="6" t="s">
        <v>46</v>
      </c>
      <c r="C118" s="6" t="s">
        <v>47</v>
      </c>
      <c r="D118" s="6" t="s">
        <v>47</v>
      </c>
      <c r="E118" s="6" t="s">
        <v>46</v>
      </c>
      <c r="F118" s="6" t="s">
        <v>47</v>
      </c>
      <c r="G118" s="6" t="s">
        <v>47</v>
      </c>
    </row>
    <row r="119" spans="1:7" x14ac:dyDescent="0.2">
      <c r="A119" s="6">
        <v>254</v>
      </c>
      <c r="B119" s="6" t="s">
        <v>56</v>
      </c>
      <c r="C119" s="6" t="s">
        <v>56</v>
      </c>
      <c r="D119" s="6" t="s">
        <v>56</v>
      </c>
      <c r="E119" s="6" t="s">
        <v>56</v>
      </c>
      <c r="F119" s="6" t="s">
        <v>56</v>
      </c>
      <c r="G119" s="6" t="s">
        <v>56</v>
      </c>
    </row>
    <row r="120" spans="1:7" x14ac:dyDescent="0.2">
      <c r="A120" s="6">
        <v>256</v>
      </c>
      <c r="B120" s="6" t="s">
        <v>56</v>
      </c>
      <c r="C120" s="6" t="s">
        <v>56</v>
      </c>
      <c r="D120" s="6" t="s">
        <v>56</v>
      </c>
      <c r="E120" s="6" t="s">
        <v>56</v>
      </c>
      <c r="F120" s="6" t="s">
        <v>56</v>
      </c>
      <c r="G120" s="6" t="s">
        <v>56</v>
      </c>
    </row>
    <row r="121" spans="1:7" x14ac:dyDescent="0.2">
      <c r="A121" s="6">
        <v>257</v>
      </c>
      <c r="B121" s="6" t="s">
        <v>47</v>
      </c>
      <c r="C121" s="6" t="s">
        <v>46</v>
      </c>
      <c r="D121" s="6" t="s">
        <v>46</v>
      </c>
      <c r="E121" s="6" t="s">
        <v>47</v>
      </c>
      <c r="F121" s="6" t="s">
        <v>46</v>
      </c>
      <c r="G121" s="6" t="s">
        <v>46</v>
      </c>
    </row>
    <row r="122" spans="1:7" x14ac:dyDescent="0.2">
      <c r="A122" s="6">
        <v>260</v>
      </c>
      <c r="B122" s="6" t="s">
        <v>47</v>
      </c>
      <c r="C122" s="6" t="s">
        <v>46</v>
      </c>
      <c r="D122" s="6" t="s">
        <v>46</v>
      </c>
      <c r="E122" s="6" t="s">
        <v>46</v>
      </c>
      <c r="F122" s="6" t="s">
        <v>47</v>
      </c>
      <c r="G122" s="6" t="s">
        <v>46</v>
      </c>
    </row>
    <row r="123" spans="1:7" x14ac:dyDescent="0.2">
      <c r="A123" s="6">
        <v>262</v>
      </c>
      <c r="B123" s="6" t="s">
        <v>47</v>
      </c>
      <c r="C123" s="6" t="s">
        <v>47</v>
      </c>
      <c r="D123" s="6" t="s">
        <v>47</v>
      </c>
      <c r="E123" s="6" t="s">
        <v>47</v>
      </c>
      <c r="F123" s="6" t="s">
        <v>47</v>
      </c>
      <c r="G123" s="6" t="s">
        <v>47</v>
      </c>
    </row>
    <row r="124" spans="1:7" x14ac:dyDescent="0.2">
      <c r="A124" s="6">
        <v>263</v>
      </c>
      <c r="B124" s="6" t="s">
        <v>47</v>
      </c>
      <c r="C124" s="6" t="s">
        <v>46</v>
      </c>
      <c r="D124" s="6" t="s">
        <v>46</v>
      </c>
      <c r="E124" s="6" t="s">
        <v>47</v>
      </c>
      <c r="F124" s="6" t="s">
        <v>46</v>
      </c>
      <c r="G124" s="6" t="s">
        <v>46</v>
      </c>
    </row>
    <row r="125" spans="1:7" x14ac:dyDescent="0.2">
      <c r="A125" s="6">
        <v>272</v>
      </c>
      <c r="B125" s="6" t="s">
        <v>46</v>
      </c>
      <c r="C125" s="6" t="s">
        <v>46</v>
      </c>
      <c r="D125" s="6" t="s">
        <v>47</v>
      </c>
      <c r="E125" s="6" t="s">
        <v>46</v>
      </c>
      <c r="F125" s="6" t="s">
        <v>47</v>
      </c>
      <c r="G125" s="6" t="s">
        <v>46</v>
      </c>
    </row>
    <row r="126" spans="1:7" x14ac:dyDescent="0.2">
      <c r="A126" s="6">
        <v>273</v>
      </c>
      <c r="B126" s="6" t="s">
        <v>47</v>
      </c>
      <c r="C126" s="6" t="s">
        <v>47</v>
      </c>
      <c r="D126" s="6" t="s">
        <v>46</v>
      </c>
      <c r="E126" s="6" t="s">
        <v>47</v>
      </c>
      <c r="F126" s="6" t="s">
        <v>46</v>
      </c>
      <c r="G126" s="6" t="s">
        <v>46</v>
      </c>
    </row>
    <row r="127" spans="1:7" x14ac:dyDescent="0.2">
      <c r="A127" s="6">
        <v>280</v>
      </c>
      <c r="B127" s="6" t="s">
        <v>47</v>
      </c>
      <c r="C127" s="6" t="s">
        <v>46</v>
      </c>
      <c r="D127" s="6" t="s">
        <v>46</v>
      </c>
      <c r="E127" s="6" t="s">
        <v>46</v>
      </c>
      <c r="F127" s="6" t="s">
        <v>47</v>
      </c>
      <c r="G127" s="6" t="s">
        <v>46</v>
      </c>
    </row>
    <row r="128" spans="1:7" x14ac:dyDescent="0.2">
      <c r="A128" s="6">
        <v>282</v>
      </c>
      <c r="B128" s="6" t="s">
        <v>47</v>
      </c>
      <c r="C128" s="6" t="s">
        <v>47</v>
      </c>
      <c r="D128" s="6" t="s">
        <v>46</v>
      </c>
      <c r="E128" s="6" t="s">
        <v>46</v>
      </c>
      <c r="F128" s="6" t="s">
        <v>47</v>
      </c>
      <c r="G128" s="6" t="s">
        <v>46</v>
      </c>
    </row>
    <row r="129" spans="1:7" x14ac:dyDescent="0.2">
      <c r="A129" s="6">
        <v>286</v>
      </c>
      <c r="B129" s="6" t="s">
        <v>47</v>
      </c>
      <c r="C129" s="6" t="s">
        <v>46</v>
      </c>
      <c r="D129" s="6" t="s">
        <v>47</v>
      </c>
      <c r="E129" s="6" t="s">
        <v>46</v>
      </c>
      <c r="F129" s="6" t="s">
        <v>47</v>
      </c>
      <c r="G129" s="6" t="s">
        <v>46</v>
      </c>
    </row>
    <row r="130" spans="1:7" x14ac:dyDescent="0.2">
      <c r="A130" s="6">
        <v>287</v>
      </c>
      <c r="B130" s="6" t="s">
        <v>47</v>
      </c>
      <c r="C130" s="6" t="s">
        <v>46</v>
      </c>
      <c r="D130" s="6" t="s">
        <v>47</v>
      </c>
      <c r="E130" s="6" t="s">
        <v>46</v>
      </c>
      <c r="F130" s="6" t="s">
        <v>47</v>
      </c>
      <c r="G130" s="6" t="s">
        <v>46</v>
      </c>
    </row>
    <row r="131" spans="1:7" x14ac:dyDescent="0.2">
      <c r="A131" s="6">
        <v>288</v>
      </c>
      <c r="B131" s="6" t="s">
        <v>56</v>
      </c>
      <c r="C131" s="6" t="s">
        <v>56</v>
      </c>
      <c r="D131" s="6" t="s">
        <v>56</v>
      </c>
      <c r="E131" s="6" t="s">
        <v>56</v>
      </c>
      <c r="F131" s="6" t="s">
        <v>56</v>
      </c>
      <c r="G131" s="6" t="s">
        <v>56</v>
      </c>
    </row>
    <row r="132" spans="1:7" x14ac:dyDescent="0.2">
      <c r="A132" s="6">
        <v>289</v>
      </c>
      <c r="B132" s="6" t="s">
        <v>47</v>
      </c>
      <c r="C132" s="6" t="s">
        <v>46</v>
      </c>
      <c r="D132" s="6" t="s">
        <v>46</v>
      </c>
      <c r="E132" s="6" t="s">
        <v>46</v>
      </c>
      <c r="F132" s="6" t="s">
        <v>46</v>
      </c>
      <c r="G132" s="6" t="s">
        <v>46</v>
      </c>
    </row>
    <row r="133" spans="1:7" x14ac:dyDescent="0.2">
      <c r="A133" s="6">
        <v>290</v>
      </c>
      <c r="B133" s="6" t="s">
        <v>47</v>
      </c>
      <c r="C133" s="6" t="s">
        <v>47</v>
      </c>
      <c r="D133" s="6" t="s">
        <v>46</v>
      </c>
      <c r="E133" s="6" t="s">
        <v>46</v>
      </c>
      <c r="F133" s="6" t="s">
        <v>47</v>
      </c>
      <c r="G133" s="6" t="s">
        <v>47</v>
      </c>
    </row>
    <row r="134" spans="1:7" x14ac:dyDescent="0.2">
      <c r="A134" s="6">
        <v>291</v>
      </c>
      <c r="B134" s="6" t="s">
        <v>46</v>
      </c>
      <c r="C134" s="6" t="s">
        <v>46</v>
      </c>
      <c r="D134" s="6" t="s">
        <v>46</v>
      </c>
      <c r="E134" s="6" t="s">
        <v>46</v>
      </c>
      <c r="F134" s="6" t="s">
        <v>47</v>
      </c>
      <c r="G134" s="6" t="s">
        <v>46</v>
      </c>
    </row>
    <row r="135" spans="1:7" x14ac:dyDescent="0.2">
      <c r="A135" s="6">
        <v>293</v>
      </c>
      <c r="B135" s="6" t="s">
        <v>47</v>
      </c>
      <c r="C135" s="6" t="s">
        <v>47</v>
      </c>
      <c r="D135" s="6" t="s">
        <v>46</v>
      </c>
      <c r="E135" s="6" t="s">
        <v>46</v>
      </c>
      <c r="F135" s="6" t="s">
        <v>46</v>
      </c>
      <c r="G135" s="6" t="s">
        <v>46</v>
      </c>
    </row>
    <row r="136" spans="1:7" x14ac:dyDescent="0.2">
      <c r="A136" s="6">
        <v>294</v>
      </c>
      <c r="B136" s="6" t="s">
        <v>47</v>
      </c>
      <c r="C136" s="6" t="s">
        <v>47</v>
      </c>
      <c r="D136" s="6" t="s">
        <v>47</v>
      </c>
      <c r="E136" s="6" t="s">
        <v>46</v>
      </c>
      <c r="F136" s="6" t="s">
        <v>47</v>
      </c>
      <c r="G136" s="6" t="s">
        <v>47</v>
      </c>
    </row>
    <row r="137" spans="1:7" x14ac:dyDescent="0.2">
      <c r="A137" s="6">
        <v>295</v>
      </c>
      <c r="B137" s="6" t="s">
        <v>47</v>
      </c>
      <c r="C137" s="6" t="s">
        <v>46</v>
      </c>
      <c r="D137" s="6" t="s">
        <v>46</v>
      </c>
      <c r="E137" s="6" t="s">
        <v>46</v>
      </c>
      <c r="F137" s="6" t="s">
        <v>46</v>
      </c>
      <c r="G137" s="6" t="s">
        <v>46</v>
      </c>
    </row>
    <row r="138" spans="1:7" x14ac:dyDescent="0.2">
      <c r="A138" s="6">
        <v>297</v>
      </c>
      <c r="B138" s="6" t="s">
        <v>47</v>
      </c>
      <c r="C138" s="6" t="s">
        <v>46</v>
      </c>
      <c r="D138" s="6" t="s">
        <v>47</v>
      </c>
      <c r="E138" s="6" t="s">
        <v>47</v>
      </c>
      <c r="F138" s="6" t="s">
        <v>47</v>
      </c>
      <c r="G138" s="6" t="s">
        <v>47</v>
      </c>
    </row>
    <row r="139" spans="1:7" x14ac:dyDescent="0.2">
      <c r="A139" s="6">
        <v>298</v>
      </c>
      <c r="B139" s="6" t="s">
        <v>47</v>
      </c>
      <c r="C139" s="6" t="s">
        <v>47</v>
      </c>
      <c r="D139" s="6" t="s">
        <v>46</v>
      </c>
      <c r="E139" s="6" t="s">
        <v>46</v>
      </c>
      <c r="F139" s="6" t="s">
        <v>46</v>
      </c>
      <c r="G139" s="6" t="s">
        <v>46</v>
      </c>
    </row>
    <row r="140" spans="1:7" x14ac:dyDescent="0.2">
      <c r="A140" s="6">
        <v>300</v>
      </c>
      <c r="B140" s="6" t="s">
        <v>47</v>
      </c>
      <c r="C140" s="6" t="s">
        <v>46</v>
      </c>
      <c r="D140" s="6" t="s">
        <v>46</v>
      </c>
      <c r="E140" s="6" t="s">
        <v>46</v>
      </c>
      <c r="F140" s="6" t="s">
        <v>47</v>
      </c>
      <c r="G140" s="6" t="s">
        <v>46</v>
      </c>
    </row>
    <row r="141" spans="1:7" x14ac:dyDescent="0.2">
      <c r="A141" s="6">
        <v>301</v>
      </c>
      <c r="B141" s="6" t="s">
        <v>47</v>
      </c>
      <c r="C141" s="6" t="s">
        <v>46</v>
      </c>
      <c r="D141" s="6" t="s">
        <v>46</v>
      </c>
      <c r="E141" s="6" t="s">
        <v>46</v>
      </c>
      <c r="F141" s="6" t="s">
        <v>46</v>
      </c>
      <c r="G141" s="6" t="s">
        <v>46</v>
      </c>
    </row>
    <row r="142" spans="1:7" x14ac:dyDescent="0.2">
      <c r="A142" s="6">
        <v>302</v>
      </c>
      <c r="B142" s="6" t="s">
        <v>46</v>
      </c>
      <c r="C142" s="6" t="s">
        <v>46</v>
      </c>
      <c r="D142" s="6" t="s">
        <v>47</v>
      </c>
      <c r="E142" s="6" t="s">
        <v>47</v>
      </c>
      <c r="F142" s="6" t="s">
        <v>47</v>
      </c>
      <c r="G142" s="6" t="s">
        <v>46</v>
      </c>
    </row>
    <row r="143" spans="1:7" x14ac:dyDescent="0.2">
      <c r="A143" s="6">
        <v>303</v>
      </c>
      <c r="B143" s="6" t="s">
        <v>47</v>
      </c>
      <c r="C143" s="6" t="s">
        <v>46</v>
      </c>
      <c r="D143" s="6" t="s">
        <v>47</v>
      </c>
      <c r="E143" s="6" t="s">
        <v>46</v>
      </c>
      <c r="F143" s="6" t="s">
        <v>47</v>
      </c>
      <c r="G143" s="6" t="s">
        <v>46</v>
      </c>
    </row>
    <row r="144" spans="1:7" x14ac:dyDescent="0.2">
      <c r="A144" s="6">
        <v>304</v>
      </c>
      <c r="B144" s="6" t="s">
        <v>47</v>
      </c>
      <c r="C144" s="6" t="s">
        <v>47</v>
      </c>
      <c r="D144" s="6" t="s">
        <v>47</v>
      </c>
      <c r="E144" s="6" t="s">
        <v>46</v>
      </c>
      <c r="F144" s="6" t="s">
        <v>47</v>
      </c>
      <c r="G144" s="6" t="s">
        <v>47</v>
      </c>
    </row>
    <row r="145" spans="1:7" x14ac:dyDescent="0.2">
      <c r="A145" s="6">
        <v>305</v>
      </c>
      <c r="B145" s="6" t="s">
        <v>47</v>
      </c>
      <c r="C145" s="6" t="s">
        <v>47</v>
      </c>
      <c r="D145" s="6" t="s">
        <v>47</v>
      </c>
      <c r="E145" s="6" t="s">
        <v>46</v>
      </c>
      <c r="F145" s="6" t="s">
        <v>47</v>
      </c>
      <c r="G145" s="6" t="s">
        <v>47</v>
      </c>
    </row>
    <row r="146" spans="1:7" x14ac:dyDescent="0.2">
      <c r="A146" s="6">
        <v>307</v>
      </c>
      <c r="B146" s="6" t="s">
        <v>47</v>
      </c>
      <c r="C146" s="6" t="s">
        <v>47</v>
      </c>
      <c r="D146" s="6" t="s">
        <v>47</v>
      </c>
      <c r="E146" s="6" t="s">
        <v>47</v>
      </c>
      <c r="F146" s="6" t="s">
        <v>47</v>
      </c>
      <c r="G146" s="6" t="s">
        <v>46</v>
      </c>
    </row>
    <row r="147" spans="1:7" x14ac:dyDescent="0.2">
      <c r="A147" s="6">
        <v>308</v>
      </c>
      <c r="B147" s="6" t="s">
        <v>47</v>
      </c>
      <c r="C147" s="6" t="s">
        <v>47</v>
      </c>
      <c r="D147" s="6" t="s">
        <v>46</v>
      </c>
      <c r="E147" s="6" t="s">
        <v>46</v>
      </c>
      <c r="F147" s="6" t="s">
        <v>47</v>
      </c>
      <c r="G147" s="6" t="s">
        <v>46</v>
      </c>
    </row>
    <row r="148" spans="1:7" x14ac:dyDescent="0.2">
      <c r="A148" s="8">
        <v>310</v>
      </c>
      <c r="B148" s="8" t="s">
        <v>47</v>
      </c>
      <c r="C148" s="8" t="s">
        <v>46</v>
      </c>
      <c r="D148" s="8" t="s">
        <v>47</v>
      </c>
      <c r="E148" s="8" t="s">
        <v>47</v>
      </c>
      <c r="F148" s="8" t="s">
        <v>47</v>
      </c>
      <c r="G148" s="8" t="s">
        <v>47</v>
      </c>
    </row>
    <row r="149" spans="1:7" x14ac:dyDescent="0.2">
      <c r="A149" s="8">
        <v>312</v>
      </c>
      <c r="B149" s="8" t="s">
        <v>47</v>
      </c>
      <c r="C149" s="8" t="s">
        <v>46</v>
      </c>
      <c r="D149" s="8" t="s">
        <v>47</v>
      </c>
      <c r="E149" s="8" t="s">
        <v>47</v>
      </c>
      <c r="F149" s="8" t="s">
        <v>47</v>
      </c>
      <c r="G149" s="8" t="s">
        <v>46</v>
      </c>
    </row>
    <row r="150" spans="1:7" x14ac:dyDescent="0.2">
      <c r="A150" s="8">
        <v>314</v>
      </c>
      <c r="B150" s="8" t="s">
        <v>47</v>
      </c>
      <c r="C150" s="8" t="s">
        <v>47</v>
      </c>
      <c r="D150" s="8" t="s">
        <v>47</v>
      </c>
      <c r="E150" s="8" t="s">
        <v>47</v>
      </c>
      <c r="F150" s="8" t="s">
        <v>47</v>
      </c>
      <c r="G150" s="8" t="s">
        <v>47</v>
      </c>
    </row>
    <row r="151" spans="1:7" x14ac:dyDescent="0.2">
      <c r="A151" s="8">
        <v>315</v>
      </c>
      <c r="B151" s="8" t="s">
        <v>47</v>
      </c>
      <c r="C151" s="8" t="s">
        <v>46</v>
      </c>
      <c r="D151" s="8" t="s">
        <v>46</v>
      </c>
      <c r="E151" s="8" t="s">
        <v>47</v>
      </c>
      <c r="F151" s="8" t="s">
        <v>46</v>
      </c>
      <c r="G151" s="8" t="s">
        <v>46</v>
      </c>
    </row>
    <row r="152" spans="1:7" x14ac:dyDescent="0.2">
      <c r="A152" s="8">
        <v>316</v>
      </c>
      <c r="B152" s="8" t="s">
        <v>47</v>
      </c>
      <c r="C152" s="8" t="s">
        <v>46</v>
      </c>
      <c r="D152" s="8" t="s">
        <v>47</v>
      </c>
      <c r="E152" s="8" t="s">
        <v>46</v>
      </c>
      <c r="F152" s="8" t="s">
        <v>46</v>
      </c>
      <c r="G152" s="8" t="s">
        <v>46</v>
      </c>
    </row>
    <row r="153" spans="1:7" x14ac:dyDescent="0.2">
      <c r="A153" s="8">
        <v>317</v>
      </c>
      <c r="B153" s="8" t="s">
        <v>47</v>
      </c>
      <c r="C153" s="8" t="s">
        <v>46</v>
      </c>
      <c r="D153" s="8" t="s">
        <v>46</v>
      </c>
      <c r="E153" s="8" t="s">
        <v>46</v>
      </c>
      <c r="F153" s="8" t="s">
        <v>47</v>
      </c>
      <c r="G153" s="8" t="s">
        <v>46</v>
      </c>
    </row>
    <row r="154" spans="1:7" x14ac:dyDescent="0.2">
      <c r="A154" s="8">
        <v>319</v>
      </c>
      <c r="B154" s="8" t="s">
        <v>47</v>
      </c>
      <c r="C154" s="8" t="s">
        <v>46</v>
      </c>
      <c r="D154" s="8" t="s">
        <v>47</v>
      </c>
      <c r="E154" s="8" t="s">
        <v>46</v>
      </c>
      <c r="F154" s="8" t="s">
        <v>47</v>
      </c>
      <c r="G154" s="8" t="s">
        <v>46</v>
      </c>
    </row>
    <row r="155" spans="1:7" x14ac:dyDescent="0.2">
      <c r="A155" s="8">
        <v>323</v>
      </c>
      <c r="B155" s="8" t="s">
        <v>47</v>
      </c>
      <c r="C155" s="8" t="s">
        <v>47</v>
      </c>
      <c r="D155" s="8" t="s">
        <v>46</v>
      </c>
      <c r="E155" s="8" t="s">
        <v>47</v>
      </c>
      <c r="F155" s="8" t="s">
        <v>47</v>
      </c>
      <c r="G155" s="8" t="s">
        <v>46</v>
      </c>
    </row>
    <row r="156" spans="1:7" x14ac:dyDescent="0.2">
      <c r="A156" s="8">
        <v>324</v>
      </c>
      <c r="B156" s="8" t="s">
        <v>47</v>
      </c>
      <c r="C156" s="8" t="s">
        <v>46</v>
      </c>
      <c r="D156" s="8" t="s">
        <v>46</v>
      </c>
      <c r="E156" s="8" t="s">
        <v>46</v>
      </c>
      <c r="F156" s="8" t="s">
        <v>47</v>
      </c>
      <c r="G156" s="8" t="s">
        <v>46</v>
      </c>
    </row>
    <row r="157" spans="1:7" x14ac:dyDescent="0.2">
      <c r="A157" s="8">
        <v>325</v>
      </c>
      <c r="B157" s="8" t="s">
        <v>47</v>
      </c>
      <c r="C157" s="8" t="s">
        <v>46</v>
      </c>
      <c r="D157" s="8" t="s">
        <v>46</v>
      </c>
      <c r="E157" s="8" t="s">
        <v>46</v>
      </c>
      <c r="F157" s="8" t="s">
        <v>47</v>
      </c>
      <c r="G157" s="8" t="s">
        <v>47</v>
      </c>
    </row>
    <row r="158" spans="1:7" x14ac:dyDescent="0.2">
      <c r="A158" s="8">
        <v>327</v>
      </c>
      <c r="B158" s="8" t="s">
        <v>46</v>
      </c>
      <c r="C158" s="8" t="s">
        <v>46</v>
      </c>
      <c r="D158" s="8" t="s">
        <v>47</v>
      </c>
      <c r="E158" s="8" t="s">
        <v>47</v>
      </c>
      <c r="F158" s="8" t="s">
        <v>47</v>
      </c>
      <c r="G158" s="8" t="s">
        <v>46</v>
      </c>
    </row>
    <row r="159" spans="1:7" x14ac:dyDescent="0.2">
      <c r="A159" s="8">
        <v>328</v>
      </c>
      <c r="B159" s="8" t="s">
        <v>47</v>
      </c>
      <c r="C159" s="8" t="s">
        <v>46</v>
      </c>
      <c r="D159" s="8" t="s">
        <v>46</v>
      </c>
      <c r="E159" s="8" t="s">
        <v>47</v>
      </c>
      <c r="F159" s="8" t="s">
        <v>47</v>
      </c>
      <c r="G159" s="8" t="s">
        <v>46</v>
      </c>
    </row>
    <row r="160" spans="1:7" x14ac:dyDescent="0.2">
      <c r="A160" s="8">
        <v>329</v>
      </c>
      <c r="B160" s="8" t="s">
        <v>47</v>
      </c>
      <c r="C160" s="8" t="s">
        <v>47</v>
      </c>
      <c r="D160" s="8" t="s">
        <v>47</v>
      </c>
      <c r="E160" s="8" t="s">
        <v>46</v>
      </c>
      <c r="F160" s="8" t="s">
        <v>47</v>
      </c>
      <c r="G160" s="8" t="s">
        <v>46</v>
      </c>
    </row>
    <row r="161" spans="1:7" x14ac:dyDescent="0.2">
      <c r="A161" s="8">
        <v>331</v>
      </c>
      <c r="B161" s="1" t="s">
        <v>46</v>
      </c>
      <c r="C161" s="1" t="s">
        <v>46</v>
      </c>
      <c r="D161" s="1" t="s">
        <v>46</v>
      </c>
      <c r="E161" s="1" t="s">
        <v>47</v>
      </c>
      <c r="F161" s="1" t="s">
        <v>47</v>
      </c>
      <c r="G161" s="1" t="s">
        <v>47</v>
      </c>
    </row>
    <row r="162" spans="1:7" x14ac:dyDescent="0.2">
      <c r="A162" s="8">
        <v>332</v>
      </c>
      <c r="B162" s="1" t="s">
        <v>47</v>
      </c>
      <c r="C162" s="1" t="s">
        <v>47</v>
      </c>
      <c r="D162" s="1" t="s">
        <v>46</v>
      </c>
      <c r="E162" s="1" t="s">
        <v>47</v>
      </c>
      <c r="F162" s="1" t="s">
        <v>47</v>
      </c>
      <c r="G162" s="1" t="s">
        <v>47</v>
      </c>
    </row>
    <row r="163" spans="1:7" x14ac:dyDescent="0.2">
      <c r="A163" s="8">
        <v>334</v>
      </c>
      <c r="B163" s="1" t="s">
        <v>47</v>
      </c>
      <c r="C163" s="1" t="s">
        <v>47</v>
      </c>
      <c r="D163" s="1" t="s">
        <v>47</v>
      </c>
      <c r="E163" s="1" t="s">
        <v>46</v>
      </c>
      <c r="F163" s="1" t="s">
        <v>47</v>
      </c>
      <c r="G163" s="1" t="s">
        <v>47</v>
      </c>
    </row>
    <row r="164" spans="1:7" x14ac:dyDescent="0.2">
      <c r="A164" s="8">
        <v>336</v>
      </c>
      <c r="B164" s="1" t="s">
        <v>47</v>
      </c>
      <c r="C164" s="1" t="s">
        <v>46</v>
      </c>
      <c r="D164" s="1" t="s">
        <v>46</v>
      </c>
      <c r="E164" s="1" t="s">
        <v>46</v>
      </c>
      <c r="F164" s="1" t="s">
        <v>46</v>
      </c>
      <c r="G164" s="1" t="s">
        <v>46</v>
      </c>
    </row>
    <row r="165" spans="1:7" x14ac:dyDescent="0.2">
      <c r="A165" s="8">
        <v>337</v>
      </c>
      <c r="B165" s="1" t="s">
        <v>47</v>
      </c>
      <c r="C165" s="1" t="s">
        <v>46</v>
      </c>
      <c r="D165" s="1" t="s">
        <v>46</v>
      </c>
      <c r="E165" s="1" t="s">
        <v>46</v>
      </c>
      <c r="F165" s="1" t="s">
        <v>47</v>
      </c>
      <c r="G165" s="1" t="s">
        <v>47</v>
      </c>
    </row>
  </sheetData>
  <mergeCells count="2">
    <mergeCell ref="A1:A2"/>
    <mergeCell ref="B1:G1"/>
  </mergeCells>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T165"/>
  <sheetViews>
    <sheetView topLeftCell="N1" workbookViewId="0">
      <selection activeCell="S11" sqref="S11"/>
    </sheetView>
  </sheetViews>
  <sheetFormatPr baseColWidth="10" defaultColWidth="8.83203125" defaultRowHeight="15" customHeight="1" x14ac:dyDescent="0.2"/>
  <cols>
    <col min="1" max="1" width="12" style="90" customWidth="1"/>
    <col min="2" max="2" width="49.6640625" style="90" customWidth="1"/>
    <col min="3" max="3" width="17.1640625" style="90" customWidth="1"/>
    <col min="4" max="4" width="74.83203125" style="46" customWidth="1"/>
    <col min="5" max="7" width="3" style="49" bestFit="1" customWidth="1"/>
    <col min="8" max="8" width="12.1640625" style="90" customWidth="1"/>
    <col min="9" max="9" width="12" style="100" customWidth="1"/>
    <col min="10" max="12" width="10.83203125" style="100" customWidth="1"/>
    <col min="13" max="13" width="11.5" style="100" customWidth="1"/>
    <col min="14" max="14" width="9.1640625" style="100" customWidth="1"/>
    <col min="15" max="15" width="9.1640625" style="90" customWidth="1"/>
    <col min="16" max="16" width="78.5" style="100" bestFit="1" customWidth="1"/>
    <col min="17" max="17" width="5.33203125" style="100" bestFit="1" customWidth="1"/>
    <col min="18" max="18" width="10.1640625" style="100" bestFit="1" customWidth="1"/>
    <col min="19" max="19" width="41.6640625" style="104" customWidth="1"/>
    <col min="20" max="16384" width="8.83203125" style="90"/>
  </cols>
  <sheetData>
    <row r="1" spans="1:20" ht="53" customHeight="1" x14ac:dyDescent="0.2">
      <c r="A1" s="48" t="s">
        <v>0</v>
      </c>
      <c r="B1" s="48" t="s">
        <v>1553</v>
      </c>
      <c r="C1" s="48" t="s">
        <v>1554</v>
      </c>
      <c r="D1" s="48" t="s">
        <v>1555</v>
      </c>
      <c r="E1" s="92"/>
      <c r="F1" s="92"/>
      <c r="G1" s="92"/>
      <c r="H1" s="48"/>
      <c r="I1" s="86"/>
      <c r="J1" s="87" t="s">
        <v>2097</v>
      </c>
      <c r="K1" s="87"/>
      <c r="L1" s="88" t="s">
        <v>1834</v>
      </c>
      <c r="M1" s="89"/>
      <c r="N1" s="89" t="s">
        <v>56</v>
      </c>
      <c r="P1" s="114" t="s">
        <v>1727</v>
      </c>
      <c r="Q1" s="109" t="s">
        <v>1728</v>
      </c>
      <c r="R1" s="109" t="s">
        <v>1726</v>
      </c>
      <c r="S1" s="108" t="s">
        <v>1729</v>
      </c>
      <c r="T1" s="90" t="s">
        <v>1375</v>
      </c>
    </row>
    <row r="2" spans="1:20" ht="15" customHeight="1" x14ac:dyDescent="0.2">
      <c r="A2" s="48">
        <v>2</v>
      </c>
      <c r="B2" s="48" t="s">
        <v>46</v>
      </c>
      <c r="C2" s="48" t="s">
        <v>56</v>
      </c>
      <c r="D2" s="48"/>
      <c r="E2" s="92"/>
      <c r="F2" s="92"/>
      <c r="G2" s="92"/>
      <c r="H2" s="48"/>
      <c r="I2" s="86"/>
      <c r="J2" s="87" t="s">
        <v>1948</v>
      </c>
      <c r="K2" s="87" t="s">
        <v>1375</v>
      </c>
      <c r="L2" s="88" t="s">
        <v>1948</v>
      </c>
      <c r="M2" s="91" t="s">
        <v>1375</v>
      </c>
      <c r="N2" s="91"/>
      <c r="O2" s="48"/>
      <c r="P2" s="115" t="s">
        <v>2103</v>
      </c>
      <c r="Q2" s="110">
        <v>4</v>
      </c>
      <c r="R2" s="112">
        <f>COUNTIF(E:G,"4")</f>
        <v>25</v>
      </c>
      <c r="S2" s="106" t="s">
        <v>2122</v>
      </c>
      <c r="T2" s="90">
        <f>R2/$R$25</f>
        <v>0.25773195876288657</v>
      </c>
    </row>
    <row r="3" spans="1:20" ht="15" customHeight="1" x14ac:dyDescent="0.2">
      <c r="A3" s="48">
        <v>5</v>
      </c>
      <c r="B3" s="48" t="s">
        <v>47</v>
      </c>
      <c r="C3" s="48" t="s">
        <v>47</v>
      </c>
      <c r="D3" s="48" t="s">
        <v>68</v>
      </c>
      <c r="E3" s="92">
        <v>11</v>
      </c>
      <c r="F3" s="92"/>
      <c r="G3" s="92"/>
      <c r="H3" s="92"/>
      <c r="I3" s="93" t="s">
        <v>2098</v>
      </c>
      <c r="J3" s="86">
        <f>COUNTIF($B$2:$B$164,"Yes")</f>
        <v>100</v>
      </c>
      <c r="K3" s="94">
        <f>J3/(J3+L3+N3)*100</f>
        <v>61.349693251533743</v>
      </c>
      <c r="L3" s="86">
        <f>COUNTIF($B$2:$B$164,"No")</f>
        <v>48</v>
      </c>
      <c r="M3" s="95">
        <f>L3/(J3+L3+N3)*100</f>
        <v>29.447852760736197</v>
      </c>
      <c r="N3" s="91">
        <f>COUNTIF($B$2:$B$164,"N/A")</f>
        <v>15</v>
      </c>
      <c r="P3" s="115" t="s">
        <v>2101</v>
      </c>
      <c r="Q3" s="110">
        <v>5</v>
      </c>
      <c r="R3" s="112">
        <f>COUNTIF(E:G,"5")</f>
        <v>9</v>
      </c>
      <c r="S3" s="106" t="s">
        <v>2123</v>
      </c>
      <c r="T3" s="90">
        <f t="shared" ref="T3:T24" si="0">R3/$R$25</f>
        <v>9.2783505154639179E-2</v>
      </c>
    </row>
    <row r="4" spans="1:20" ht="15" customHeight="1" x14ac:dyDescent="0.2">
      <c r="A4" s="48">
        <v>6</v>
      </c>
      <c r="B4" s="48" t="s">
        <v>47</v>
      </c>
      <c r="C4" s="48" t="s">
        <v>47</v>
      </c>
      <c r="D4" s="48" t="s">
        <v>78</v>
      </c>
      <c r="E4" s="92">
        <v>3</v>
      </c>
      <c r="F4" s="92"/>
      <c r="G4" s="92"/>
      <c r="H4" s="48"/>
      <c r="I4" s="96" t="s">
        <v>2099</v>
      </c>
      <c r="J4" s="96">
        <f>COUNTIF($C$2:$C$164,"Yes")</f>
        <v>54</v>
      </c>
      <c r="K4" s="97">
        <f>J4/(J4+L4+N4)*100</f>
        <v>33.128834355828218</v>
      </c>
      <c r="L4" s="96">
        <f>COUNTIF($C$2:$C$164,"NO")</f>
        <v>46</v>
      </c>
      <c r="M4" s="98">
        <f>L4/(J4+L4+63)*100</f>
        <v>28.220858895705518</v>
      </c>
      <c r="N4" s="99">
        <f>COUNTIF($C$2:$C$164,"N/A")</f>
        <v>63</v>
      </c>
      <c r="P4" s="115" t="s">
        <v>2100</v>
      </c>
      <c r="Q4" s="110">
        <v>8</v>
      </c>
      <c r="R4" s="112">
        <f>COUNTIF(E:G,"8")</f>
        <v>9</v>
      </c>
      <c r="S4" s="106" t="s">
        <v>2124</v>
      </c>
      <c r="T4" s="90">
        <f t="shared" si="0"/>
        <v>9.2783505154639179E-2</v>
      </c>
    </row>
    <row r="5" spans="1:20" ht="15" customHeight="1" x14ac:dyDescent="0.2">
      <c r="A5" s="48">
        <v>11</v>
      </c>
      <c r="B5" s="48" t="s">
        <v>46</v>
      </c>
      <c r="C5" s="48" t="s">
        <v>56</v>
      </c>
      <c r="D5" s="48"/>
      <c r="E5" s="92"/>
      <c r="F5" s="92"/>
      <c r="G5" s="92"/>
      <c r="H5" s="48"/>
      <c r="I5" s="48"/>
      <c r="J5" s="48"/>
      <c r="K5" s="48"/>
      <c r="P5" s="115" t="s">
        <v>2108</v>
      </c>
      <c r="Q5" s="110">
        <v>13</v>
      </c>
      <c r="R5" s="112">
        <f>COUNTIF(E:G,"13")</f>
        <v>9</v>
      </c>
      <c r="S5" s="106" t="s">
        <v>2125</v>
      </c>
      <c r="T5" s="90">
        <f t="shared" si="0"/>
        <v>9.2783505154639179E-2</v>
      </c>
    </row>
    <row r="6" spans="1:20" ht="15" customHeight="1" x14ac:dyDescent="0.2">
      <c r="A6" s="48">
        <v>18</v>
      </c>
      <c r="B6" s="48" t="s">
        <v>56</v>
      </c>
      <c r="C6" s="48" t="s">
        <v>56</v>
      </c>
      <c r="D6" s="48"/>
      <c r="E6" s="92"/>
      <c r="F6" s="92"/>
      <c r="G6" s="92"/>
      <c r="H6" s="48"/>
      <c r="I6" s="48"/>
      <c r="J6" s="48"/>
      <c r="K6" s="48"/>
      <c r="P6" s="115" t="s">
        <v>2116</v>
      </c>
      <c r="Q6" s="110">
        <v>14</v>
      </c>
      <c r="R6" s="112">
        <f>COUNTIF(E:G,"14")</f>
        <v>9</v>
      </c>
      <c r="S6" s="106" t="s">
        <v>2126</v>
      </c>
      <c r="T6" s="90">
        <f t="shared" si="0"/>
        <v>9.2783505154639179E-2</v>
      </c>
    </row>
    <row r="7" spans="1:20" ht="15" customHeight="1" x14ac:dyDescent="0.2">
      <c r="A7" s="48">
        <v>21</v>
      </c>
      <c r="B7" s="48" t="s">
        <v>56</v>
      </c>
      <c r="C7" s="48" t="s">
        <v>56</v>
      </c>
      <c r="D7" s="48"/>
      <c r="E7" s="92"/>
      <c r="F7" s="92"/>
      <c r="G7" s="92"/>
      <c r="H7" s="48"/>
      <c r="I7" s="90"/>
      <c r="J7" s="90"/>
      <c r="K7" s="90"/>
      <c r="P7" s="115" t="s">
        <v>2106</v>
      </c>
      <c r="Q7" s="110">
        <v>11</v>
      </c>
      <c r="R7" s="112">
        <f>COUNTIF(E:G,"11")</f>
        <v>5</v>
      </c>
      <c r="S7" s="106" t="s">
        <v>2127</v>
      </c>
      <c r="T7" s="90">
        <f t="shared" si="0"/>
        <v>5.1546391752577317E-2</v>
      </c>
    </row>
    <row r="8" spans="1:20" ht="15" customHeight="1" x14ac:dyDescent="0.2">
      <c r="A8" s="48">
        <v>22</v>
      </c>
      <c r="B8" s="48" t="s">
        <v>47</v>
      </c>
      <c r="C8" s="48" t="s">
        <v>46</v>
      </c>
      <c r="D8" s="48" t="s">
        <v>109</v>
      </c>
      <c r="E8" s="92">
        <v>8</v>
      </c>
      <c r="F8" s="92"/>
      <c r="G8" s="92"/>
      <c r="H8" s="48"/>
      <c r="I8" s="90"/>
      <c r="J8" s="90"/>
      <c r="K8" s="90"/>
      <c r="P8" s="115" t="s">
        <v>2104</v>
      </c>
      <c r="Q8" s="110">
        <v>15</v>
      </c>
      <c r="R8" s="112">
        <f>COUNTIF(E:G,"15")</f>
        <v>4</v>
      </c>
      <c r="S8" s="106" t="s">
        <v>2128</v>
      </c>
      <c r="T8" s="90">
        <f t="shared" si="0"/>
        <v>4.1237113402061855E-2</v>
      </c>
    </row>
    <row r="9" spans="1:20" ht="15" customHeight="1" x14ac:dyDescent="0.2">
      <c r="A9" s="48">
        <v>26</v>
      </c>
      <c r="B9" s="48" t="s">
        <v>56</v>
      </c>
      <c r="C9" s="48" t="s">
        <v>56</v>
      </c>
      <c r="D9" s="48"/>
      <c r="E9" s="92"/>
      <c r="F9" s="92"/>
      <c r="G9" s="92"/>
      <c r="H9" s="48"/>
      <c r="I9" s="90"/>
      <c r="J9" s="90"/>
      <c r="K9" s="90"/>
      <c r="P9" s="115" t="s">
        <v>2118</v>
      </c>
      <c r="Q9" s="110">
        <v>22</v>
      </c>
      <c r="R9" s="112">
        <f>COUNTIF(E:G,"22")</f>
        <v>6</v>
      </c>
      <c r="S9" s="106" t="s">
        <v>2129</v>
      </c>
      <c r="T9" s="90">
        <f t="shared" si="0"/>
        <v>6.1855670103092786E-2</v>
      </c>
    </row>
    <row r="10" spans="1:20" ht="15" customHeight="1" x14ac:dyDescent="0.2">
      <c r="A10" s="48">
        <v>30</v>
      </c>
      <c r="B10" s="48" t="s">
        <v>47</v>
      </c>
      <c r="C10" s="48" t="s">
        <v>46</v>
      </c>
      <c r="D10" s="48" t="s">
        <v>129</v>
      </c>
      <c r="E10" s="92">
        <v>4</v>
      </c>
      <c r="F10" s="92"/>
      <c r="G10" s="92"/>
      <c r="H10" s="48"/>
      <c r="I10" s="90"/>
      <c r="J10" s="90"/>
      <c r="K10" s="90"/>
      <c r="P10" s="115" t="s">
        <v>2102</v>
      </c>
      <c r="Q10" s="110">
        <v>9</v>
      </c>
      <c r="R10" s="112">
        <f>COUNTIF(E:G,"9")</f>
        <v>3</v>
      </c>
      <c r="S10" s="106" t="s">
        <v>2130</v>
      </c>
      <c r="T10" s="90">
        <f t="shared" si="0"/>
        <v>3.0927835051546393E-2</v>
      </c>
    </row>
    <row r="11" spans="1:20" ht="15" customHeight="1" x14ac:dyDescent="0.2">
      <c r="A11" s="48">
        <v>31</v>
      </c>
      <c r="B11" s="48" t="s">
        <v>47</v>
      </c>
      <c r="C11" s="48" t="s">
        <v>46</v>
      </c>
      <c r="D11" s="48" t="s">
        <v>139</v>
      </c>
      <c r="E11" s="92">
        <v>4</v>
      </c>
      <c r="F11" s="92">
        <v>5</v>
      </c>
      <c r="G11" s="92"/>
      <c r="H11" s="48"/>
      <c r="I11" s="90"/>
      <c r="J11" s="90"/>
      <c r="K11" s="90"/>
      <c r="P11" s="115" t="s">
        <v>2117</v>
      </c>
      <c r="Q11" s="110">
        <v>16</v>
      </c>
      <c r="R11" s="112">
        <f>COUNTIF(E:G,"16")</f>
        <v>5</v>
      </c>
      <c r="S11" s="106" t="s">
        <v>2131</v>
      </c>
      <c r="T11" s="90">
        <f t="shared" si="0"/>
        <v>5.1546391752577317E-2</v>
      </c>
    </row>
    <row r="12" spans="1:20" ht="15" customHeight="1" x14ac:dyDescent="0.2">
      <c r="A12" s="48">
        <v>28</v>
      </c>
      <c r="B12" s="48" t="s">
        <v>46</v>
      </c>
      <c r="C12" s="48" t="s">
        <v>56</v>
      </c>
      <c r="D12" s="48"/>
      <c r="E12" s="92"/>
      <c r="F12" s="92"/>
      <c r="G12" s="92"/>
      <c r="H12" s="48"/>
      <c r="I12" s="90"/>
      <c r="J12" s="90"/>
      <c r="K12" s="90"/>
      <c r="P12" s="115" t="s">
        <v>2120</v>
      </c>
      <c r="Q12" s="110">
        <v>3</v>
      </c>
      <c r="R12" s="112">
        <f>COUNTIF(E:G,"3")</f>
        <v>1</v>
      </c>
      <c r="S12" s="106" t="s">
        <v>2132</v>
      </c>
      <c r="T12" s="90">
        <f t="shared" si="0"/>
        <v>1.0309278350515464E-2</v>
      </c>
    </row>
    <row r="13" spans="1:20" ht="15" customHeight="1" x14ac:dyDescent="0.2">
      <c r="A13" s="48">
        <v>32</v>
      </c>
      <c r="B13" s="48" t="s">
        <v>47</v>
      </c>
      <c r="C13" s="48" t="s">
        <v>47</v>
      </c>
      <c r="D13" s="48" t="s">
        <v>161</v>
      </c>
      <c r="E13" s="92">
        <v>6</v>
      </c>
      <c r="F13" s="92"/>
      <c r="G13" s="92"/>
      <c r="H13" s="48"/>
      <c r="I13" s="90"/>
      <c r="J13" s="90"/>
      <c r="K13" s="90"/>
      <c r="M13" s="100" t="s">
        <v>1560</v>
      </c>
      <c r="P13" s="115" t="s">
        <v>2119</v>
      </c>
      <c r="Q13" s="110">
        <v>6</v>
      </c>
      <c r="R13" s="112">
        <f>COUNTIF(E:G,"6")</f>
        <v>1</v>
      </c>
      <c r="S13" s="106" t="s">
        <v>2133</v>
      </c>
      <c r="T13" s="90">
        <f t="shared" si="0"/>
        <v>1.0309278350515464E-2</v>
      </c>
    </row>
    <row r="14" spans="1:20" ht="15" customHeight="1" x14ac:dyDescent="0.2">
      <c r="A14" s="48">
        <v>34</v>
      </c>
      <c r="B14" s="48" t="s">
        <v>46</v>
      </c>
      <c r="C14" s="48" t="s">
        <v>56</v>
      </c>
      <c r="D14" s="48"/>
      <c r="E14" s="92"/>
      <c r="F14" s="92"/>
      <c r="G14" s="92"/>
      <c r="H14" s="48"/>
      <c r="I14" s="90"/>
      <c r="J14" s="90"/>
      <c r="K14" s="90"/>
      <c r="P14" s="115" t="s">
        <v>183</v>
      </c>
      <c r="Q14" s="110">
        <v>7</v>
      </c>
      <c r="R14" s="112">
        <f>COUNTIF(E:G,"7")</f>
        <v>1</v>
      </c>
      <c r="S14" s="106" t="s">
        <v>2134</v>
      </c>
      <c r="T14" s="90">
        <f t="shared" si="0"/>
        <v>1.0309278350515464E-2</v>
      </c>
    </row>
    <row r="15" spans="1:20" ht="15" customHeight="1" x14ac:dyDescent="0.2">
      <c r="A15" s="48">
        <v>35</v>
      </c>
      <c r="B15" s="48" t="s">
        <v>47</v>
      </c>
      <c r="C15" s="48" t="s">
        <v>47</v>
      </c>
      <c r="D15" s="48" t="s">
        <v>183</v>
      </c>
      <c r="E15" s="92">
        <v>7</v>
      </c>
      <c r="F15" s="92"/>
      <c r="G15" s="92"/>
      <c r="H15" s="48"/>
      <c r="I15" s="90"/>
      <c r="J15" s="90"/>
      <c r="K15" s="90"/>
      <c r="P15" s="115" t="s">
        <v>2107</v>
      </c>
      <c r="Q15" s="110">
        <v>10</v>
      </c>
      <c r="R15" s="112">
        <f>COUNTIF(E:G,"10")</f>
        <v>1</v>
      </c>
      <c r="S15" s="106" t="s">
        <v>2135</v>
      </c>
      <c r="T15" s="90">
        <f t="shared" si="0"/>
        <v>1.0309278350515464E-2</v>
      </c>
    </row>
    <row r="16" spans="1:20" ht="15" customHeight="1" x14ac:dyDescent="0.2">
      <c r="A16" s="48">
        <v>36</v>
      </c>
      <c r="B16" s="48" t="s">
        <v>46</v>
      </c>
      <c r="C16" s="48" t="s">
        <v>56</v>
      </c>
      <c r="D16" s="48"/>
      <c r="E16" s="92"/>
      <c r="F16" s="92"/>
      <c r="G16" s="92"/>
      <c r="H16" s="48"/>
      <c r="I16" s="90"/>
      <c r="J16" s="90"/>
      <c r="K16" s="90"/>
      <c r="P16" s="115" t="s">
        <v>2105</v>
      </c>
      <c r="Q16" s="110">
        <v>17</v>
      </c>
      <c r="R16" s="112">
        <f>COUNTIF(E:G,"17")</f>
        <v>1</v>
      </c>
      <c r="S16" s="106" t="s">
        <v>2136</v>
      </c>
      <c r="T16" s="90">
        <f t="shared" si="0"/>
        <v>1.0309278350515464E-2</v>
      </c>
    </row>
    <row r="17" spans="1:20" ht="15" customHeight="1" x14ac:dyDescent="0.2">
      <c r="A17" s="48">
        <v>38</v>
      </c>
      <c r="B17" s="48" t="s">
        <v>46</v>
      </c>
      <c r="C17" s="48" t="s">
        <v>56</v>
      </c>
      <c r="D17" s="48"/>
      <c r="E17" s="92"/>
      <c r="F17" s="92"/>
      <c r="G17" s="92"/>
      <c r="H17" s="48"/>
      <c r="I17" s="90"/>
      <c r="J17" s="90"/>
      <c r="K17" s="90"/>
      <c r="P17" s="115" t="s">
        <v>2121</v>
      </c>
      <c r="Q17" s="110">
        <v>21</v>
      </c>
      <c r="R17" s="112">
        <f>COUNTIF(E:G,"21")</f>
        <v>1</v>
      </c>
      <c r="S17" s="106" t="s">
        <v>2137</v>
      </c>
      <c r="T17" s="90">
        <f t="shared" si="0"/>
        <v>1.0309278350515464E-2</v>
      </c>
    </row>
    <row r="18" spans="1:20" ht="15" customHeight="1" x14ac:dyDescent="0.2">
      <c r="A18" s="48">
        <v>40</v>
      </c>
      <c r="B18" s="48" t="s">
        <v>46</v>
      </c>
      <c r="C18" s="48" t="s">
        <v>56</v>
      </c>
      <c r="D18" s="48"/>
      <c r="E18" s="92"/>
      <c r="F18" s="92"/>
      <c r="G18" s="92"/>
      <c r="H18" s="48"/>
      <c r="I18" s="90"/>
      <c r="J18" s="90"/>
      <c r="K18" s="90"/>
      <c r="P18" s="115" t="s">
        <v>2109</v>
      </c>
      <c r="Q18" s="110">
        <v>23</v>
      </c>
      <c r="R18" s="112">
        <f>COUNTIF(E:G,"23")</f>
        <v>1</v>
      </c>
      <c r="S18" s="106" t="s">
        <v>2138</v>
      </c>
      <c r="T18" s="90">
        <f t="shared" si="0"/>
        <v>1.0309278350515464E-2</v>
      </c>
    </row>
    <row r="19" spans="1:20" ht="15" customHeight="1" x14ac:dyDescent="0.2">
      <c r="A19" s="48">
        <v>41</v>
      </c>
      <c r="B19" s="48" t="s">
        <v>47</v>
      </c>
      <c r="C19" s="48" t="s">
        <v>46</v>
      </c>
      <c r="D19" s="48" t="s">
        <v>222</v>
      </c>
      <c r="E19" s="92">
        <v>8</v>
      </c>
      <c r="F19" s="92"/>
      <c r="G19" s="92"/>
      <c r="H19" s="48"/>
      <c r="I19" s="90"/>
      <c r="J19" s="90"/>
      <c r="K19" s="90"/>
      <c r="P19" s="115" t="s">
        <v>2110</v>
      </c>
      <c r="Q19" s="110">
        <v>24</v>
      </c>
      <c r="R19" s="112">
        <f>COUNTIF(E:G,"24")</f>
        <v>1</v>
      </c>
      <c r="S19" s="106" t="s">
        <v>2139</v>
      </c>
      <c r="T19" s="90">
        <f t="shared" si="0"/>
        <v>1.0309278350515464E-2</v>
      </c>
    </row>
    <row r="20" spans="1:20" ht="15" customHeight="1" x14ac:dyDescent="0.2">
      <c r="A20" s="48">
        <v>42</v>
      </c>
      <c r="B20" s="48" t="s">
        <v>47</v>
      </c>
      <c r="C20" s="48" t="s">
        <v>46</v>
      </c>
      <c r="D20" s="48" t="s">
        <v>232</v>
      </c>
      <c r="E20" s="92">
        <v>4</v>
      </c>
      <c r="F20" s="92"/>
      <c r="G20" s="92"/>
      <c r="H20" s="48"/>
      <c r="I20" s="90"/>
      <c r="J20" s="90"/>
      <c r="K20" s="90"/>
      <c r="P20" s="115" t="s">
        <v>2111</v>
      </c>
      <c r="Q20" s="110">
        <v>25</v>
      </c>
      <c r="R20" s="112">
        <f>COUNTIF(E:G,"25")</f>
        <v>1</v>
      </c>
      <c r="S20" s="106" t="s">
        <v>2140</v>
      </c>
      <c r="T20" s="90">
        <f t="shared" si="0"/>
        <v>1.0309278350515464E-2</v>
      </c>
    </row>
    <row r="21" spans="1:20" ht="15" customHeight="1" x14ac:dyDescent="0.2">
      <c r="A21" s="48">
        <v>44</v>
      </c>
      <c r="B21" s="48" t="s">
        <v>47</v>
      </c>
      <c r="C21" s="48" t="s">
        <v>47</v>
      </c>
      <c r="D21" s="48" t="s">
        <v>241</v>
      </c>
      <c r="E21" s="92">
        <v>5</v>
      </c>
      <c r="F21" s="92"/>
      <c r="G21" s="92"/>
      <c r="H21" s="48"/>
      <c r="I21" s="90"/>
      <c r="J21" s="90"/>
      <c r="K21" s="90"/>
      <c r="P21" s="115" t="s">
        <v>2112</v>
      </c>
      <c r="Q21" s="110">
        <v>27</v>
      </c>
      <c r="R21" s="112">
        <f>COUNTIF(E:G,"27")</f>
        <v>1</v>
      </c>
      <c r="S21" s="106" t="s">
        <v>2141</v>
      </c>
      <c r="T21" s="90">
        <f t="shared" si="0"/>
        <v>1.0309278350515464E-2</v>
      </c>
    </row>
    <row r="22" spans="1:20" ht="15" customHeight="1" x14ac:dyDescent="0.2">
      <c r="A22" s="48">
        <v>46</v>
      </c>
      <c r="B22" s="48" t="s">
        <v>47</v>
      </c>
      <c r="C22" s="48" t="s">
        <v>47</v>
      </c>
      <c r="D22" s="48" t="s">
        <v>252</v>
      </c>
      <c r="E22" s="92">
        <v>9</v>
      </c>
      <c r="F22" s="92"/>
      <c r="G22" s="92"/>
      <c r="H22" s="48"/>
      <c r="I22" s="90"/>
      <c r="J22" s="90"/>
      <c r="K22" s="90"/>
      <c r="P22" s="115" t="s">
        <v>2113</v>
      </c>
      <c r="Q22" s="110">
        <v>28</v>
      </c>
      <c r="R22" s="112">
        <f>COUNTIF(E:G,"28")</f>
        <v>1</v>
      </c>
      <c r="S22" s="106" t="s">
        <v>2142</v>
      </c>
      <c r="T22" s="90">
        <f t="shared" si="0"/>
        <v>1.0309278350515464E-2</v>
      </c>
    </row>
    <row r="23" spans="1:20" ht="15" customHeight="1" x14ac:dyDescent="0.2">
      <c r="A23" s="48">
        <v>47</v>
      </c>
      <c r="B23" s="48" t="s">
        <v>47</v>
      </c>
      <c r="C23" s="48" t="s">
        <v>47</v>
      </c>
      <c r="D23" s="48" t="s">
        <v>263</v>
      </c>
      <c r="E23" s="92">
        <v>8</v>
      </c>
      <c r="F23" s="92"/>
      <c r="G23" s="92"/>
      <c r="H23" s="48"/>
      <c r="I23" s="90"/>
      <c r="J23" s="90"/>
      <c r="K23" s="90"/>
      <c r="P23" s="115" t="s">
        <v>2114</v>
      </c>
      <c r="Q23" s="110">
        <v>30</v>
      </c>
      <c r="R23" s="112">
        <f>COUNTIF(E:G,"30")</f>
        <v>1</v>
      </c>
      <c r="S23" s="106" t="s">
        <v>2143</v>
      </c>
      <c r="T23" s="90">
        <f t="shared" si="0"/>
        <v>1.0309278350515464E-2</v>
      </c>
    </row>
    <row r="24" spans="1:20" ht="15" customHeight="1" x14ac:dyDescent="0.2">
      <c r="A24" s="48">
        <v>49</v>
      </c>
      <c r="B24" s="48" t="s">
        <v>46</v>
      </c>
      <c r="C24" s="48" t="s">
        <v>56</v>
      </c>
      <c r="D24" s="48"/>
      <c r="E24" s="92"/>
      <c r="F24" s="92"/>
      <c r="G24" s="92"/>
      <c r="H24" s="48"/>
      <c r="I24" s="90"/>
      <c r="J24" s="90"/>
      <c r="K24" s="90"/>
      <c r="P24" s="116" t="s">
        <v>2115</v>
      </c>
      <c r="Q24" s="111">
        <v>31</v>
      </c>
      <c r="R24" s="113">
        <f>COUNTIF(E:G,"31")</f>
        <v>1</v>
      </c>
      <c r="S24" s="107" t="s">
        <v>2144</v>
      </c>
      <c r="T24" s="90">
        <f t="shared" si="0"/>
        <v>1.0309278350515464E-2</v>
      </c>
    </row>
    <row r="25" spans="1:20" ht="15" customHeight="1" x14ac:dyDescent="0.2">
      <c r="A25" s="48">
        <v>50</v>
      </c>
      <c r="B25" s="48" t="s">
        <v>46</v>
      </c>
      <c r="C25" s="48" t="s">
        <v>56</v>
      </c>
      <c r="D25" s="48"/>
      <c r="E25" s="92"/>
      <c r="F25" s="92"/>
      <c r="G25" s="92"/>
      <c r="H25" s="48"/>
      <c r="I25" s="90"/>
      <c r="J25" s="90"/>
      <c r="K25" s="90"/>
      <c r="R25" s="100">
        <f>SUM(R2:R24)</f>
        <v>97</v>
      </c>
    </row>
    <row r="26" spans="1:20" ht="15" customHeight="1" x14ac:dyDescent="0.2">
      <c r="A26" s="48">
        <v>51</v>
      </c>
      <c r="B26" s="48" t="s">
        <v>46</v>
      </c>
      <c r="C26" s="48" t="s">
        <v>56</v>
      </c>
      <c r="D26" s="48"/>
      <c r="E26" s="92"/>
      <c r="F26" s="92"/>
      <c r="G26" s="92"/>
      <c r="H26" s="48"/>
      <c r="I26" s="90"/>
      <c r="J26" s="90"/>
      <c r="K26" s="90"/>
    </row>
    <row r="27" spans="1:20" ht="15" customHeight="1" x14ac:dyDescent="0.2">
      <c r="A27" s="48">
        <v>53</v>
      </c>
      <c r="B27" s="48" t="s">
        <v>46</v>
      </c>
      <c r="C27" s="48" t="s">
        <v>56</v>
      </c>
      <c r="D27" s="48"/>
      <c r="E27" s="92"/>
      <c r="F27" s="92"/>
      <c r="G27" s="92"/>
      <c r="H27" s="48"/>
      <c r="I27" s="90"/>
      <c r="J27" s="90"/>
      <c r="K27" s="90"/>
    </row>
    <row r="28" spans="1:20" ht="15" customHeight="1" x14ac:dyDescent="0.2">
      <c r="A28" s="48">
        <v>55</v>
      </c>
      <c r="B28" s="48" t="s">
        <v>56</v>
      </c>
      <c r="C28" s="48" t="s">
        <v>56</v>
      </c>
      <c r="D28" s="48"/>
      <c r="E28" s="92"/>
      <c r="F28" s="92"/>
      <c r="G28" s="92"/>
      <c r="H28" s="48"/>
      <c r="I28" s="90"/>
      <c r="J28" s="90"/>
      <c r="K28" s="90"/>
    </row>
    <row r="29" spans="1:20" ht="15" customHeight="1" x14ac:dyDescent="0.2">
      <c r="A29" s="48">
        <v>60</v>
      </c>
      <c r="B29" s="48" t="s">
        <v>47</v>
      </c>
      <c r="C29" s="48" t="s">
        <v>47</v>
      </c>
      <c r="D29" s="48" t="s">
        <v>316</v>
      </c>
      <c r="E29" s="92">
        <v>9</v>
      </c>
      <c r="F29" s="92"/>
      <c r="G29" s="92"/>
      <c r="H29" s="48"/>
      <c r="I29" s="90"/>
      <c r="J29" s="90"/>
      <c r="K29" s="90"/>
      <c r="P29" s="48"/>
    </row>
    <row r="30" spans="1:20" ht="15" customHeight="1" x14ac:dyDescent="0.2">
      <c r="A30" s="48">
        <v>61</v>
      </c>
      <c r="B30" s="48" t="s">
        <v>47</v>
      </c>
      <c r="C30" s="48" t="s">
        <v>46</v>
      </c>
      <c r="D30" s="48" t="s">
        <v>327</v>
      </c>
      <c r="E30" s="92">
        <v>4</v>
      </c>
      <c r="F30" s="92"/>
      <c r="G30" s="92"/>
      <c r="H30" s="48"/>
      <c r="I30" s="90"/>
      <c r="J30" s="90"/>
      <c r="K30" s="90"/>
      <c r="P30" s="47"/>
    </row>
    <row r="31" spans="1:20" ht="15" customHeight="1" x14ac:dyDescent="0.2">
      <c r="A31" s="48">
        <v>62</v>
      </c>
      <c r="B31" s="48" t="s">
        <v>47</v>
      </c>
      <c r="C31" s="48" t="s">
        <v>47</v>
      </c>
      <c r="D31" s="48" t="s">
        <v>337</v>
      </c>
      <c r="E31" s="92">
        <v>8</v>
      </c>
      <c r="F31" s="92">
        <v>10</v>
      </c>
      <c r="G31" s="92"/>
      <c r="H31" s="48"/>
      <c r="I31" s="90"/>
      <c r="J31" s="90"/>
      <c r="K31" s="90"/>
      <c r="P31" s="47"/>
    </row>
    <row r="32" spans="1:20" ht="15" customHeight="1" x14ac:dyDescent="0.2">
      <c r="A32" s="48">
        <v>65</v>
      </c>
      <c r="B32" s="48" t="s">
        <v>47</v>
      </c>
      <c r="C32" s="48" t="s">
        <v>46</v>
      </c>
      <c r="D32" s="48" t="s">
        <v>347</v>
      </c>
      <c r="E32" s="92">
        <v>11</v>
      </c>
      <c r="F32" s="92"/>
      <c r="G32" s="92"/>
      <c r="H32" s="48"/>
      <c r="I32" s="90"/>
      <c r="J32" s="90"/>
      <c r="K32" s="90"/>
      <c r="P32" s="47"/>
    </row>
    <row r="33" spans="1:11" ht="15" customHeight="1" x14ac:dyDescent="0.2">
      <c r="A33" s="48">
        <v>70</v>
      </c>
      <c r="B33" s="48" t="s">
        <v>46</v>
      </c>
      <c r="C33" s="48" t="s">
        <v>56</v>
      </c>
      <c r="D33" s="48"/>
      <c r="E33" s="92"/>
      <c r="F33" s="92"/>
      <c r="G33" s="92"/>
      <c r="H33" s="48"/>
      <c r="I33" s="90"/>
      <c r="J33" s="90"/>
      <c r="K33" s="90"/>
    </row>
    <row r="34" spans="1:11" ht="15" customHeight="1" x14ac:dyDescent="0.2">
      <c r="A34" s="48">
        <v>71</v>
      </c>
      <c r="B34" s="48" t="s">
        <v>47</v>
      </c>
      <c r="C34" s="48" t="s">
        <v>46</v>
      </c>
      <c r="D34" s="48" t="s">
        <v>366</v>
      </c>
      <c r="E34" s="92">
        <v>4</v>
      </c>
      <c r="F34" s="92"/>
      <c r="G34" s="92"/>
      <c r="H34" s="48"/>
      <c r="I34" s="90"/>
      <c r="J34" s="90"/>
      <c r="K34" s="90"/>
    </row>
    <row r="35" spans="1:11" ht="15" customHeight="1" x14ac:dyDescent="0.2">
      <c r="A35" s="48">
        <v>72</v>
      </c>
      <c r="B35" s="48" t="s">
        <v>47</v>
      </c>
      <c r="C35" s="48" t="s">
        <v>47</v>
      </c>
      <c r="D35" s="48" t="s">
        <v>375</v>
      </c>
      <c r="E35" s="92">
        <v>4</v>
      </c>
      <c r="F35" s="92"/>
      <c r="G35" s="92"/>
      <c r="H35" s="48"/>
      <c r="I35" s="90"/>
      <c r="J35" s="90"/>
      <c r="K35" s="90"/>
    </row>
    <row r="36" spans="1:11" ht="15" customHeight="1" x14ac:dyDescent="0.2">
      <c r="A36" s="48">
        <v>74</v>
      </c>
      <c r="B36" s="48" t="s">
        <v>47</v>
      </c>
      <c r="C36" s="48" t="s">
        <v>47</v>
      </c>
      <c r="D36" s="48" t="s">
        <v>386</v>
      </c>
      <c r="E36" s="92">
        <v>16</v>
      </c>
      <c r="F36" s="92"/>
      <c r="G36" s="92"/>
      <c r="H36" s="48"/>
      <c r="I36" s="90"/>
      <c r="J36" s="90"/>
      <c r="K36" s="90"/>
    </row>
    <row r="37" spans="1:11" ht="15" customHeight="1" x14ac:dyDescent="0.2">
      <c r="A37" s="48">
        <v>75</v>
      </c>
      <c r="B37" s="48" t="s">
        <v>47</v>
      </c>
      <c r="C37" s="48" t="s">
        <v>47</v>
      </c>
      <c r="D37" s="48" t="s">
        <v>395</v>
      </c>
      <c r="E37" s="92">
        <v>5</v>
      </c>
      <c r="F37" s="92"/>
      <c r="G37" s="92"/>
      <c r="H37" s="48"/>
      <c r="I37" s="90"/>
      <c r="J37" s="90"/>
      <c r="K37" s="90"/>
    </row>
    <row r="38" spans="1:11" ht="15" customHeight="1" x14ac:dyDescent="0.2">
      <c r="A38" s="48">
        <v>76</v>
      </c>
      <c r="B38" s="48" t="s">
        <v>47</v>
      </c>
      <c r="C38" s="48" t="s">
        <v>46</v>
      </c>
      <c r="D38" s="48" t="s">
        <v>405</v>
      </c>
      <c r="E38" s="92">
        <v>4</v>
      </c>
      <c r="F38" s="92"/>
      <c r="G38" s="92"/>
      <c r="H38" s="48"/>
      <c r="I38" s="48"/>
      <c r="J38" s="48"/>
      <c r="K38" s="48"/>
    </row>
    <row r="39" spans="1:11" ht="15" customHeight="1" x14ac:dyDescent="0.2">
      <c r="A39" s="48">
        <v>78</v>
      </c>
      <c r="B39" s="48" t="s">
        <v>46</v>
      </c>
      <c r="C39" s="48" t="s">
        <v>56</v>
      </c>
      <c r="D39" s="48"/>
      <c r="E39" s="92"/>
      <c r="F39" s="92"/>
      <c r="G39" s="92"/>
      <c r="H39" s="48"/>
      <c r="I39" s="48"/>
      <c r="J39" s="48"/>
      <c r="K39" s="48"/>
    </row>
    <row r="40" spans="1:11" ht="15" customHeight="1" x14ac:dyDescent="0.2">
      <c r="A40" s="48">
        <v>79</v>
      </c>
      <c r="B40" s="48" t="s">
        <v>47</v>
      </c>
      <c r="C40" s="48" t="s">
        <v>46</v>
      </c>
      <c r="D40" s="48" t="s">
        <v>423</v>
      </c>
      <c r="E40" s="92">
        <v>4</v>
      </c>
      <c r="F40" s="92">
        <v>8</v>
      </c>
      <c r="G40" s="92"/>
      <c r="H40" s="48"/>
      <c r="I40" s="48"/>
      <c r="J40" s="48"/>
      <c r="K40" s="48"/>
    </row>
    <row r="41" spans="1:11" ht="15" customHeight="1" x14ac:dyDescent="0.2">
      <c r="A41" s="48">
        <v>80</v>
      </c>
      <c r="B41" s="48" t="s">
        <v>47</v>
      </c>
      <c r="C41" s="48" t="s">
        <v>46</v>
      </c>
      <c r="D41" s="48" t="s">
        <v>430</v>
      </c>
      <c r="E41" s="92">
        <v>4</v>
      </c>
      <c r="F41" s="92"/>
      <c r="G41" s="92"/>
      <c r="H41" s="48"/>
      <c r="I41" s="48"/>
      <c r="J41" s="48"/>
      <c r="K41" s="48"/>
    </row>
    <row r="42" spans="1:11" ht="15" customHeight="1" x14ac:dyDescent="0.2">
      <c r="A42" s="48">
        <v>87</v>
      </c>
      <c r="B42" s="48" t="s">
        <v>47</v>
      </c>
      <c r="C42" s="48" t="s">
        <v>47</v>
      </c>
      <c r="D42" s="48" t="s">
        <v>440</v>
      </c>
      <c r="E42" s="92"/>
      <c r="F42" s="92"/>
      <c r="G42" s="92"/>
      <c r="H42" s="48"/>
      <c r="I42" s="48"/>
      <c r="J42" s="48"/>
      <c r="K42" s="48"/>
    </row>
    <row r="43" spans="1:11" ht="15" customHeight="1" x14ac:dyDescent="0.2">
      <c r="A43" s="48">
        <v>89</v>
      </c>
      <c r="B43" s="48" t="s">
        <v>47</v>
      </c>
      <c r="C43" s="48" t="s">
        <v>47</v>
      </c>
      <c r="D43" s="48" t="s">
        <v>452</v>
      </c>
      <c r="E43" s="92">
        <v>13</v>
      </c>
      <c r="F43" s="92"/>
      <c r="G43" s="92"/>
      <c r="H43" s="48"/>
      <c r="I43" s="48"/>
      <c r="J43" s="48"/>
      <c r="K43" s="48"/>
    </row>
    <row r="44" spans="1:11" ht="15" customHeight="1" x14ac:dyDescent="0.2">
      <c r="A44" s="48">
        <v>90</v>
      </c>
      <c r="B44" s="48" t="s">
        <v>47</v>
      </c>
      <c r="C44" s="48" t="s">
        <v>46</v>
      </c>
      <c r="D44" s="48" t="s">
        <v>462</v>
      </c>
      <c r="E44" s="92">
        <v>4</v>
      </c>
      <c r="F44" s="92"/>
      <c r="G44" s="92"/>
      <c r="H44" s="48"/>
      <c r="I44" s="48"/>
      <c r="J44" s="48"/>
      <c r="K44" s="48"/>
    </row>
    <row r="45" spans="1:11" ht="15" customHeight="1" x14ac:dyDescent="0.2">
      <c r="A45" s="48">
        <v>91</v>
      </c>
      <c r="B45" s="48" t="s">
        <v>46</v>
      </c>
      <c r="C45" s="48" t="s">
        <v>56</v>
      </c>
      <c r="D45" s="48"/>
      <c r="E45" s="92"/>
      <c r="F45" s="92"/>
      <c r="G45" s="92"/>
      <c r="H45" s="48"/>
      <c r="I45" s="48"/>
      <c r="J45" s="48"/>
      <c r="K45" s="48"/>
    </row>
    <row r="46" spans="1:11" ht="15" customHeight="1" x14ac:dyDescent="0.2">
      <c r="A46" s="48">
        <v>92</v>
      </c>
      <c r="B46" s="48" t="s">
        <v>46</v>
      </c>
      <c r="C46" s="48" t="s">
        <v>56</v>
      </c>
      <c r="D46" s="48"/>
      <c r="E46" s="92"/>
      <c r="F46" s="92"/>
      <c r="G46" s="92"/>
      <c r="H46" s="48"/>
      <c r="I46" s="48"/>
      <c r="J46" s="48"/>
      <c r="K46" s="48"/>
    </row>
    <row r="47" spans="1:11" ht="15" customHeight="1" x14ac:dyDescent="0.2">
      <c r="A47" s="48">
        <v>93</v>
      </c>
      <c r="B47" s="48" t="s">
        <v>47</v>
      </c>
      <c r="C47" s="48" t="s">
        <v>47</v>
      </c>
      <c r="D47" s="48" t="s">
        <v>487</v>
      </c>
      <c r="E47" s="92">
        <v>5</v>
      </c>
      <c r="F47" s="92"/>
      <c r="G47" s="92"/>
      <c r="H47" s="48"/>
      <c r="I47" s="48"/>
      <c r="J47" s="48"/>
      <c r="K47" s="48"/>
    </row>
    <row r="48" spans="1:11" ht="15" customHeight="1" x14ac:dyDescent="0.2">
      <c r="A48" s="48">
        <v>95</v>
      </c>
      <c r="B48" s="48" t="s">
        <v>47</v>
      </c>
      <c r="C48" s="48" t="s">
        <v>47</v>
      </c>
      <c r="D48" s="48" t="s">
        <v>498</v>
      </c>
      <c r="E48" s="92">
        <v>8</v>
      </c>
      <c r="F48" s="92"/>
      <c r="G48" s="92"/>
      <c r="H48" s="48"/>
      <c r="I48" s="48"/>
      <c r="J48" s="48"/>
      <c r="K48" s="48"/>
    </row>
    <row r="49" spans="1:11" ht="15" customHeight="1" x14ac:dyDescent="0.2">
      <c r="A49" s="48">
        <v>96</v>
      </c>
      <c r="B49" s="48" t="s">
        <v>47</v>
      </c>
      <c r="C49" s="48" t="s">
        <v>47</v>
      </c>
      <c r="D49" s="48" t="s">
        <v>508</v>
      </c>
      <c r="E49" s="92">
        <v>14</v>
      </c>
      <c r="F49" s="92"/>
      <c r="G49" s="92"/>
      <c r="H49" s="48"/>
      <c r="I49" s="48"/>
      <c r="J49" s="48"/>
      <c r="K49" s="48"/>
    </row>
    <row r="50" spans="1:11" ht="15" customHeight="1" x14ac:dyDescent="0.2">
      <c r="A50" s="48">
        <v>100</v>
      </c>
      <c r="B50" s="48" t="s">
        <v>46</v>
      </c>
      <c r="C50" s="48" t="s">
        <v>56</v>
      </c>
      <c r="D50" s="48"/>
      <c r="E50" s="92"/>
      <c r="F50" s="92"/>
      <c r="G50" s="92"/>
      <c r="H50" s="48"/>
      <c r="I50" s="48"/>
      <c r="J50" s="48"/>
      <c r="K50" s="48"/>
    </row>
    <row r="51" spans="1:11" ht="15" customHeight="1" x14ac:dyDescent="0.2">
      <c r="A51" s="48">
        <v>104</v>
      </c>
      <c r="B51" s="48" t="s">
        <v>46</v>
      </c>
      <c r="C51" s="48" t="s">
        <v>56</v>
      </c>
      <c r="D51" s="48"/>
      <c r="E51" s="92"/>
      <c r="F51" s="92"/>
      <c r="G51" s="92"/>
      <c r="H51" s="48"/>
      <c r="I51" s="48"/>
      <c r="J51" s="48"/>
      <c r="K51" s="48"/>
    </row>
    <row r="52" spans="1:11" ht="15" customHeight="1" x14ac:dyDescent="0.2">
      <c r="A52" s="48">
        <v>107</v>
      </c>
      <c r="B52" s="48" t="s">
        <v>46</v>
      </c>
      <c r="C52" s="48" t="s">
        <v>56</v>
      </c>
      <c r="D52" s="48"/>
      <c r="E52" s="92"/>
      <c r="F52" s="92"/>
      <c r="G52" s="92"/>
      <c r="H52" s="48"/>
      <c r="I52" s="48"/>
      <c r="J52" s="48"/>
      <c r="K52" s="48"/>
    </row>
    <row r="53" spans="1:11" ht="15" customHeight="1" x14ac:dyDescent="0.2">
      <c r="A53" s="48">
        <v>109</v>
      </c>
      <c r="B53" s="48" t="s">
        <v>46</v>
      </c>
      <c r="C53" s="48" t="s">
        <v>56</v>
      </c>
      <c r="D53" s="48"/>
      <c r="E53" s="92"/>
      <c r="F53" s="92"/>
      <c r="G53" s="92"/>
      <c r="H53" s="48"/>
      <c r="I53" s="48"/>
      <c r="J53" s="48"/>
      <c r="K53" s="48"/>
    </row>
    <row r="54" spans="1:11" ht="15" customHeight="1" x14ac:dyDescent="0.2">
      <c r="A54" s="48">
        <v>110</v>
      </c>
      <c r="B54" s="48" t="s">
        <v>47</v>
      </c>
      <c r="C54" s="48" t="s">
        <v>46</v>
      </c>
      <c r="D54" s="48" t="s">
        <v>553</v>
      </c>
      <c r="E54" s="92"/>
      <c r="F54" s="92"/>
      <c r="G54" s="92"/>
      <c r="H54" s="48"/>
      <c r="I54" s="48"/>
      <c r="J54" s="48"/>
      <c r="K54" s="48"/>
    </row>
    <row r="55" spans="1:11" ht="15" customHeight="1" x14ac:dyDescent="0.2">
      <c r="A55" s="48">
        <v>112</v>
      </c>
      <c r="B55" s="48" t="s">
        <v>47</v>
      </c>
      <c r="C55" s="48" t="s">
        <v>47</v>
      </c>
      <c r="D55" s="48" t="s">
        <v>561</v>
      </c>
      <c r="E55" s="92">
        <v>11</v>
      </c>
      <c r="F55" s="92"/>
      <c r="G55" s="92"/>
      <c r="H55" s="48"/>
      <c r="I55" s="48"/>
      <c r="J55" s="48"/>
      <c r="K55" s="48"/>
    </row>
    <row r="56" spans="1:11" ht="15" customHeight="1" x14ac:dyDescent="0.2">
      <c r="A56" s="48">
        <v>118</v>
      </c>
      <c r="B56" s="48" t="s">
        <v>47</v>
      </c>
      <c r="C56" s="48" t="s">
        <v>47</v>
      </c>
      <c r="D56" s="48" t="s">
        <v>571</v>
      </c>
      <c r="E56" s="92">
        <v>15</v>
      </c>
      <c r="F56" s="92"/>
      <c r="G56" s="92"/>
      <c r="H56" s="48"/>
      <c r="I56" s="48"/>
      <c r="J56" s="48"/>
      <c r="K56" s="48"/>
    </row>
    <row r="57" spans="1:11" ht="15" customHeight="1" x14ac:dyDescent="0.2">
      <c r="A57" s="48">
        <v>119</v>
      </c>
      <c r="B57" s="48" t="s">
        <v>46</v>
      </c>
      <c r="C57" s="48" t="s">
        <v>56</v>
      </c>
      <c r="D57" s="48"/>
      <c r="E57" s="92"/>
      <c r="F57" s="92"/>
      <c r="G57" s="92"/>
      <c r="H57" s="48"/>
      <c r="I57" s="48"/>
      <c r="J57" s="48"/>
      <c r="K57" s="48"/>
    </row>
    <row r="58" spans="1:11" ht="15" customHeight="1" x14ac:dyDescent="0.2">
      <c r="A58" s="48">
        <v>120</v>
      </c>
      <c r="B58" s="48" t="s">
        <v>47</v>
      </c>
      <c r="C58" s="48" t="s">
        <v>46</v>
      </c>
      <c r="D58" s="48" t="s">
        <v>585</v>
      </c>
      <c r="E58" s="92"/>
      <c r="F58" s="92"/>
      <c r="G58" s="92"/>
      <c r="H58" s="48"/>
      <c r="I58" s="48"/>
      <c r="J58" s="48"/>
      <c r="K58" s="48"/>
    </row>
    <row r="59" spans="1:11" ht="15" customHeight="1" x14ac:dyDescent="0.2">
      <c r="A59" s="48">
        <v>121</v>
      </c>
      <c r="B59" s="48" t="s">
        <v>47</v>
      </c>
      <c r="C59" s="48" t="s">
        <v>47</v>
      </c>
      <c r="D59" s="48" t="s">
        <v>593</v>
      </c>
      <c r="E59" s="92">
        <v>14</v>
      </c>
      <c r="F59" s="92"/>
      <c r="G59" s="92"/>
      <c r="H59" s="48"/>
      <c r="I59" s="48"/>
      <c r="J59" s="48"/>
      <c r="K59" s="48"/>
    </row>
    <row r="60" spans="1:11" ht="15" customHeight="1" x14ac:dyDescent="0.2">
      <c r="A60" s="48">
        <v>122</v>
      </c>
      <c r="B60" s="48" t="s">
        <v>46</v>
      </c>
      <c r="C60" s="48" t="s">
        <v>56</v>
      </c>
      <c r="D60" s="48"/>
      <c r="E60" s="92"/>
      <c r="F60" s="92"/>
      <c r="G60" s="92"/>
      <c r="H60" s="48"/>
      <c r="I60" s="48"/>
      <c r="J60" s="48"/>
      <c r="K60" s="48"/>
    </row>
    <row r="61" spans="1:11" ht="15" customHeight="1" x14ac:dyDescent="0.2">
      <c r="A61" s="48">
        <v>127</v>
      </c>
      <c r="B61" s="48" t="s">
        <v>47</v>
      </c>
      <c r="C61" s="48" t="s">
        <v>47</v>
      </c>
      <c r="D61" s="48" t="s">
        <v>610</v>
      </c>
      <c r="E61" s="92">
        <v>5</v>
      </c>
      <c r="F61" s="92"/>
      <c r="G61" s="92"/>
      <c r="H61" s="48"/>
      <c r="I61" s="48"/>
      <c r="J61" s="48"/>
      <c r="K61" s="48"/>
    </row>
    <row r="62" spans="1:11" ht="15" customHeight="1" x14ac:dyDescent="0.2">
      <c r="A62" s="48">
        <v>128</v>
      </c>
      <c r="B62" s="48" t="s">
        <v>47</v>
      </c>
      <c r="C62" s="48" t="s">
        <v>47</v>
      </c>
      <c r="D62" s="48" t="s">
        <v>617</v>
      </c>
      <c r="E62" s="92">
        <v>5</v>
      </c>
      <c r="F62" s="92"/>
      <c r="G62" s="92"/>
      <c r="H62" s="48"/>
      <c r="I62" s="48"/>
      <c r="J62" s="48"/>
      <c r="K62" s="48"/>
    </row>
    <row r="63" spans="1:11" ht="15" customHeight="1" x14ac:dyDescent="0.2">
      <c r="A63" s="48">
        <v>132</v>
      </c>
      <c r="B63" s="48" t="s">
        <v>46</v>
      </c>
      <c r="C63" s="48" t="s">
        <v>56</v>
      </c>
      <c r="D63" s="48"/>
      <c r="E63" s="92"/>
      <c r="F63" s="92"/>
      <c r="G63" s="92"/>
      <c r="H63" s="48"/>
      <c r="I63" s="48"/>
      <c r="J63" s="48"/>
      <c r="K63" s="48"/>
    </row>
    <row r="64" spans="1:11" ht="15" customHeight="1" x14ac:dyDescent="0.2">
      <c r="A64" s="48">
        <v>135</v>
      </c>
      <c r="B64" s="48" t="s">
        <v>47</v>
      </c>
      <c r="C64" s="48" t="s">
        <v>47</v>
      </c>
      <c r="D64" s="48" t="s">
        <v>636</v>
      </c>
      <c r="E64" s="92">
        <v>4</v>
      </c>
      <c r="F64" s="92">
        <v>8</v>
      </c>
      <c r="G64" s="92"/>
      <c r="H64" s="48"/>
      <c r="I64" s="48"/>
      <c r="J64" s="48"/>
      <c r="K64" s="48"/>
    </row>
    <row r="65" spans="1:11" ht="15" customHeight="1" x14ac:dyDescent="0.2">
      <c r="A65" s="48">
        <v>136</v>
      </c>
      <c r="B65" s="48" t="s">
        <v>47</v>
      </c>
      <c r="C65" s="48" t="s">
        <v>46</v>
      </c>
      <c r="D65" s="48" t="s">
        <v>645</v>
      </c>
      <c r="E65" s="92">
        <v>9</v>
      </c>
      <c r="F65" s="92"/>
      <c r="G65" s="92"/>
      <c r="H65" s="48"/>
      <c r="I65" s="48"/>
      <c r="J65" s="48"/>
      <c r="K65" s="48"/>
    </row>
    <row r="66" spans="1:11" ht="15" customHeight="1" x14ac:dyDescent="0.2">
      <c r="A66" s="48">
        <v>138</v>
      </c>
      <c r="B66" s="48" t="s">
        <v>46</v>
      </c>
      <c r="C66" s="48" t="s">
        <v>56</v>
      </c>
      <c r="D66" s="48"/>
      <c r="E66" s="92"/>
      <c r="F66" s="92"/>
      <c r="G66" s="92"/>
      <c r="H66" s="48"/>
      <c r="I66" s="48"/>
      <c r="J66" s="48"/>
      <c r="K66" s="48"/>
    </row>
    <row r="67" spans="1:11" ht="15" customHeight="1" x14ac:dyDescent="0.2">
      <c r="A67" s="48">
        <v>139</v>
      </c>
      <c r="B67" s="48" t="s">
        <v>47</v>
      </c>
      <c r="C67" s="48" t="s">
        <v>47</v>
      </c>
      <c r="D67" s="48" t="s">
        <v>663</v>
      </c>
      <c r="E67" s="92">
        <v>4</v>
      </c>
      <c r="F67" s="92">
        <v>15</v>
      </c>
      <c r="G67" s="92"/>
      <c r="H67" s="48"/>
      <c r="I67" s="48"/>
      <c r="J67" s="48"/>
      <c r="K67" s="48"/>
    </row>
    <row r="68" spans="1:11" ht="15" customHeight="1" x14ac:dyDescent="0.2">
      <c r="A68" s="48">
        <v>140</v>
      </c>
      <c r="B68" s="48" t="s">
        <v>47</v>
      </c>
      <c r="C68" s="48" t="s">
        <v>46</v>
      </c>
      <c r="D68" s="48" t="s">
        <v>673</v>
      </c>
      <c r="E68" s="92">
        <v>4</v>
      </c>
      <c r="F68" s="92"/>
      <c r="G68" s="92"/>
      <c r="H68" s="48"/>
      <c r="I68" s="48"/>
      <c r="J68" s="48"/>
      <c r="K68" s="48"/>
    </row>
    <row r="69" spans="1:11" ht="15" customHeight="1" x14ac:dyDescent="0.2">
      <c r="A69" s="48">
        <v>148</v>
      </c>
      <c r="B69" s="48" t="s">
        <v>46</v>
      </c>
      <c r="C69" s="48" t="s">
        <v>56</v>
      </c>
      <c r="D69" s="48"/>
      <c r="E69" s="92"/>
      <c r="F69" s="92"/>
      <c r="G69" s="92"/>
      <c r="H69" s="48"/>
      <c r="I69" s="48"/>
      <c r="J69" s="48"/>
      <c r="K69" s="48"/>
    </row>
    <row r="70" spans="1:11" ht="15" customHeight="1" x14ac:dyDescent="0.2">
      <c r="A70" s="48">
        <v>149</v>
      </c>
      <c r="B70" s="48" t="s">
        <v>46</v>
      </c>
      <c r="C70" s="48" t="s">
        <v>56</v>
      </c>
      <c r="D70" s="48"/>
      <c r="E70" s="92"/>
      <c r="F70" s="92"/>
      <c r="G70" s="92"/>
      <c r="H70" s="48"/>
      <c r="I70" s="48"/>
      <c r="J70" s="48"/>
      <c r="K70" s="48"/>
    </row>
    <row r="71" spans="1:11" ht="15" customHeight="1" x14ac:dyDescent="0.2">
      <c r="A71" s="48">
        <v>150</v>
      </c>
      <c r="B71" s="48" t="s">
        <v>47</v>
      </c>
      <c r="C71" s="48" t="s">
        <v>47</v>
      </c>
      <c r="D71" s="48" t="s">
        <v>697</v>
      </c>
      <c r="E71" s="92">
        <v>16</v>
      </c>
      <c r="F71" s="92"/>
      <c r="G71" s="92"/>
      <c r="H71" s="48"/>
      <c r="I71" s="48"/>
      <c r="J71" s="48"/>
      <c r="K71" s="48"/>
    </row>
    <row r="72" spans="1:11" ht="15" customHeight="1" x14ac:dyDescent="0.2">
      <c r="A72" s="48">
        <v>151</v>
      </c>
      <c r="B72" s="48" t="s">
        <v>47</v>
      </c>
      <c r="C72" s="48" t="s">
        <v>46</v>
      </c>
      <c r="D72" s="48" t="s">
        <v>709</v>
      </c>
      <c r="E72" s="92">
        <v>4</v>
      </c>
      <c r="F72" s="92"/>
      <c r="G72" s="92"/>
      <c r="H72" s="48"/>
      <c r="I72" s="48"/>
      <c r="J72" s="48"/>
      <c r="K72" s="48"/>
    </row>
    <row r="73" spans="1:11" ht="15" customHeight="1" x14ac:dyDescent="0.2">
      <c r="A73" s="48">
        <v>152</v>
      </c>
      <c r="B73" s="48" t="s">
        <v>46</v>
      </c>
      <c r="C73" s="48" t="s">
        <v>56</v>
      </c>
      <c r="D73" s="48"/>
      <c r="E73" s="92"/>
      <c r="F73" s="92"/>
      <c r="G73" s="92"/>
      <c r="H73" s="48"/>
      <c r="I73" s="48"/>
      <c r="J73" s="48"/>
      <c r="K73" s="48"/>
    </row>
    <row r="74" spans="1:11" ht="15" customHeight="1" x14ac:dyDescent="0.2">
      <c r="A74" s="48">
        <v>153</v>
      </c>
      <c r="B74" s="48" t="s">
        <v>46</v>
      </c>
      <c r="C74" s="48" t="s">
        <v>56</v>
      </c>
      <c r="D74" s="48"/>
      <c r="E74" s="92"/>
      <c r="F74" s="92"/>
      <c r="G74" s="92"/>
      <c r="H74" s="48"/>
      <c r="I74" s="48"/>
      <c r="J74" s="48"/>
      <c r="K74" s="48"/>
    </row>
    <row r="75" spans="1:11" ht="15" customHeight="1" x14ac:dyDescent="0.2">
      <c r="A75" s="48">
        <v>157</v>
      </c>
      <c r="B75" s="48" t="s">
        <v>47</v>
      </c>
      <c r="C75" s="48" t="s">
        <v>47</v>
      </c>
      <c r="D75" s="48" t="s">
        <v>737</v>
      </c>
      <c r="E75" s="92">
        <v>4</v>
      </c>
      <c r="F75" s="92">
        <v>13</v>
      </c>
      <c r="G75" s="92"/>
      <c r="H75" s="48"/>
      <c r="I75" s="48"/>
      <c r="J75" s="48"/>
      <c r="K75" s="48"/>
    </row>
    <row r="76" spans="1:11" ht="15" customHeight="1" x14ac:dyDescent="0.2">
      <c r="A76" s="48">
        <v>156</v>
      </c>
      <c r="B76" s="48" t="s">
        <v>47</v>
      </c>
      <c r="C76" s="48" t="s">
        <v>46</v>
      </c>
      <c r="D76" s="48" t="s">
        <v>748</v>
      </c>
      <c r="E76" s="92"/>
      <c r="F76" s="92"/>
      <c r="G76" s="92"/>
      <c r="H76" s="48"/>
      <c r="I76" s="48"/>
      <c r="J76" s="48"/>
      <c r="K76" s="48"/>
    </row>
    <row r="77" spans="1:11" ht="15" customHeight="1" x14ac:dyDescent="0.2">
      <c r="A77" s="48">
        <v>162</v>
      </c>
      <c r="B77" s="48" t="s">
        <v>47</v>
      </c>
      <c r="C77" s="48" t="s">
        <v>46</v>
      </c>
      <c r="D77" s="48" t="s">
        <v>758</v>
      </c>
      <c r="E77" s="92">
        <v>17</v>
      </c>
      <c r="F77" s="92"/>
      <c r="G77" s="92"/>
      <c r="H77" s="48"/>
      <c r="I77" s="48"/>
      <c r="J77" s="48"/>
      <c r="K77" s="48"/>
    </row>
    <row r="78" spans="1:11" ht="15" customHeight="1" x14ac:dyDescent="0.2">
      <c r="A78" s="48">
        <v>164</v>
      </c>
      <c r="B78" s="48" t="s">
        <v>47</v>
      </c>
      <c r="C78" s="48" t="s">
        <v>47</v>
      </c>
      <c r="D78" s="48" t="s">
        <v>768</v>
      </c>
      <c r="E78" s="92">
        <v>11</v>
      </c>
      <c r="F78" s="92"/>
      <c r="G78" s="92"/>
      <c r="H78" s="48"/>
      <c r="I78" s="48"/>
      <c r="J78" s="48"/>
      <c r="K78" s="48"/>
    </row>
    <row r="79" spans="1:11" ht="15" customHeight="1" x14ac:dyDescent="0.2">
      <c r="A79" s="48">
        <v>166</v>
      </c>
      <c r="B79" s="48" t="s">
        <v>56</v>
      </c>
      <c r="C79" s="48" t="s">
        <v>56</v>
      </c>
      <c r="D79" s="48"/>
      <c r="E79" s="92"/>
      <c r="F79" s="92"/>
      <c r="G79" s="92"/>
      <c r="H79" s="48"/>
      <c r="I79" s="48"/>
      <c r="J79" s="48"/>
      <c r="K79" s="48"/>
    </row>
    <row r="80" spans="1:11" ht="15" customHeight="1" x14ac:dyDescent="0.2">
      <c r="A80" s="48">
        <v>170</v>
      </c>
      <c r="B80" s="48" t="s">
        <v>46</v>
      </c>
      <c r="C80" s="48" t="s">
        <v>56</v>
      </c>
      <c r="D80" s="48"/>
      <c r="E80" s="92"/>
      <c r="F80" s="92"/>
      <c r="G80" s="92"/>
      <c r="H80" s="48"/>
      <c r="I80" s="48"/>
      <c r="J80" s="48"/>
      <c r="K80" s="48"/>
    </row>
    <row r="81" spans="1:11" ht="15" customHeight="1" x14ac:dyDescent="0.2">
      <c r="A81" s="48">
        <v>173</v>
      </c>
      <c r="B81" s="48" t="s">
        <v>47</v>
      </c>
      <c r="C81" s="48" t="s">
        <v>47</v>
      </c>
      <c r="D81" s="48" t="s">
        <v>792</v>
      </c>
      <c r="E81" s="92">
        <v>4</v>
      </c>
      <c r="F81" s="92"/>
      <c r="G81" s="92"/>
      <c r="H81" s="48"/>
      <c r="I81" s="48"/>
      <c r="J81" s="48"/>
      <c r="K81" s="48"/>
    </row>
    <row r="82" spans="1:11" ht="15" customHeight="1" x14ac:dyDescent="0.2">
      <c r="A82" s="48">
        <v>175</v>
      </c>
      <c r="B82" s="48" t="s">
        <v>47</v>
      </c>
      <c r="C82" s="48" t="s">
        <v>47</v>
      </c>
      <c r="D82" s="48" t="s">
        <v>801</v>
      </c>
      <c r="E82" s="92">
        <v>13</v>
      </c>
      <c r="F82" s="92">
        <v>16</v>
      </c>
      <c r="G82" s="92"/>
      <c r="H82" s="48"/>
      <c r="I82" s="48"/>
      <c r="J82" s="48"/>
      <c r="K82" s="48"/>
    </row>
    <row r="83" spans="1:11" ht="15" customHeight="1" x14ac:dyDescent="0.2">
      <c r="A83" s="48">
        <v>178</v>
      </c>
      <c r="B83" s="48" t="s">
        <v>47</v>
      </c>
      <c r="C83" s="48" t="s">
        <v>46</v>
      </c>
      <c r="D83" s="48" t="s">
        <v>810</v>
      </c>
      <c r="E83" s="92"/>
      <c r="F83" s="92"/>
      <c r="G83" s="92"/>
      <c r="H83" s="48"/>
      <c r="I83" s="48"/>
      <c r="J83" s="48"/>
      <c r="K83" s="48"/>
    </row>
    <row r="84" spans="1:11" ht="15" customHeight="1" x14ac:dyDescent="0.2">
      <c r="A84" s="48">
        <v>183</v>
      </c>
      <c r="B84" s="48" t="s">
        <v>47</v>
      </c>
      <c r="C84" s="48" t="s">
        <v>46</v>
      </c>
      <c r="D84" s="48" t="s">
        <v>819</v>
      </c>
      <c r="E84" s="92"/>
      <c r="F84" s="92"/>
      <c r="G84" s="92"/>
      <c r="H84" s="48"/>
      <c r="I84" s="48"/>
      <c r="J84" s="48"/>
      <c r="K84" s="48"/>
    </row>
    <row r="85" spans="1:11" ht="15" customHeight="1" x14ac:dyDescent="0.2">
      <c r="A85" s="48">
        <v>185</v>
      </c>
      <c r="B85" s="48" t="s">
        <v>47</v>
      </c>
      <c r="C85" s="48" t="s">
        <v>47</v>
      </c>
      <c r="D85" s="48" t="s">
        <v>829</v>
      </c>
      <c r="E85" s="92">
        <v>13</v>
      </c>
      <c r="F85" s="92"/>
      <c r="G85" s="92"/>
      <c r="H85" s="48"/>
      <c r="I85" s="48"/>
      <c r="J85" s="48"/>
      <c r="K85" s="48"/>
    </row>
    <row r="86" spans="1:11" ht="15" customHeight="1" x14ac:dyDescent="0.2">
      <c r="A86" s="48">
        <v>186</v>
      </c>
      <c r="B86" s="48" t="s">
        <v>56</v>
      </c>
      <c r="C86" s="48" t="s">
        <v>56</v>
      </c>
      <c r="D86" s="48"/>
      <c r="E86" s="92"/>
      <c r="F86" s="92"/>
      <c r="G86" s="92"/>
      <c r="H86" s="48"/>
      <c r="I86" s="48"/>
      <c r="J86" s="48"/>
      <c r="K86" s="48"/>
    </row>
    <row r="87" spans="1:11" ht="15" customHeight="1" x14ac:dyDescent="0.2">
      <c r="A87" s="48">
        <v>189</v>
      </c>
      <c r="B87" s="48" t="s">
        <v>47</v>
      </c>
      <c r="C87" s="48" t="s">
        <v>46</v>
      </c>
      <c r="D87" s="48" t="s">
        <v>843</v>
      </c>
      <c r="E87" s="92">
        <v>4</v>
      </c>
      <c r="F87" s="92">
        <v>14</v>
      </c>
      <c r="G87" s="92"/>
      <c r="H87" s="48"/>
      <c r="I87" s="48"/>
      <c r="J87" s="48"/>
      <c r="K87" s="48"/>
    </row>
    <row r="88" spans="1:11" ht="15" customHeight="1" x14ac:dyDescent="0.2">
      <c r="A88" s="48">
        <v>190</v>
      </c>
      <c r="B88" s="48" t="s">
        <v>46</v>
      </c>
      <c r="C88" s="48" t="s">
        <v>56</v>
      </c>
      <c r="D88" s="48"/>
      <c r="E88" s="92"/>
      <c r="F88" s="92"/>
      <c r="G88" s="92"/>
      <c r="H88" s="48"/>
      <c r="I88" s="48"/>
      <c r="J88" s="48"/>
      <c r="K88" s="48"/>
    </row>
    <row r="89" spans="1:11" ht="15" customHeight="1" x14ac:dyDescent="0.2">
      <c r="A89" s="48">
        <v>192</v>
      </c>
      <c r="B89" s="48" t="s">
        <v>47</v>
      </c>
      <c r="C89" s="48" t="s">
        <v>46</v>
      </c>
      <c r="D89" s="48" t="s">
        <v>863</v>
      </c>
      <c r="E89" s="92">
        <v>4</v>
      </c>
      <c r="F89" s="92"/>
      <c r="G89" s="92"/>
      <c r="H89" s="48"/>
      <c r="I89" s="48"/>
      <c r="J89" s="48"/>
      <c r="K89" s="48"/>
    </row>
    <row r="90" spans="1:11" ht="15" customHeight="1" x14ac:dyDescent="0.2">
      <c r="A90" s="48">
        <v>193</v>
      </c>
      <c r="B90" s="48" t="s">
        <v>56</v>
      </c>
      <c r="C90" s="48" t="s">
        <v>56</v>
      </c>
      <c r="D90" s="48"/>
      <c r="E90" s="92"/>
      <c r="F90" s="92"/>
      <c r="G90" s="92"/>
      <c r="H90" s="48"/>
      <c r="I90" s="48"/>
      <c r="J90" s="48"/>
      <c r="K90" s="48"/>
    </row>
    <row r="91" spans="1:11" ht="15" customHeight="1" x14ac:dyDescent="0.2">
      <c r="A91" s="48">
        <v>196</v>
      </c>
      <c r="B91" s="48" t="s">
        <v>56</v>
      </c>
      <c r="C91" s="48" t="s">
        <v>56</v>
      </c>
      <c r="D91" s="48"/>
      <c r="E91" s="92"/>
      <c r="F91" s="92"/>
      <c r="G91" s="92"/>
      <c r="H91" s="48"/>
      <c r="I91" s="48"/>
      <c r="J91" s="48"/>
      <c r="K91" s="48"/>
    </row>
    <row r="92" spans="1:11" ht="15" customHeight="1" x14ac:dyDescent="0.2">
      <c r="A92" s="48">
        <v>197</v>
      </c>
      <c r="B92" s="48" t="s">
        <v>47</v>
      </c>
      <c r="C92" s="48" t="s">
        <v>46</v>
      </c>
      <c r="D92" s="48" t="s">
        <v>887</v>
      </c>
      <c r="E92" s="92">
        <v>5</v>
      </c>
      <c r="F92" s="92"/>
      <c r="G92" s="92"/>
      <c r="H92" s="48"/>
      <c r="I92" s="48"/>
      <c r="J92" s="48"/>
      <c r="K92" s="48"/>
    </row>
    <row r="93" spans="1:11" ht="15" customHeight="1" x14ac:dyDescent="0.2">
      <c r="A93" s="48">
        <v>200</v>
      </c>
      <c r="B93" s="48" t="s">
        <v>46</v>
      </c>
      <c r="C93" s="48" t="s">
        <v>56</v>
      </c>
      <c r="D93" s="48"/>
      <c r="E93" s="92"/>
      <c r="F93" s="92"/>
      <c r="G93" s="92"/>
      <c r="H93" s="48"/>
      <c r="I93" s="48"/>
      <c r="J93" s="48"/>
      <c r="K93" s="48"/>
    </row>
    <row r="94" spans="1:11" ht="15" customHeight="1" x14ac:dyDescent="0.2">
      <c r="A94" s="48">
        <v>203</v>
      </c>
      <c r="B94" s="48" t="s">
        <v>47</v>
      </c>
      <c r="C94" s="48" t="s">
        <v>46</v>
      </c>
      <c r="D94" s="48" t="s">
        <v>899</v>
      </c>
      <c r="E94" s="92"/>
      <c r="F94" s="92"/>
      <c r="G94" s="92"/>
      <c r="H94" s="48"/>
      <c r="I94" s="48"/>
      <c r="J94" s="48"/>
      <c r="K94" s="48"/>
    </row>
    <row r="95" spans="1:11" ht="15" customHeight="1" x14ac:dyDescent="0.2">
      <c r="A95" s="48">
        <v>204</v>
      </c>
      <c r="B95" s="48" t="s">
        <v>56</v>
      </c>
      <c r="C95" s="48" t="s">
        <v>56</v>
      </c>
      <c r="D95" s="48"/>
      <c r="E95" s="92"/>
      <c r="F95" s="92"/>
      <c r="G95" s="92"/>
      <c r="H95" s="48"/>
      <c r="I95" s="48"/>
      <c r="J95" s="48"/>
      <c r="K95" s="48"/>
    </row>
    <row r="96" spans="1:11" ht="15" customHeight="1" x14ac:dyDescent="0.2">
      <c r="A96" s="48">
        <v>207</v>
      </c>
      <c r="B96" s="48" t="s">
        <v>56</v>
      </c>
      <c r="C96" s="48" t="s">
        <v>56</v>
      </c>
      <c r="D96" s="48"/>
      <c r="E96" s="92"/>
      <c r="F96" s="92"/>
      <c r="G96" s="92"/>
      <c r="H96" s="48"/>
      <c r="I96" s="48"/>
      <c r="J96" s="48"/>
      <c r="K96" s="48"/>
    </row>
    <row r="97" spans="1:11" ht="15" customHeight="1" x14ac:dyDescent="0.2">
      <c r="A97" s="48">
        <v>208</v>
      </c>
      <c r="B97" s="48" t="s">
        <v>47</v>
      </c>
      <c r="C97" s="48" t="s">
        <v>47</v>
      </c>
      <c r="D97" s="48" t="s">
        <v>923</v>
      </c>
      <c r="E97" s="92">
        <v>14</v>
      </c>
      <c r="F97" s="92"/>
      <c r="G97" s="92"/>
      <c r="H97" s="48"/>
      <c r="I97" s="48"/>
      <c r="J97" s="48"/>
      <c r="K97" s="48"/>
    </row>
    <row r="98" spans="1:11" ht="15" customHeight="1" x14ac:dyDescent="0.2">
      <c r="A98" s="48">
        <v>210</v>
      </c>
      <c r="B98" s="48" t="s">
        <v>47</v>
      </c>
      <c r="C98" s="48" t="s">
        <v>47</v>
      </c>
      <c r="D98" s="48" t="s">
        <v>932</v>
      </c>
      <c r="E98" s="92">
        <v>16</v>
      </c>
      <c r="F98" s="92"/>
      <c r="G98" s="92"/>
      <c r="H98" s="48"/>
      <c r="I98" s="48"/>
      <c r="J98" s="48"/>
      <c r="K98" s="48"/>
    </row>
    <row r="99" spans="1:11" ht="15" customHeight="1" x14ac:dyDescent="0.2">
      <c r="A99" s="48">
        <v>212</v>
      </c>
      <c r="B99" s="48" t="s">
        <v>47</v>
      </c>
      <c r="C99" s="48" t="s">
        <v>47</v>
      </c>
      <c r="D99" s="48" t="s">
        <v>942</v>
      </c>
      <c r="E99" s="92">
        <v>8</v>
      </c>
      <c r="F99" s="92"/>
      <c r="G99" s="92"/>
      <c r="H99" s="48"/>
      <c r="I99" s="48"/>
      <c r="J99" s="48"/>
      <c r="K99" s="48"/>
    </row>
    <row r="100" spans="1:11" ht="15" customHeight="1" x14ac:dyDescent="0.2">
      <c r="A100" s="48">
        <v>215</v>
      </c>
      <c r="B100" s="48" t="s">
        <v>47</v>
      </c>
      <c r="C100" s="48" t="s">
        <v>46</v>
      </c>
      <c r="D100" s="48" t="s">
        <v>952</v>
      </c>
      <c r="E100" s="92">
        <v>21</v>
      </c>
      <c r="F100" s="92"/>
      <c r="G100" s="92"/>
      <c r="H100" s="48"/>
      <c r="I100" s="48"/>
      <c r="J100" s="48"/>
      <c r="K100" s="48"/>
    </row>
    <row r="101" spans="1:11" ht="15" customHeight="1" x14ac:dyDescent="0.2">
      <c r="A101" s="48">
        <v>217</v>
      </c>
      <c r="B101" s="48" t="s">
        <v>46</v>
      </c>
      <c r="C101" s="48" t="s">
        <v>56</v>
      </c>
      <c r="D101" s="48"/>
      <c r="E101" s="92"/>
      <c r="F101" s="92"/>
      <c r="G101" s="92"/>
      <c r="H101" s="48"/>
      <c r="I101" s="48"/>
      <c r="J101" s="48"/>
      <c r="K101" s="48"/>
    </row>
    <row r="102" spans="1:11" ht="15" customHeight="1" x14ac:dyDescent="0.2">
      <c r="A102" s="48">
        <v>219</v>
      </c>
      <c r="B102" s="48" t="s">
        <v>47</v>
      </c>
      <c r="C102" s="48" t="s">
        <v>47</v>
      </c>
      <c r="D102" s="48" t="s">
        <v>968</v>
      </c>
      <c r="E102" s="92">
        <v>15</v>
      </c>
      <c r="F102" s="92"/>
      <c r="G102" s="92"/>
      <c r="H102" s="48"/>
      <c r="I102" s="48"/>
      <c r="J102" s="48"/>
      <c r="K102" s="48"/>
    </row>
    <row r="103" spans="1:11" ht="15" customHeight="1" x14ac:dyDescent="0.2">
      <c r="A103" s="48">
        <v>221</v>
      </c>
      <c r="B103" s="48" t="s">
        <v>46</v>
      </c>
      <c r="C103" s="48" t="s">
        <v>56</v>
      </c>
      <c r="D103" s="48"/>
      <c r="E103" s="92"/>
      <c r="F103" s="92"/>
      <c r="G103" s="92"/>
      <c r="H103" s="48"/>
      <c r="I103" s="48"/>
      <c r="J103" s="48"/>
      <c r="K103" s="48"/>
    </row>
    <row r="104" spans="1:11" ht="15" customHeight="1" x14ac:dyDescent="0.2">
      <c r="A104" s="48">
        <v>222</v>
      </c>
      <c r="B104" s="48" t="s">
        <v>46</v>
      </c>
      <c r="C104" s="48" t="s">
        <v>56</v>
      </c>
      <c r="D104" s="48"/>
      <c r="E104" s="92"/>
      <c r="F104" s="92"/>
      <c r="G104" s="92"/>
      <c r="H104" s="48"/>
      <c r="I104" s="48"/>
      <c r="J104" s="48"/>
      <c r="K104" s="48"/>
    </row>
    <row r="105" spans="1:11" ht="15" customHeight="1" x14ac:dyDescent="0.2">
      <c r="A105" s="48">
        <v>223</v>
      </c>
      <c r="B105" s="48" t="s">
        <v>46</v>
      </c>
      <c r="C105" s="48" t="s">
        <v>56</v>
      </c>
      <c r="D105" s="48"/>
      <c r="E105" s="92"/>
      <c r="F105" s="92"/>
      <c r="G105" s="92"/>
      <c r="H105" s="48"/>
      <c r="I105" s="48"/>
      <c r="J105" s="48"/>
      <c r="K105" s="48"/>
    </row>
    <row r="106" spans="1:11" ht="15" customHeight="1" x14ac:dyDescent="0.2">
      <c r="A106" s="48">
        <v>226</v>
      </c>
      <c r="B106" s="48" t="s">
        <v>47</v>
      </c>
      <c r="C106" s="48" t="s">
        <v>46</v>
      </c>
      <c r="D106" s="48" t="s">
        <v>819</v>
      </c>
      <c r="E106" s="92"/>
      <c r="F106" s="92"/>
      <c r="G106" s="92"/>
      <c r="H106" s="48"/>
      <c r="I106" s="48"/>
      <c r="J106" s="48"/>
      <c r="K106" s="48"/>
    </row>
    <row r="107" spans="1:11" ht="15" customHeight="1" x14ac:dyDescent="0.2">
      <c r="A107" s="48">
        <v>231</v>
      </c>
      <c r="B107" s="48" t="s">
        <v>47</v>
      </c>
      <c r="C107" s="48" t="s">
        <v>46</v>
      </c>
      <c r="D107" s="48" t="s">
        <v>1007</v>
      </c>
      <c r="E107" s="92">
        <v>22</v>
      </c>
      <c r="F107" s="92"/>
      <c r="G107" s="92"/>
      <c r="H107" s="48"/>
      <c r="I107" s="48"/>
      <c r="J107" s="48"/>
      <c r="K107" s="48"/>
    </row>
    <row r="108" spans="1:11" ht="15" customHeight="1" x14ac:dyDescent="0.2">
      <c r="A108" s="48">
        <v>232</v>
      </c>
      <c r="B108" s="48" t="s">
        <v>47</v>
      </c>
      <c r="C108" s="48" t="s">
        <v>46</v>
      </c>
      <c r="D108" s="48" t="s">
        <v>1016</v>
      </c>
      <c r="E108" s="92">
        <v>22</v>
      </c>
      <c r="F108" s="92"/>
      <c r="G108" s="92"/>
      <c r="H108" s="48"/>
      <c r="I108" s="48"/>
      <c r="J108" s="48"/>
      <c r="K108" s="48"/>
    </row>
    <row r="109" spans="1:11" ht="15" customHeight="1" x14ac:dyDescent="0.2">
      <c r="A109" s="48">
        <v>233</v>
      </c>
      <c r="B109" s="48" t="s">
        <v>56</v>
      </c>
      <c r="C109" s="48" t="s">
        <v>56</v>
      </c>
      <c r="D109" s="48"/>
      <c r="E109" s="92"/>
      <c r="F109" s="92"/>
      <c r="G109" s="92"/>
      <c r="H109" s="48"/>
      <c r="I109" s="48"/>
      <c r="J109" s="48"/>
      <c r="K109" s="48"/>
    </row>
    <row r="110" spans="1:11" ht="15" customHeight="1" x14ac:dyDescent="0.2">
      <c r="A110" s="48">
        <v>236</v>
      </c>
      <c r="B110" s="48" t="s">
        <v>47</v>
      </c>
      <c r="C110" s="48" t="s">
        <v>47</v>
      </c>
      <c r="D110" s="48" t="s">
        <v>1034</v>
      </c>
      <c r="E110" s="92">
        <v>23</v>
      </c>
      <c r="F110" s="92"/>
      <c r="G110" s="92"/>
      <c r="H110" s="48"/>
      <c r="I110" s="48"/>
      <c r="J110" s="48"/>
      <c r="K110" s="48"/>
    </row>
    <row r="111" spans="1:11" ht="15" customHeight="1" x14ac:dyDescent="0.2">
      <c r="A111" s="48">
        <v>238</v>
      </c>
      <c r="B111" s="48" t="s">
        <v>47</v>
      </c>
      <c r="C111" s="48" t="s">
        <v>47</v>
      </c>
      <c r="D111" s="48" t="s">
        <v>1045</v>
      </c>
      <c r="E111" s="92">
        <v>24</v>
      </c>
      <c r="F111" s="92"/>
      <c r="G111" s="92"/>
      <c r="H111" s="48"/>
      <c r="I111" s="48"/>
      <c r="J111" s="48"/>
      <c r="K111" s="48"/>
    </row>
    <row r="112" spans="1:11" ht="15" customHeight="1" x14ac:dyDescent="0.2">
      <c r="A112" s="48">
        <v>241</v>
      </c>
      <c r="B112" s="48" t="s">
        <v>46</v>
      </c>
      <c r="C112" s="48" t="s">
        <v>56</v>
      </c>
      <c r="D112" s="48"/>
      <c r="E112" s="92"/>
      <c r="F112" s="92"/>
      <c r="G112" s="92"/>
      <c r="H112" s="48"/>
      <c r="I112" s="48"/>
      <c r="J112" s="48"/>
      <c r="K112" s="48"/>
    </row>
    <row r="113" spans="1:11" ht="15" customHeight="1" x14ac:dyDescent="0.2">
      <c r="A113" s="48">
        <v>242</v>
      </c>
      <c r="B113" s="48" t="s">
        <v>56</v>
      </c>
      <c r="C113" s="48" t="s">
        <v>56</v>
      </c>
      <c r="D113" s="48"/>
      <c r="E113" s="92"/>
      <c r="F113" s="92"/>
      <c r="G113" s="92"/>
      <c r="H113" s="48"/>
      <c r="I113" s="48"/>
      <c r="J113" s="48"/>
      <c r="K113" s="48"/>
    </row>
    <row r="114" spans="1:11" ht="15" customHeight="1" x14ac:dyDescent="0.2">
      <c r="A114" s="48">
        <v>245</v>
      </c>
      <c r="B114" s="48" t="s">
        <v>47</v>
      </c>
      <c r="C114" s="48" t="s">
        <v>47</v>
      </c>
      <c r="D114" s="48" t="s">
        <v>1067</v>
      </c>
      <c r="E114" s="92">
        <v>25</v>
      </c>
      <c r="F114" s="92"/>
      <c r="G114" s="92"/>
      <c r="H114" s="48"/>
      <c r="I114" s="48"/>
      <c r="J114" s="48"/>
      <c r="K114" s="48"/>
    </row>
    <row r="115" spans="1:11" ht="15" customHeight="1" x14ac:dyDescent="0.2">
      <c r="A115" s="48">
        <v>247</v>
      </c>
      <c r="B115" s="48" t="s">
        <v>47</v>
      </c>
      <c r="C115" s="48" t="s">
        <v>47</v>
      </c>
      <c r="D115" s="48" t="s">
        <v>1076</v>
      </c>
      <c r="E115" s="92">
        <v>13</v>
      </c>
      <c r="F115" s="92"/>
      <c r="G115" s="92"/>
      <c r="H115" s="48"/>
      <c r="I115" s="48"/>
      <c r="J115" s="48"/>
      <c r="K115" s="48"/>
    </row>
    <row r="116" spans="1:11" ht="15" customHeight="1" x14ac:dyDescent="0.2">
      <c r="A116" s="48">
        <v>249</v>
      </c>
      <c r="B116" s="48" t="s">
        <v>47</v>
      </c>
      <c r="C116" s="48" t="s">
        <v>46</v>
      </c>
      <c r="D116" s="48" t="s">
        <v>1086</v>
      </c>
      <c r="E116" s="92"/>
      <c r="F116" s="92"/>
      <c r="G116" s="92"/>
      <c r="H116" s="48"/>
      <c r="I116" s="48"/>
      <c r="J116" s="48"/>
      <c r="K116" s="48"/>
    </row>
    <row r="117" spans="1:11" ht="15" customHeight="1" x14ac:dyDescent="0.2">
      <c r="A117" s="48">
        <v>250</v>
      </c>
      <c r="B117" s="48" t="s">
        <v>47</v>
      </c>
      <c r="C117" s="48" t="s">
        <v>46</v>
      </c>
      <c r="D117" s="48" t="s">
        <v>1094</v>
      </c>
      <c r="E117" s="92">
        <v>4</v>
      </c>
      <c r="F117" s="92"/>
      <c r="G117" s="92"/>
      <c r="H117" s="48"/>
      <c r="I117" s="48"/>
      <c r="J117" s="48"/>
      <c r="K117" s="48"/>
    </row>
    <row r="118" spans="1:11" ht="15" customHeight="1" x14ac:dyDescent="0.2">
      <c r="A118" s="48">
        <v>254</v>
      </c>
      <c r="B118" s="48" t="s">
        <v>56</v>
      </c>
      <c r="C118" s="48" t="s">
        <v>56</v>
      </c>
      <c r="D118" s="48"/>
      <c r="E118" s="92"/>
      <c r="F118" s="92"/>
      <c r="G118" s="92"/>
      <c r="H118" s="48"/>
      <c r="I118" s="48"/>
      <c r="J118" s="48"/>
      <c r="K118" s="48"/>
    </row>
    <row r="119" spans="1:11" ht="15" customHeight="1" x14ac:dyDescent="0.2">
      <c r="A119" s="48">
        <v>256</v>
      </c>
      <c r="B119" s="48" t="s">
        <v>56</v>
      </c>
      <c r="C119" s="48" t="s">
        <v>56</v>
      </c>
      <c r="D119" s="48"/>
      <c r="E119" s="92"/>
      <c r="F119" s="92"/>
      <c r="G119" s="92"/>
      <c r="H119" s="48"/>
      <c r="I119" s="48"/>
      <c r="J119" s="48"/>
      <c r="K119" s="48"/>
    </row>
    <row r="120" spans="1:11" ht="15" customHeight="1" x14ac:dyDescent="0.2">
      <c r="A120" s="48">
        <v>257</v>
      </c>
      <c r="B120" s="48" t="s">
        <v>47</v>
      </c>
      <c r="C120" s="48" t="s">
        <v>47</v>
      </c>
      <c r="D120" s="48" t="s">
        <v>1123</v>
      </c>
      <c r="E120" s="92">
        <v>4</v>
      </c>
      <c r="F120" s="92"/>
      <c r="G120" s="92"/>
      <c r="H120" s="48"/>
      <c r="I120" s="48"/>
      <c r="J120" s="48"/>
      <c r="K120" s="48"/>
    </row>
    <row r="121" spans="1:11" ht="15" customHeight="1" x14ac:dyDescent="0.2">
      <c r="A121" s="48">
        <v>260</v>
      </c>
      <c r="B121" s="48" t="s">
        <v>47</v>
      </c>
      <c r="C121" s="48" t="s">
        <v>47</v>
      </c>
      <c r="D121" s="48" t="s">
        <v>1133</v>
      </c>
      <c r="E121" s="92">
        <v>14</v>
      </c>
      <c r="F121" s="92"/>
      <c r="G121" s="92"/>
      <c r="H121" s="48"/>
      <c r="I121" s="48"/>
      <c r="J121" s="48"/>
      <c r="K121" s="48"/>
    </row>
    <row r="122" spans="1:11" ht="15" customHeight="1" x14ac:dyDescent="0.2">
      <c r="A122" s="48">
        <v>262</v>
      </c>
      <c r="B122" s="48" t="s">
        <v>47</v>
      </c>
      <c r="C122" s="48" t="s">
        <v>47</v>
      </c>
      <c r="D122" s="48" t="s">
        <v>1142</v>
      </c>
      <c r="E122" s="92"/>
      <c r="F122" s="92"/>
      <c r="G122" s="92"/>
      <c r="H122" s="48"/>
      <c r="I122" s="48"/>
      <c r="J122" s="48"/>
      <c r="K122" s="48"/>
    </row>
    <row r="123" spans="1:11" ht="15" customHeight="1" x14ac:dyDescent="0.2">
      <c r="A123" s="48">
        <v>263</v>
      </c>
      <c r="B123" s="48" t="s">
        <v>47</v>
      </c>
      <c r="C123" s="48" t="s">
        <v>47</v>
      </c>
      <c r="D123" s="48" t="s">
        <v>1153</v>
      </c>
      <c r="E123" s="92">
        <v>4</v>
      </c>
      <c r="F123" s="92"/>
      <c r="G123" s="92"/>
      <c r="H123" s="48"/>
      <c r="I123" s="48"/>
      <c r="J123" s="48"/>
      <c r="K123" s="48"/>
    </row>
    <row r="124" spans="1:11" ht="15" customHeight="1" x14ac:dyDescent="0.2">
      <c r="A124" s="48">
        <v>272</v>
      </c>
      <c r="B124" s="48" t="s">
        <v>47</v>
      </c>
      <c r="C124" s="48" t="s">
        <v>46</v>
      </c>
      <c r="D124" s="48" t="s">
        <v>1162</v>
      </c>
      <c r="E124" s="92">
        <v>4</v>
      </c>
      <c r="F124" s="92"/>
      <c r="G124" s="92"/>
      <c r="H124" s="48"/>
      <c r="I124" s="48"/>
      <c r="J124" s="48"/>
      <c r="K124" s="48"/>
    </row>
    <row r="125" spans="1:11" ht="15" customHeight="1" x14ac:dyDescent="0.2">
      <c r="A125" s="48">
        <v>273</v>
      </c>
      <c r="B125" s="48" t="s">
        <v>47</v>
      </c>
      <c r="C125" s="48" t="s">
        <v>46</v>
      </c>
      <c r="D125" s="48" t="s">
        <v>1172</v>
      </c>
      <c r="E125" s="92">
        <v>15</v>
      </c>
      <c r="F125" s="92"/>
      <c r="G125" s="92"/>
      <c r="H125" s="48"/>
      <c r="I125" s="48"/>
      <c r="J125" s="48"/>
      <c r="K125" s="48"/>
    </row>
    <row r="126" spans="1:11" ht="15" customHeight="1" x14ac:dyDescent="0.2">
      <c r="A126" s="48">
        <v>280</v>
      </c>
      <c r="B126" s="48" t="s">
        <v>47</v>
      </c>
      <c r="C126" s="48" t="s">
        <v>47</v>
      </c>
      <c r="D126" s="48" t="s">
        <v>1181</v>
      </c>
      <c r="E126" s="92">
        <v>5</v>
      </c>
      <c r="F126" s="92"/>
      <c r="G126" s="92"/>
      <c r="H126" s="48"/>
      <c r="I126" s="48"/>
      <c r="J126" s="48"/>
      <c r="K126" s="48"/>
    </row>
    <row r="127" spans="1:11" ht="15" customHeight="1" x14ac:dyDescent="0.2">
      <c r="A127" s="48">
        <v>282</v>
      </c>
      <c r="B127" s="48" t="s">
        <v>47</v>
      </c>
      <c r="C127" s="48" t="s">
        <v>47</v>
      </c>
      <c r="D127" s="48" t="s">
        <v>1191</v>
      </c>
      <c r="E127" s="92">
        <v>14</v>
      </c>
      <c r="F127" s="92"/>
      <c r="G127" s="92"/>
      <c r="H127" s="48"/>
      <c r="I127" s="48"/>
      <c r="J127" s="48"/>
      <c r="K127" s="48"/>
    </row>
    <row r="128" spans="1:11" ht="15" customHeight="1" x14ac:dyDescent="0.2">
      <c r="A128" s="48">
        <v>286</v>
      </c>
      <c r="B128" s="48" t="s">
        <v>46</v>
      </c>
      <c r="C128" s="48" t="s">
        <v>56</v>
      </c>
      <c r="D128" s="48"/>
      <c r="E128" s="92"/>
      <c r="F128" s="92"/>
      <c r="G128" s="92"/>
      <c r="H128" s="48"/>
      <c r="I128" s="48"/>
      <c r="J128" s="48"/>
      <c r="K128" s="48"/>
    </row>
    <row r="129" spans="1:11" ht="15" customHeight="1" x14ac:dyDescent="0.2">
      <c r="A129" s="48">
        <v>287</v>
      </c>
      <c r="B129" s="48" t="s">
        <v>46</v>
      </c>
      <c r="C129" s="48" t="s">
        <v>56</v>
      </c>
      <c r="D129" s="48"/>
      <c r="E129" s="92"/>
      <c r="F129" s="92"/>
      <c r="G129" s="92"/>
      <c r="H129" s="48"/>
      <c r="I129" s="48"/>
      <c r="J129" s="48"/>
      <c r="K129" s="48"/>
    </row>
    <row r="130" spans="1:11" ht="15" customHeight="1" x14ac:dyDescent="0.2">
      <c r="A130" s="48">
        <v>288</v>
      </c>
      <c r="B130" s="48" t="s">
        <v>56</v>
      </c>
      <c r="C130" s="48" t="s">
        <v>56</v>
      </c>
      <c r="D130" s="48"/>
      <c r="E130" s="92"/>
      <c r="F130" s="92"/>
      <c r="G130" s="92"/>
      <c r="H130" s="48"/>
      <c r="I130" s="48"/>
      <c r="J130" s="48"/>
      <c r="K130" s="48"/>
    </row>
    <row r="131" spans="1:11" ht="15" customHeight="1" x14ac:dyDescent="0.2">
      <c r="A131" s="48">
        <v>289</v>
      </c>
      <c r="B131" s="48" t="s">
        <v>47</v>
      </c>
      <c r="C131" s="48" t="s">
        <v>46</v>
      </c>
      <c r="D131" s="48" t="s">
        <v>1229</v>
      </c>
      <c r="E131" s="92">
        <v>4</v>
      </c>
      <c r="F131" s="92"/>
      <c r="G131" s="92"/>
      <c r="H131" s="48"/>
      <c r="I131" s="48"/>
      <c r="J131" s="48"/>
      <c r="K131" s="48"/>
    </row>
    <row r="132" spans="1:11" ht="15" customHeight="1" x14ac:dyDescent="0.2">
      <c r="A132" s="48">
        <v>290</v>
      </c>
      <c r="B132" s="48" t="s">
        <v>46</v>
      </c>
      <c r="C132" s="48" t="s">
        <v>56</v>
      </c>
      <c r="D132" s="48"/>
      <c r="E132" s="92"/>
      <c r="F132" s="92"/>
      <c r="G132" s="92"/>
      <c r="H132" s="48"/>
      <c r="I132" s="48"/>
      <c r="J132" s="48"/>
      <c r="K132" s="48"/>
    </row>
    <row r="133" spans="1:11" ht="15" customHeight="1" x14ac:dyDescent="0.2">
      <c r="A133" s="48">
        <v>291</v>
      </c>
      <c r="B133" s="48" t="s">
        <v>46</v>
      </c>
      <c r="C133" s="48" t="s">
        <v>56</v>
      </c>
      <c r="D133" s="48"/>
      <c r="E133" s="92"/>
      <c r="F133" s="92"/>
      <c r="G133" s="92"/>
      <c r="H133" s="48"/>
      <c r="I133" s="48"/>
      <c r="J133" s="48"/>
      <c r="K133" s="48"/>
    </row>
    <row r="134" spans="1:11" ht="15" customHeight="1" x14ac:dyDescent="0.2">
      <c r="A134" s="48">
        <v>293</v>
      </c>
      <c r="B134" s="48" t="s">
        <v>47</v>
      </c>
      <c r="C134" s="48" t="s">
        <v>47</v>
      </c>
      <c r="D134" s="48" t="s">
        <v>1253</v>
      </c>
      <c r="E134" s="92">
        <v>13</v>
      </c>
      <c r="F134" s="92"/>
      <c r="G134" s="92"/>
      <c r="H134" s="48"/>
      <c r="I134" s="48"/>
      <c r="J134" s="48"/>
      <c r="K134" s="48"/>
    </row>
    <row r="135" spans="1:11" ht="15" customHeight="1" x14ac:dyDescent="0.2">
      <c r="A135" s="48">
        <v>294</v>
      </c>
      <c r="B135" s="48" t="s">
        <v>47</v>
      </c>
      <c r="C135" s="48" t="s">
        <v>47</v>
      </c>
      <c r="D135" s="48" t="s">
        <v>1261</v>
      </c>
      <c r="E135" s="92">
        <v>28</v>
      </c>
      <c r="F135" s="92"/>
      <c r="G135" s="92"/>
      <c r="H135" s="48"/>
      <c r="I135" s="48"/>
      <c r="J135" s="48"/>
      <c r="K135" s="48"/>
    </row>
    <row r="136" spans="1:11" ht="15" customHeight="1" x14ac:dyDescent="0.2">
      <c r="A136" s="48">
        <v>295</v>
      </c>
      <c r="B136" s="48" t="s">
        <v>47</v>
      </c>
      <c r="C136" s="48" t="s">
        <v>46</v>
      </c>
      <c r="D136" s="48" t="s">
        <v>1271</v>
      </c>
      <c r="E136" s="92"/>
      <c r="F136" s="92"/>
      <c r="G136" s="92"/>
      <c r="H136" s="48"/>
      <c r="I136" s="48"/>
      <c r="J136" s="48"/>
      <c r="K136" s="48"/>
    </row>
    <row r="137" spans="1:11" ht="15" customHeight="1" x14ac:dyDescent="0.2">
      <c r="A137" s="48">
        <v>297</v>
      </c>
      <c r="B137" s="48" t="s">
        <v>47</v>
      </c>
      <c r="C137" s="48" t="s">
        <v>47</v>
      </c>
      <c r="D137" s="48" t="s">
        <v>1281</v>
      </c>
      <c r="E137" s="92"/>
      <c r="F137" s="92"/>
      <c r="G137" s="92"/>
      <c r="H137" s="48"/>
      <c r="I137" s="48"/>
      <c r="J137" s="48"/>
      <c r="K137" s="48"/>
    </row>
    <row r="138" spans="1:11" ht="15" customHeight="1" x14ac:dyDescent="0.2">
      <c r="A138" s="48">
        <v>298</v>
      </c>
      <c r="B138" s="48" t="s">
        <v>47</v>
      </c>
      <c r="C138" s="48" t="s">
        <v>47</v>
      </c>
      <c r="D138" s="48" t="s">
        <v>1289</v>
      </c>
      <c r="E138" s="92">
        <v>27</v>
      </c>
      <c r="F138" s="92"/>
      <c r="G138" s="92"/>
      <c r="H138" s="48"/>
      <c r="I138" s="48"/>
      <c r="J138" s="48"/>
      <c r="K138" s="48"/>
    </row>
    <row r="139" spans="1:11" ht="15" customHeight="1" x14ac:dyDescent="0.2">
      <c r="A139" s="48">
        <v>300</v>
      </c>
      <c r="B139" s="48" t="s">
        <v>46</v>
      </c>
      <c r="C139" s="48" t="s">
        <v>56</v>
      </c>
      <c r="D139" s="48"/>
      <c r="E139" s="92"/>
      <c r="F139" s="92"/>
      <c r="G139" s="92"/>
      <c r="H139" s="48"/>
      <c r="I139" s="48"/>
      <c r="J139" s="48"/>
      <c r="K139" s="48"/>
    </row>
    <row r="140" spans="1:11" ht="15" customHeight="1" x14ac:dyDescent="0.2">
      <c r="A140" s="48">
        <v>301</v>
      </c>
      <c r="B140" s="48" t="s">
        <v>46</v>
      </c>
      <c r="C140" s="48" t="s">
        <v>56</v>
      </c>
      <c r="D140" s="48"/>
      <c r="E140" s="92"/>
      <c r="F140" s="92"/>
      <c r="G140" s="92"/>
      <c r="H140" s="48"/>
      <c r="I140" s="48"/>
      <c r="J140" s="48"/>
      <c r="K140" s="48"/>
    </row>
    <row r="141" spans="1:11" ht="15" customHeight="1" x14ac:dyDescent="0.2">
      <c r="A141" s="48">
        <v>302</v>
      </c>
      <c r="B141" s="48" t="s">
        <v>47</v>
      </c>
      <c r="C141" s="48" t="s">
        <v>46</v>
      </c>
      <c r="D141" s="48" t="s">
        <v>1312</v>
      </c>
      <c r="E141" s="92">
        <v>14</v>
      </c>
      <c r="F141" s="92"/>
      <c r="G141" s="92"/>
      <c r="H141" s="48"/>
      <c r="I141" s="48"/>
      <c r="J141" s="48"/>
      <c r="K141" s="48"/>
    </row>
    <row r="142" spans="1:11" ht="15" customHeight="1" x14ac:dyDescent="0.2">
      <c r="A142" s="48">
        <v>303</v>
      </c>
      <c r="B142" s="48" t="s">
        <v>47</v>
      </c>
      <c r="C142" s="48" t="s">
        <v>47</v>
      </c>
      <c r="D142" s="48" t="s">
        <v>1320</v>
      </c>
      <c r="E142" s="92">
        <v>22</v>
      </c>
      <c r="F142" s="92"/>
      <c r="G142" s="92"/>
      <c r="H142" s="48"/>
      <c r="I142" s="48"/>
      <c r="J142" s="48"/>
      <c r="K142" s="48"/>
    </row>
    <row r="143" spans="1:11" ht="15" customHeight="1" x14ac:dyDescent="0.2">
      <c r="A143" s="48">
        <v>304</v>
      </c>
      <c r="B143" s="48" t="s">
        <v>47</v>
      </c>
      <c r="C143" s="48" t="s">
        <v>46</v>
      </c>
      <c r="D143" s="48" t="s">
        <v>1328</v>
      </c>
      <c r="E143" s="92">
        <v>22</v>
      </c>
      <c r="F143" s="92"/>
      <c r="G143" s="92"/>
      <c r="H143" s="48"/>
      <c r="I143" s="48"/>
      <c r="J143" s="48"/>
      <c r="K143" s="48"/>
    </row>
    <row r="144" spans="1:11" ht="15" customHeight="1" x14ac:dyDescent="0.2">
      <c r="A144" s="48">
        <v>305</v>
      </c>
      <c r="B144" s="48" t="s">
        <v>46</v>
      </c>
      <c r="C144" s="48" t="s">
        <v>56</v>
      </c>
      <c r="D144" s="48"/>
      <c r="E144" s="92"/>
      <c r="F144" s="92"/>
      <c r="G144" s="92"/>
      <c r="H144" s="48"/>
      <c r="I144" s="48"/>
      <c r="J144" s="48"/>
      <c r="K144" s="48"/>
    </row>
    <row r="145" spans="1:11" ht="15" customHeight="1" x14ac:dyDescent="0.2">
      <c r="A145" s="48">
        <v>307</v>
      </c>
      <c r="B145" s="48" t="s">
        <v>47</v>
      </c>
      <c r="C145" s="48" t="s">
        <v>47</v>
      </c>
      <c r="D145" s="48" t="s">
        <v>1344</v>
      </c>
      <c r="E145" s="92">
        <v>13</v>
      </c>
      <c r="F145" s="92"/>
      <c r="G145" s="92"/>
      <c r="H145" s="48"/>
      <c r="I145" s="48"/>
      <c r="J145" s="48"/>
      <c r="K145" s="48"/>
    </row>
    <row r="146" spans="1:11" ht="15" customHeight="1" x14ac:dyDescent="0.2">
      <c r="A146" s="48">
        <v>308</v>
      </c>
      <c r="B146" s="48" t="s">
        <v>47</v>
      </c>
      <c r="C146" s="48" t="s">
        <v>46</v>
      </c>
      <c r="D146" s="48" t="s">
        <v>1353</v>
      </c>
      <c r="E146" s="92">
        <v>11</v>
      </c>
      <c r="F146" s="92"/>
      <c r="G146" s="92"/>
      <c r="H146" s="48"/>
      <c r="I146" s="48"/>
      <c r="J146" s="48"/>
      <c r="K146" s="48"/>
    </row>
    <row r="147" spans="1:11" ht="15" customHeight="1" x14ac:dyDescent="0.2">
      <c r="A147" s="46">
        <v>310</v>
      </c>
      <c r="B147" s="47" t="s">
        <v>46</v>
      </c>
      <c r="C147" s="47" t="s">
        <v>56</v>
      </c>
      <c r="D147" s="47"/>
      <c r="E147" s="105"/>
      <c r="F147" s="105"/>
      <c r="G147" s="105"/>
      <c r="H147" s="47"/>
      <c r="I147" s="48"/>
      <c r="J147" s="48"/>
      <c r="K147" s="48"/>
    </row>
    <row r="148" spans="1:11" ht="15" customHeight="1" x14ac:dyDescent="0.2">
      <c r="A148" s="46">
        <v>312</v>
      </c>
      <c r="B148" s="47" t="s">
        <v>47</v>
      </c>
      <c r="C148" s="47" t="s">
        <v>47</v>
      </c>
      <c r="D148" s="47" t="s">
        <v>1452</v>
      </c>
      <c r="E148" s="105">
        <v>22</v>
      </c>
      <c r="F148" s="105">
        <v>30</v>
      </c>
      <c r="G148" s="105"/>
      <c r="H148" s="47"/>
      <c r="I148" s="48"/>
      <c r="J148" s="48"/>
      <c r="K148" s="48"/>
    </row>
    <row r="149" spans="1:11" ht="15" customHeight="1" x14ac:dyDescent="0.2">
      <c r="A149" s="46">
        <v>314</v>
      </c>
      <c r="B149" s="47" t="s">
        <v>47</v>
      </c>
      <c r="C149" s="47" t="s">
        <v>46</v>
      </c>
      <c r="D149" s="47" t="s">
        <v>1453</v>
      </c>
      <c r="E149" s="105">
        <v>13</v>
      </c>
      <c r="F149" s="105"/>
      <c r="G149" s="105"/>
      <c r="H149" s="47"/>
      <c r="I149" s="48"/>
      <c r="J149" s="48"/>
      <c r="K149" s="48"/>
    </row>
    <row r="150" spans="1:11" ht="15" customHeight="1" x14ac:dyDescent="0.2">
      <c r="A150" s="46">
        <v>315</v>
      </c>
      <c r="B150" s="47" t="s">
        <v>47</v>
      </c>
      <c r="C150" s="47" t="s">
        <v>46</v>
      </c>
      <c r="D150" s="47" t="s">
        <v>1454</v>
      </c>
      <c r="E150" s="105">
        <v>14</v>
      </c>
      <c r="F150" s="105"/>
      <c r="G150" s="105"/>
      <c r="H150" s="47"/>
      <c r="I150" s="48"/>
      <c r="J150" s="48"/>
      <c r="K150" s="48"/>
    </row>
    <row r="151" spans="1:11" ht="15" customHeight="1" x14ac:dyDescent="0.2">
      <c r="A151" s="46">
        <v>316</v>
      </c>
      <c r="B151" s="47" t="s">
        <v>47</v>
      </c>
      <c r="C151" s="47" t="s">
        <v>46</v>
      </c>
      <c r="D151" s="47" t="s">
        <v>1455</v>
      </c>
      <c r="E151" s="105">
        <v>22</v>
      </c>
      <c r="F151" s="105"/>
      <c r="G151" s="105"/>
      <c r="H151" s="47"/>
      <c r="I151" s="48"/>
      <c r="J151" s="48"/>
      <c r="K151" s="48"/>
    </row>
    <row r="152" spans="1:11" ht="15" customHeight="1" x14ac:dyDescent="0.2">
      <c r="A152" s="46">
        <v>317</v>
      </c>
      <c r="B152" s="47" t="s">
        <v>46</v>
      </c>
      <c r="C152" s="47" t="s">
        <v>56</v>
      </c>
      <c r="D152" s="47"/>
      <c r="E152" s="105"/>
      <c r="F152" s="105"/>
      <c r="G152" s="105"/>
      <c r="H152" s="47"/>
      <c r="I152" s="48"/>
      <c r="J152" s="48"/>
      <c r="K152" s="48"/>
    </row>
    <row r="153" spans="1:11" ht="15" customHeight="1" x14ac:dyDescent="0.2">
      <c r="A153" s="46">
        <v>319</v>
      </c>
      <c r="B153" s="47" t="s">
        <v>46</v>
      </c>
      <c r="C153" s="47" t="s">
        <v>56</v>
      </c>
      <c r="D153" s="47"/>
      <c r="E153" s="105"/>
      <c r="F153" s="105"/>
      <c r="G153" s="105"/>
      <c r="H153" s="47"/>
      <c r="I153" s="48"/>
      <c r="J153" s="48"/>
      <c r="K153" s="48"/>
    </row>
    <row r="154" spans="1:11" ht="15" customHeight="1" x14ac:dyDescent="0.2">
      <c r="A154" s="46">
        <v>323</v>
      </c>
      <c r="B154" s="47" t="s">
        <v>47</v>
      </c>
      <c r="C154" s="47" t="s">
        <v>46</v>
      </c>
      <c r="D154" s="47" t="s">
        <v>1456</v>
      </c>
      <c r="E154" s="105">
        <v>31</v>
      </c>
      <c r="F154" s="105"/>
      <c r="G154" s="105"/>
      <c r="H154" s="47"/>
      <c r="I154" s="48"/>
      <c r="J154" s="48"/>
      <c r="K154" s="48"/>
    </row>
    <row r="155" spans="1:11" ht="15" customHeight="1" x14ac:dyDescent="0.2">
      <c r="A155" s="46">
        <v>324</v>
      </c>
      <c r="B155" s="47" t="s">
        <v>46</v>
      </c>
      <c r="C155" s="47" t="s">
        <v>56</v>
      </c>
      <c r="D155" s="47"/>
      <c r="E155" s="105"/>
      <c r="F155" s="105"/>
      <c r="G155" s="105"/>
      <c r="H155" s="47"/>
      <c r="I155" s="48"/>
      <c r="J155" s="48"/>
      <c r="K155" s="48"/>
    </row>
    <row r="156" spans="1:11" ht="15" customHeight="1" x14ac:dyDescent="0.2">
      <c r="A156" s="46">
        <v>325</v>
      </c>
      <c r="B156" s="47" t="s">
        <v>47</v>
      </c>
      <c r="C156" s="47" t="s">
        <v>46</v>
      </c>
      <c r="D156" s="47" t="s">
        <v>1457</v>
      </c>
      <c r="E156" s="105"/>
      <c r="F156" s="105"/>
      <c r="G156" s="105"/>
      <c r="H156" s="47"/>
      <c r="I156" s="48"/>
      <c r="J156" s="48"/>
      <c r="K156" s="48"/>
    </row>
    <row r="157" spans="1:11" ht="15" customHeight="1" x14ac:dyDescent="0.2">
      <c r="A157" s="46">
        <v>327</v>
      </c>
      <c r="B157" s="47" t="s">
        <v>47</v>
      </c>
      <c r="C157" s="47" t="s">
        <v>46</v>
      </c>
      <c r="D157" s="47" t="s">
        <v>1458</v>
      </c>
      <c r="E157" s="105">
        <v>13</v>
      </c>
      <c r="F157" s="105"/>
      <c r="G157" s="105"/>
      <c r="H157" s="47"/>
      <c r="I157" s="48"/>
      <c r="J157" s="48"/>
      <c r="K157" s="48"/>
    </row>
    <row r="158" spans="1:11" ht="15" customHeight="1" x14ac:dyDescent="0.2">
      <c r="A158" s="46">
        <v>328</v>
      </c>
      <c r="B158" s="47" t="s">
        <v>47</v>
      </c>
      <c r="C158" s="47" t="s">
        <v>47</v>
      </c>
      <c r="D158" s="47" t="s">
        <v>1459</v>
      </c>
      <c r="E158" s="105"/>
      <c r="F158" s="105"/>
      <c r="G158" s="105"/>
      <c r="H158" s="47"/>
      <c r="I158" s="48"/>
      <c r="J158" s="48"/>
      <c r="K158" s="48"/>
    </row>
    <row r="159" spans="1:11" ht="15" customHeight="1" x14ac:dyDescent="0.2">
      <c r="A159" s="46">
        <v>329</v>
      </c>
      <c r="B159" s="47" t="s">
        <v>47</v>
      </c>
      <c r="C159" s="47" t="s">
        <v>46</v>
      </c>
      <c r="D159" s="47" t="s">
        <v>1460</v>
      </c>
      <c r="E159" s="105"/>
      <c r="F159" s="105"/>
      <c r="G159" s="105"/>
      <c r="H159" s="47"/>
      <c r="I159" s="48"/>
      <c r="J159" s="48"/>
      <c r="K159" s="48"/>
    </row>
    <row r="160" spans="1:11" ht="15" customHeight="1" x14ac:dyDescent="0.2">
      <c r="A160" s="46">
        <v>331</v>
      </c>
      <c r="B160" s="47" t="s">
        <v>47</v>
      </c>
      <c r="C160" s="47" t="s">
        <v>47</v>
      </c>
      <c r="D160" s="47" t="s">
        <v>1521</v>
      </c>
      <c r="E160" s="105">
        <v>4</v>
      </c>
      <c r="F160" s="105">
        <v>16</v>
      </c>
      <c r="G160" s="105"/>
      <c r="H160" s="47"/>
      <c r="I160" s="48"/>
      <c r="J160" s="48"/>
      <c r="K160" s="48"/>
    </row>
    <row r="161" spans="1:11" ht="15" customHeight="1" x14ac:dyDescent="0.2">
      <c r="A161" s="46">
        <v>332</v>
      </c>
      <c r="B161" s="47" t="s">
        <v>47</v>
      </c>
      <c r="C161" s="47" t="s">
        <v>47</v>
      </c>
      <c r="D161" s="47" t="s">
        <v>1522</v>
      </c>
      <c r="E161" s="105">
        <v>4</v>
      </c>
      <c r="F161" s="105"/>
      <c r="G161" s="105"/>
      <c r="H161" s="47"/>
      <c r="I161" s="48"/>
      <c r="J161" s="48"/>
      <c r="K161" s="48"/>
    </row>
    <row r="162" spans="1:11" ht="15" customHeight="1" x14ac:dyDescent="0.2">
      <c r="A162" s="46">
        <v>334</v>
      </c>
      <c r="B162" s="47" t="s">
        <v>47</v>
      </c>
      <c r="C162" s="47" t="s">
        <v>46</v>
      </c>
      <c r="D162" s="47" t="s">
        <v>1523</v>
      </c>
      <c r="E162" s="105">
        <v>8</v>
      </c>
      <c r="F162" s="105">
        <v>5</v>
      </c>
      <c r="G162" s="105">
        <v>14</v>
      </c>
      <c r="H162" s="47"/>
      <c r="I162" s="48"/>
      <c r="J162" s="48"/>
      <c r="K162" s="48"/>
    </row>
    <row r="163" spans="1:11" ht="15" customHeight="1" x14ac:dyDescent="0.2">
      <c r="A163" s="46">
        <v>336</v>
      </c>
      <c r="B163" s="47" t="s">
        <v>46</v>
      </c>
      <c r="C163" s="47" t="s">
        <v>56</v>
      </c>
      <c r="D163" s="47"/>
      <c r="E163" s="105"/>
      <c r="F163" s="105"/>
      <c r="G163" s="105"/>
      <c r="H163" s="47"/>
      <c r="I163" s="48"/>
      <c r="J163" s="48"/>
      <c r="K163" s="48"/>
    </row>
    <row r="164" spans="1:11" ht="15" customHeight="1" x14ac:dyDescent="0.2">
      <c r="A164" s="46">
        <v>337</v>
      </c>
      <c r="B164" s="47" t="s">
        <v>46</v>
      </c>
      <c r="C164" s="47" t="s">
        <v>56</v>
      </c>
      <c r="D164" s="47"/>
      <c r="E164" s="105"/>
      <c r="F164" s="105"/>
      <c r="G164" s="105"/>
      <c r="H164" s="47"/>
      <c r="I164" s="48"/>
      <c r="J164" s="48"/>
      <c r="K164" s="48"/>
    </row>
    <row r="165" spans="1:11" ht="15" customHeight="1" x14ac:dyDescent="0.2">
      <c r="I165" s="48"/>
      <c r="J165" s="48"/>
      <c r="K165" s="48"/>
    </row>
  </sheetData>
  <sortState ref="P2:S32">
    <sortCondition descending="1" ref="R2:R32"/>
  </sortState>
  <pageMargins left="0.7" right="0.7" top="0.75" bottom="0.75" header="0.3" footer="0.3"/>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64"/>
  <sheetViews>
    <sheetView workbookViewId="0">
      <selection activeCell="G26" sqref="G26"/>
    </sheetView>
  </sheetViews>
  <sheetFormatPr baseColWidth="10" defaultColWidth="8.83203125" defaultRowHeight="15" x14ac:dyDescent="0.2"/>
  <cols>
    <col min="1" max="1" width="12" customWidth="1"/>
    <col min="2" max="2" width="32" bestFit="1" customWidth="1"/>
    <col min="3" max="3" width="42.5" customWidth="1"/>
    <col min="5" max="5" width="10" bestFit="1" customWidth="1"/>
  </cols>
  <sheetData>
    <row r="1" spans="1:7" ht="18" customHeight="1" x14ac:dyDescent="0.2">
      <c r="A1" s="6" t="s">
        <v>0</v>
      </c>
      <c r="B1" s="6" t="s">
        <v>39</v>
      </c>
      <c r="C1" s="6" t="s">
        <v>40</v>
      </c>
    </row>
    <row r="2" spans="1:7" x14ac:dyDescent="0.2">
      <c r="A2" s="6">
        <v>2</v>
      </c>
      <c r="B2" s="6" t="s">
        <v>56</v>
      </c>
      <c r="C2" s="6"/>
      <c r="E2" s="22" t="s">
        <v>1373</v>
      </c>
      <c r="F2" s="23">
        <f>COUNTIF(B2:B164,"Yes")+COUNTIF(B2:B164,"No")</f>
        <v>15</v>
      </c>
      <c r="G2" s="24" t="s">
        <v>1375</v>
      </c>
    </row>
    <row r="3" spans="1:7" x14ac:dyDescent="0.2">
      <c r="A3" s="6">
        <v>5</v>
      </c>
      <c r="B3" s="6" t="s">
        <v>56</v>
      </c>
      <c r="C3" s="6"/>
      <c r="E3" s="11" t="s">
        <v>47</v>
      </c>
      <c r="F3" s="16">
        <f>COUNTIF(B2:B164,"Yes")</f>
        <v>11</v>
      </c>
      <c r="G3" s="19">
        <f>F3/F2*100</f>
        <v>73.333333333333329</v>
      </c>
    </row>
    <row r="4" spans="1:7" x14ac:dyDescent="0.2">
      <c r="A4" s="6">
        <v>6</v>
      </c>
      <c r="B4" s="6" t="s">
        <v>56</v>
      </c>
      <c r="C4" s="6"/>
      <c r="E4" s="10" t="s">
        <v>46</v>
      </c>
      <c r="F4" s="25">
        <f>COUNTIF(B2:B164,"No")</f>
        <v>4</v>
      </c>
      <c r="G4" s="21">
        <f>F4/F2*100</f>
        <v>26.666666666666668</v>
      </c>
    </row>
    <row r="5" spans="1:7" x14ac:dyDescent="0.2">
      <c r="A5" s="6">
        <v>11</v>
      </c>
      <c r="B5" s="6" t="s">
        <v>56</v>
      </c>
      <c r="C5" s="6"/>
    </row>
    <row r="6" spans="1:7" x14ac:dyDescent="0.2">
      <c r="A6" s="6">
        <v>18</v>
      </c>
      <c r="B6" s="6" t="s">
        <v>46</v>
      </c>
      <c r="C6" s="6"/>
    </row>
    <row r="7" spans="1:7" x14ac:dyDescent="0.2">
      <c r="A7" s="6">
        <v>21</v>
      </c>
      <c r="B7" s="6" t="s">
        <v>47</v>
      </c>
      <c r="C7" s="6" t="s">
        <v>100</v>
      </c>
    </row>
    <row r="8" spans="1:7" x14ac:dyDescent="0.2">
      <c r="A8" s="6">
        <v>22</v>
      </c>
      <c r="B8" s="6" t="s">
        <v>56</v>
      </c>
      <c r="C8" s="6"/>
    </row>
    <row r="9" spans="1:7" x14ac:dyDescent="0.2">
      <c r="A9" s="6">
        <v>26</v>
      </c>
      <c r="B9" s="6" t="s">
        <v>47</v>
      </c>
      <c r="C9" s="6" t="s">
        <v>118</v>
      </c>
    </row>
    <row r="10" spans="1:7" x14ac:dyDescent="0.2">
      <c r="A10" s="6">
        <v>30</v>
      </c>
      <c r="B10" s="6" t="s">
        <v>56</v>
      </c>
      <c r="C10" s="6"/>
    </row>
    <row r="11" spans="1:7" x14ac:dyDescent="0.2">
      <c r="A11" s="6">
        <v>31</v>
      </c>
      <c r="B11" s="6" t="s">
        <v>56</v>
      </c>
      <c r="C11" s="6"/>
    </row>
    <row r="12" spans="1:7" x14ac:dyDescent="0.2">
      <c r="A12" s="6">
        <v>28</v>
      </c>
      <c r="B12" s="6" t="s">
        <v>56</v>
      </c>
      <c r="C12" s="6"/>
    </row>
    <row r="13" spans="1:7" x14ac:dyDescent="0.2">
      <c r="A13" s="6">
        <v>32</v>
      </c>
      <c r="B13" s="6" t="s">
        <v>56</v>
      </c>
      <c r="C13" s="6"/>
    </row>
    <row r="14" spans="1:7" x14ac:dyDescent="0.2">
      <c r="A14" s="6">
        <v>34</v>
      </c>
      <c r="B14" s="6" t="s">
        <v>56</v>
      </c>
      <c r="C14" s="6"/>
    </row>
    <row r="15" spans="1:7" x14ac:dyDescent="0.2">
      <c r="A15" s="6">
        <v>35</v>
      </c>
      <c r="B15" s="6" t="s">
        <v>56</v>
      </c>
      <c r="C15" s="6"/>
    </row>
    <row r="16" spans="1:7" x14ac:dyDescent="0.2">
      <c r="A16" s="6">
        <v>36</v>
      </c>
      <c r="B16" s="6" t="s">
        <v>56</v>
      </c>
      <c r="C16" s="6"/>
    </row>
    <row r="17" spans="1:3" x14ac:dyDescent="0.2">
      <c r="A17" s="6">
        <v>38</v>
      </c>
      <c r="B17" s="6" t="s">
        <v>56</v>
      </c>
      <c r="C17" s="6"/>
    </row>
    <row r="18" spans="1:3" x14ac:dyDescent="0.2">
      <c r="A18" s="6">
        <v>40</v>
      </c>
      <c r="B18" s="6" t="s">
        <v>56</v>
      </c>
      <c r="C18" s="6"/>
    </row>
    <row r="19" spans="1:3" x14ac:dyDescent="0.2">
      <c r="A19" s="6">
        <v>41</v>
      </c>
      <c r="B19" s="6" t="s">
        <v>56</v>
      </c>
      <c r="C19" s="6"/>
    </row>
    <row r="20" spans="1:3" x14ac:dyDescent="0.2">
      <c r="A20" s="6">
        <v>42</v>
      </c>
      <c r="B20" s="6" t="s">
        <v>56</v>
      </c>
      <c r="C20" s="6"/>
    </row>
    <row r="21" spans="1:3" x14ac:dyDescent="0.2">
      <c r="A21" s="6">
        <v>44</v>
      </c>
      <c r="B21" s="6" t="s">
        <v>56</v>
      </c>
      <c r="C21" s="6"/>
    </row>
    <row r="22" spans="1:3" x14ac:dyDescent="0.2">
      <c r="A22" s="6">
        <v>46</v>
      </c>
      <c r="B22" s="6" t="s">
        <v>56</v>
      </c>
      <c r="C22" s="6"/>
    </row>
    <row r="23" spans="1:3" x14ac:dyDescent="0.2">
      <c r="A23" s="6">
        <v>47</v>
      </c>
      <c r="B23" s="6" t="s">
        <v>56</v>
      </c>
      <c r="C23" s="6"/>
    </row>
    <row r="24" spans="1:3" x14ac:dyDescent="0.2">
      <c r="A24" s="6">
        <v>49</v>
      </c>
      <c r="B24" s="6" t="s">
        <v>56</v>
      </c>
      <c r="C24" s="6"/>
    </row>
    <row r="25" spans="1:3" x14ac:dyDescent="0.2">
      <c r="A25" s="6">
        <v>50</v>
      </c>
      <c r="B25" s="6" t="s">
        <v>56</v>
      </c>
      <c r="C25" s="6"/>
    </row>
    <row r="26" spans="1:3" x14ac:dyDescent="0.2">
      <c r="A26" s="6">
        <v>51</v>
      </c>
      <c r="B26" s="6" t="s">
        <v>56</v>
      </c>
      <c r="C26" s="6"/>
    </row>
    <row r="27" spans="1:3" x14ac:dyDescent="0.2">
      <c r="A27" s="6">
        <v>53</v>
      </c>
      <c r="B27" s="6" t="s">
        <v>56</v>
      </c>
      <c r="C27" s="6"/>
    </row>
    <row r="28" spans="1:3" x14ac:dyDescent="0.2">
      <c r="A28" s="6">
        <v>55</v>
      </c>
      <c r="B28" s="6" t="s">
        <v>47</v>
      </c>
      <c r="C28" s="6" t="s">
        <v>305</v>
      </c>
    </row>
    <row r="29" spans="1:3" x14ac:dyDescent="0.2">
      <c r="A29" s="6">
        <v>60</v>
      </c>
      <c r="B29" s="6" t="s">
        <v>56</v>
      </c>
      <c r="C29" s="6"/>
    </row>
    <row r="30" spans="1:3" x14ac:dyDescent="0.2">
      <c r="A30" s="6">
        <v>61</v>
      </c>
      <c r="B30" s="6" t="s">
        <v>56</v>
      </c>
      <c r="C30" s="6"/>
    </row>
    <row r="31" spans="1:3" x14ac:dyDescent="0.2">
      <c r="A31" s="6">
        <v>62</v>
      </c>
      <c r="B31" s="6" t="s">
        <v>56</v>
      </c>
      <c r="C31" s="6"/>
    </row>
    <row r="32" spans="1:3" x14ac:dyDescent="0.2">
      <c r="A32" s="6">
        <v>65</v>
      </c>
      <c r="B32" s="6" t="s">
        <v>56</v>
      </c>
      <c r="C32" s="6"/>
    </row>
    <row r="33" spans="1:3" x14ac:dyDescent="0.2">
      <c r="A33" s="6">
        <v>70</v>
      </c>
      <c r="B33" s="6" t="s">
        <v>56</v>
      </c>
      <c r="C33" s="6"/>
    </row>
    <row r="34" spans="1:3" x14ac:dyDescent="0.2">
      <c r="A34" s="6">
        <v>71</v>
      </c>
      <c r="B34" s="6" t="s">
        <v>56</v>
      </c>
      <c r="C34" s="6"/>
    </row>
    <row r="35" spans="1:3" x14ac:dyDescent="0.2">
      <c r="A35" s="6">
        <v>72</v>
      </c>
      <c r="B35" s="6" t="s">
        <v>56</v>
      </c>
      <c r="C35" s="6"/>
    </row>
    <row r="36" spans="1:3" x14ac:dyDescent="0.2">
      <c r="A36" s="6">
        <v>74</v>
      </c>
      <c r="B36" s="6" t="s">
        <v>56</v>
      </c>
      <c r="C36" s="6"/>
    </row>
    <row r="37" spans="1:3" x14ac:dyDescent="0.2">
      <c r="A37" s="6">
        <v>75</v>
      </c>
      <c r="B37" s="6" t="s">
        <v>56</v>
      </c>
      <c r="C37" s="6"/>
    </row>
    <row r="38" spans="1:3" x14ac:dyDescent="0.2">
      <c r="A38" s="6">
        <v>76</v>
      </c>
      <c r="B38" s="6" t="s">
        <v>56</v>
      </c>
      <c r="C38" s="6"/>
    </row>
    <row r="39" spans="1:3" x14ac:dyDescent="0.2">
      <c r="A39" s="6">
        <v>78</v>
      </c>
      <c r="B39" s="6" t="s">
        <v>56</v>
      </c>
      <c r="C39" s="6"/>
    </row>
    <row r="40" spans="1:3" x14ac:dyDescent="0.2">
      <c r="A40" s="6">
        <v>79</v>
      </c>
      <c r="B40" s="6" t="s">
        <v>56</v>
      </c>
      <c r="C40" s="6"/>
    </row>
    <row r="41" spans="1:3" x14ac:dyDescent="0.2">
      <c r="A41" s="6">
        <v>80</v>
      </c>
      <c r="B41" s="6" t="s">
        <v>56</v>
      </c>
      <c r="C41" s="6"/>
    </row>
    <row r="42" spans="1:3" x14ac:dyDescent="0.2">
      <c r="A42" s="6">
        <v>87</v>
      </c>
      <c r="B42" s="6" t="s">
        <v>56</v>
      </c>
      <c r="C42" s="6"/>
    </row>
    <row r="43" spans="1:3" x14ac:dyDescent="0.2">
      <c r="A43" s="6">
        <v>89</v>
      </c>
      <c r="B43" s="6" t="s">
        <v>56</v>
      </c>
      <c r="C43" s="6"/>
    </row>
    <row r="44" spans="1:3" x14ac:dyDescent="0.2">
      <c r="A44" s="6">
        <v>90</v>
      </c>
      <c r="B44" s="6" t="s">
        <v>56</v>
      </c>
      <c r="C44" s="6"/>
    </row>
    <row r="45" spans="1:3" x14ac:dyDescent="0.2">
      <c r="A45" s="6">
        <v>91</v>
      </c>
      <c r="B45" s="6" t="s">
        <v>56</v>
      </c>
      <c r="C45" s="6"/>
    </row>
    <row r="46" spans="1:3" x14ac:dyDescent="0.2">
      <c r="A46" s="6">
        <v>92</v>
      </c>
      <c r="B46" s="6" t="s">
        <v>56</v>
      </c>
      <c r="C46" s="6"/>
    </row>
    <row r="47" spans="1:3" x14ac:dyDescent="0.2">
      <c r="A47" s="6">
        <v>93</v>
      </c>
      <c r="B47" s="6" t="s">
        <v>56</v>
      </c>
      <c r="C47" s="6"/>
    </row>
    <row r="48" spans="1:3" x14ac:dyDescent="0.2">
      <c r="A48" s="6">
        <v>95</v>
      </c>
      <c r="B48" s="6" t="s">
        <v>56</v>
      </c>
      <c r="C48" s="6"/>
    </row>
    <row r="49" spans="1:3" x14ac:dyDescent="0.2">
      <c r="A49" s="6">
        <v>96</v>
      </c>
      <c r="B49" s="6" t="s">
        <v>56</v>
      </c>
      <c r="C49" s="6"/>
    </row>
    <row r="50" spans="1:3" x14ac:dyDescent="0.2">
      <c r="A50" s="6">
        <v>100</v>
      </c>
      <c r="B50" s="6" t="s">
        <v>56</v>
      </c>
      <c r="C50" s="6"/>
    </row>
    <row r="51" spans="1:3" x14ac:dyDescent="0.2">
      <c r="A51" s="6">
        <v>104</v>
      </c>
      <c r="B51" s="6" t="s">
        <v>56</v>
      </c>
      <c r="C51" s="6"/>
    </row>
    <row r="52" spans="1:3" x14ac:dyDescent="0.2">
      <c r="A52" s="6">
        <v>107</v>
      </c>
      <c r="B52" s="6" t="s">
        <v>56</v>
      </c>
      <c r="C52" s="6"/>
    </row>
    <row r="53" spans="1:3" x14ac:dyDescent="0.2">
      <c r="A53" s="6">
        <v>109</v>
      </c>
      <c r="B53" s="6" t="s">
        <v>56</v>
      </c>
      <c r="C53" s="6"/>
    </row>
    <row r="54" spans="1:3" x14ac:dyDescent="0.2">
      <c r="A54" s="6">
        <v>110</v>
      </c>
      <c r="B54" s="6" t="s">
        <v>56</v>
      </c>
      <c r="C54" s="6"/>
    </row>
    <row r="55" spans="1:3" x14ac:dyDescent="0.2">
      <c r="A55" s="6">
        <v>112</v>
      </c>
      <c r="B55" s="6" t="s">
        <v>56</v>
      </c>
      <c r="C55" s="6"/>
    </row>
    <row r="56" spans="1:3" x14ac:dyDescent="0.2">
      <c r="A56" s="6">
        <v>118</v>
      </c>
      <c r="B56" s="6" t="s">
        <v>56</v>
      </c>
      <c r="C56" s="6"/>
    </row>
    <row r="57" spans="1:3" x14ac:dyDescent="0.2">
      <c r="A57" s="6">
        <v>119</v>
      </c>
      <c r="B57" s="6" t="s">
        <v>56</v>
      </c>
      <c r="C57" s="6"/>
    </row>
    <row r="58" spans="1:3" x14ac:dyDescent="0.2">
      <c r="A58" s="6">
        <v>120</v>
      </c>
      <c r="B58" s="6" t="s">
        <v>56</v>
      </c>
      <c r="C58" s="6"/>
    </row>
    <row r="59" spans="1:3" x14ac:dyDescent="0.2">
      <c r="A59" s="6">
        <v>121</v>
      </c>
      <c r="B59" s="6" t="s">
        <v>56</v>
      </c>
      <c r="C59" s="6"/>
    </row>
    <row r="60" spans="1:3" x14ac:dyDescent="0.2">
      <c r="A60" s="6">
        <v>122</v>
      </c>
      <c r="B60" s="6" t="s">
        <v>56</v>
      </c>
      <c r="C60" s="6"/>
    </row>
    <row r="61" spans="1:3" x14ac:dyDescent="0.2">
      <c r="A61" s="6">
        <v>127</v>
      </c>
      <c r="B61" s="6" t="s">
        <v>56</v>
      </c>
      <c r="C61" s="6"/>
    </row>
    <row r="62" spans="1:3" x14ac:dyDescent="0.2">
      <c r="A62" s="6">
        <v>128</v>
      </c>
      <c r="B62" s="6" t="s">
        <v>56</v>
      </c>
      <c r="C62" s="6"/>
    </row>
    <row r="63" spans="1:3" x14ac:dyDescent="0.2">
      <c r="A63" s="6">
        <v>132</v>
      </c>
      <c r="B63" s="6" t="s">
        <v>56</v>
      </c>
      <c r="C63" s="6"/>
    </row>
    <row r="64" spans="1:3" x14ac:dyDescent="0.2">
      <c r="A64" s="6">
        <v>135</v>
      </c>
      <c r="B64" s="6" t="s">
        <v>56</v>
      </c>
      <c r="C64" s="6"/>
    </row>
    <row r="65" spans="1:3" x14ac:dyDescent="0.2">
      <c r="A65" s="6">
        <v>136</v>
      </c>
      <c r="B65" s="6" t="s">
        <v>56</v>
      </c>
      <c r="C65" s="6"/>
    </row>
    <row r="66" spans="1:3" x14ac:dyDescent="0.2">
      <c r="A66" s="6">
        <v>138</v>
      </c>
      <c r="B66" s="6" t="s">
        <v>56</v>
      </c>
      <c r="C66" s="6"/>
    </row>
    <row r="67" spans="1:3" x14ac:dyDescent="0.2">
      <c r="A67" s="6">
        <v>139</v>
      </c>
      <c r="B67" s="6" t="s">
        <v>56</v>
      </c>
      <c r="C67" s="6"/>
    </row>
    <row r="68" spans="1:3" x14ac:dyDescent="0.2">
      <c r="A68" s="6">
        <v>140</v>
      </c>
      <c r="B68" s="6" t="s">
        <v>56</v>
      </c>
      <c r="C68" s="6"/>
    </row>
    <row r="69" spans="1:3" x14ac:dyDescent="0.2">
      <c r="A69" s="6">
        <v>148</v>
      </c>
      <c r="B69" s="6" t="s">
        <v>56</v>
      </c>
      <c r="C69" s="6"/>
    </row>
    <row r="70" spans="1:3" x14ac:dyDescent="0.2">
      <c r="A70" s="6">
        <v>149</v>
      </c>
      <c r="B70" s="6" t="s">
        <v>56</v>
      </c>
      <c r="C70" s="6"/>
    </row>
    <row r="71" spans="1:3" x14ac:dyDescent="0.2">
      <c r="A71" s="6">
        <v>150</v>
      </c>
      <c r="B71" s="6" t="s">
        <v>56</v>
      </c>
      <c r="C71" s="6"/>
    </row>
    <row r="72" spans="1:3" x14ac:dyDescent="0.2">
      <c r="A72" s="6">
        <v>151</v>
      </c>
      <c r="B72" s="6" t="s">
        <v>56</v>
      </c>
      <c r="C72" s="6"/>
    </row>
    <row r="73" spans="1:3" x14ac:dyDescent="0.2">
      <c r="A73" s="6">
        <v>152</v>
      </c>
      <c r="B73" s="6" t="s">
        <v>56</v>
      </c>
      <c r="C73" s="6"/>
    </row>
    <row r="74" spans="1:3" x14ac:dyDescent="0.2">
      <c r="A74" s="6">
        <v>153</v>
      </c>
      <c r="B74" s="6" t="s">
        <v>56</v>
      </c>
      <c r="C74" s="6"/>
    </row>
    <row r="75" spans="1:3" x14ac:dyDescent="0.2">
      <c r="A75" s="6">
        <v>157</v>
      </c>
      <c r="B75" s="6" t="s">
        <v>56</v>
      </c>
      <c r="C75" s="6"/>
    </row>
    <row r="76" spans="1:3" x14ac:dyDescent="0.2">
      <c r="A76" s="6">
        <v>156</v>
      </c>
      <c r="B76" s="6" t="s">
        <v>56</v>
      </c>
      <c r="C76" s="6"/>
    </row>
    <row r="77" spans="1:3" x14ac:dyDescent="0.2">
      <c r="A77" s="6">
        <v>162</v>
      </c>
      <c r="B77" s="6" t="s">
        <v>56</v>
      </c>
      <c r="C77" s="6"/>
    </row>
    <row r="78" spans="1:3" x14ac:dyDescent="0.2">
      <c r="A78" s="6">
        <v>164</v>
      </c>
      <c r="B78" s="6" t="s">
        <v>56</v>
      </c>
      <c r="C78" s="6"/>
    </row>
    <row r="79" spans="1:3" x14ac:dyDescent="0.2">
      <c r="A79" s="6">
        <v>166</v>
      </c>
      <c r="B79" s="6" t="s">
        <v>46</v>
      </c>
      <c r="C79" s="6"/>
    </row>
    <row r="80" spans="1:3" x14ac:dyDescent="0.2">
      <c r="A80" s="6">
        <v>170</v>
      </c>
      <c r="B80" s="6" t="s">
        <v>56</v>
      </c>
      <c r="C80" s="6"/>
    </row>
    <row r="81" spans="1:3" x14ac:dyDescent="0.2">
      <c r="A81" s="6">
        <v>173</v>
      </c>
      <c r="B81" s="6" t="s">
        <v>56</v>
      </c>
      <c r="C81" s="6"/>
    </row>
    <row r="82" spans="1:3" x14ac:dyDescent="0.2">
      <c r="A82" s="6">
        <v>175</v>
      </c>
      <c r="B82" s="6" t="s">
        <v>56</v>
      </c>
      <c r="C82" s="6"/>
    </row>
    <row r="83" spans="1:3" x14ac:dyDescent="0.2">
      <c r="A83" s="6">
        <v>178</v>
      </c>
      <c r="B83" s="6" t="s">
        <v>56</v>
      </c>
      <c r="C83" s="6"/>
    </row>
    <row r="84" spans="1:3" x14ac:dyDescent="0.2">
      <c r="A84" s="6">
        <v>183</v>
      </c>
      <c r="B84" s="6" t="s">
        <v>56</v>
      </c>
      <c r="C84" s="6"/>
    </row>
    <row r="85" spans="1:3" x14ac:dyDescent="0.2">
      <c r="A85" s="6">
        <v>185</v>
      </c>
      <c r="B85" s="6" t="s">
        <v>56</v>
      </c>
      <c r="C85" s="6"/>
    </row>
    <row r="86" spans="1:3" x14ac:dyDescent="0.2">
      <c r="A86" s="6">
        <v>186</v>
      </c>
      <c r="B86" s="6" t="s">
        <v>47</v>
      </c>
      <c r="C86" s="6" t="s">
        <v>835</v>
      </c>
    </row>
    <row r="87" spans="1:3" x14ac:dyDescent="0.2">
      <c r="A87" s="6">
        <v>189</v>
      </c>
      <c r="B87" s="6" t="s">
        <v>56</v>
      </c>
      <c r="C87" s="6"/>
    </row>
    <row r="88" spans="1:3" x14ac:dyDescent="0.2">
      <c r="A88" s="6">
        <v>190</v>
      </c>
      <c r="B88" s="6" t="s">
        <v>56</v>
      </c>
      <c r="C88" s="6"/>
    </row>
    <row r="89" spans="1:3" x14ac:dyDescent="0.2">
      <c r="A89" s="6">
        <v>192</v>
      </c>
      <c r="B89" s="6" t="s">
        <v>56</v>
      </c>
      <c r="C89" s="6"/>
    </row>
    <row r="90" spans="1:3" x14ac:dyDescent="0.2">
      <c r="A90" s="6">
        <v>193</v>
      </c>
      <c r="B90" s="6" t="s">
        <v>47</v>
      </c>
      <c r="C90" s="6" t="s">
        <v>870</v>
      </c>
    </row>
    <row r="91" spans="1:3" x14ac:dyDescent="0.2">
      <c r="A91" s="6">
        <v>196</v>
      </c>
      <c r="B91" s="6" t="s">
        <v>46</v>
      </c>
      <c r="C91" s="6"/>
    </row>
    <row r="92" spans="1:3" x14ac:dyDescent="0.2">
      <c r="A92" s="6">
        <v>197</v>
      </c>
      <c r="B92" s="6" t="s">
        <v>56</v>
      </c>
      <c r="C92" s="6"/>
    </row>
    <row r="93" spans="1:3" x14ac:dyDescent="0.2">
      <c r="A93" s="6">
        <v>200</v>
      </c>
      <c r="B93" s="6" t="s">
        <v>56</v>
      </c>
      <c r="C93" s="6"/>
    </row>
    <row r="94" spans="1:3" x14ac:dyDescent="0.2">
      <c r="A94" s="6">
        <v>203</v>
      </c>
      <c r="B94" s="6" t="s">
        <v>56</v>
      </c>
      <c r="C94" s="6"/>
    </row>
    <row r="95" spans="1:3" x14ac:dyDescent="0.2">
      <c r="A95" s="6">
        <v>204</v>
      </c>
      <c r="B95" s="6" t="s">
        <v>47</v>
      </c>
      <c r="C95" s="6" t="s">
        <v>908</v>
      </c>
    </row>
    <row r="96" spans="1:3" x14ac:dyDescent="0.2">
      <c r="A96" s="6">
        <v>207</v>
      </c>
      <c r="B96" s="6" t="s">
        <v>47</v>
      </c>
      <c r="C96" s="6" t="s">
        <v>914</v>
      </c>
    </row>
    <row r="97" spans="1:3" x14ac:dyDescent="0.2">
      <c r="A97" s="6">
        <v>208</v>
      </c>
      <c r="B97" s="6" t="s">
        <v>56</v>
      </c>
      <c r="C97" s="6"/>
    </row>
    <row r="98" spans="1:3" x14ac:dyDescent="0.2">
      <c r="A98" s="6">
        <v>210</v>
      </c>
      <c r="B98" s="6" t="s">
        <v>56</v>
      </c>
      <c r="C98" s="6"/>
    </row>
    <row r="99" spans="1:3" x14ac:dyDescent="0.2">
      <c r="A99" s="6">
        <v>212</v>
      </c>
      <c r="B99" s="6" t="s">
        <v>56</v>
      </c>
      <c r="C99" s="6"/>
    </row>
    <row r="100" spans="1:3" x14ac:dyDescent="0.2">
      <c r="A100" s="6">
        <v>215</v>
      </c>
      <c r="B100" s="6" t="s">
        <v>56</v>
      </c>
      <c r="C100" s="6"/>
    </row>
    <row r="101" spans="1:3" x14ac:dyDescent="0.2">
      <c r="A101" s="6">
        <v>217</v>
      </c>
      <c r="B101" s="6" t="s">
        <v>56</v>
      </c>
      <c r="C101" s="6"/>
    </row>
    <row r="102" spans="1:3" x14ac:dyDescent="0.2">
      <c r="A102" s="6">
        <v>219</v>
      </c>
      <c r="B102" s="6" t="s">
        <v>56</v>
      </c>
      <c r="C102" s="6"/>
    </row>
    <row r="103" spans="1:3" x14ac:dyDescent="0.2">
      <c r="A103" s="6">
        <v>221</v>
      </c>
      <c r="B103" s="6" t="s">
        <v>56</v>
      </c>
      <c r="C103" s="6"/>
    </row>
    <row r="104" spans="1:3" x14ac:dyDescent="0.2">
      <c r="A104" s="6">
        <v>222</v>
      </c>
      <c r="B104" s="6" t="s">
        <v>56</v>
      </c>
      <c r="C104" s="6"/>
    </row>
    <row r="105" spans="1:3" x14ac:dyDescent="0.2">
      <c r="A105" s="6">
        <v>223</v>
      </c>
      <c r="B105" s="6" t="s">
        <v>56</v>
      </c>
      <c r="C105" s="6"/>
    </row>
    <row r="106" spans="1:3" x14ac:dyDescent="0.2">
      <c r="A106" s="6">
        <v>226</v>
      </c>
      <c r="B106" s="6" t="s">
        <v>56</v>
      </c>
      <c r="C106" s="6"/>
    </row>
    <row r="107" spans="1:3" x14ac:dyDescent="0.2">
      <c r="A107" s="6">
        <v>231</v>
      </c>
      <c r="B107" s="6" t="s">
        <v>56</v>
      </c>
      <c r="C107" s="6"/>
    </row>
    <row r="108" spans="1:3" x14ac:dyDescent="0.2">
      <c r="A108" s="6">
        <v>232</v>
      </c>
      <c r="B108" s="6" t="s">
        <v>56</v>
      </c>
      <c r="C108" s="6"/>
    </row>
    <row r="109" spans="1:3" x14ac:dyDescent="0.2">
      <c r="A109" s="6">
        <v>233</v>
      </c>
      <c r="B109" s="6" t="s">
        <v>47</v>
      </c>
      <c r="C109" s="6" t="s">
        <v>1024</v>
      </c>
    </row>
    <row r="110" spans="1:3" x14ac:dyDescent="0.2">
      <c r="A110" s="6">
        <v>236</v>
      </c>
      <c r="B110" s="6" t="s">
        <v>56</v>
      </c>
      <c r="C110" s="6"/>
    </row>
    <row r="111" spans="1:3" x14ac:dyDescent="0.2">
      <c r="A111" s="6">
        <v>238</v>
      </c>
      <c r="B111" s="6" t="s">
        <v>56</v>
      </c>
      <c r="C111" s="6"/>
    </row>
    <row r="112" spans="1:3" x14ac:dyDescent="0.2">
      <c r="A112" s="6">
        <v>241</v>
      </c>
      <c r="B112" s="6" t="s">
        <v>56</v>
      </c>
      <c r="C112" s="6"/>
    </row>
    <row r="113" spans="1:3" x14ac:dyDescent="0.2">
      <c r="A113" s="6">
        <v>242</v>
      </c>
      <c r="B113" s="6" t="s">
        <v>46</v>
      </c>
      <c r="C113" s="6"/>
    </row>
    <row r="114" spans="1:3" x14ac:dyDescent="0.2">
      <c r="A114" s="6">
        <v>245</v>
      </c>
      <c r="B114" s="6" t="s">
        <v>56</v>
      </c>
      <c r="C114" s="6"/>
    </row>
    <row r="115" spans="1:3" x14ac:dyDescent="0.2">
      <c r="A115" s="6">
        <v>247</v>
      </c>
      <c r="B115" s="6" t="s">
        <v>56</v>
      </c>
      <c r="C115" s="6"/>
    </row>
    <row r="116" spans="1:3" x14ac:dyDescent="0.2">
      <c r="A116" s="6">
        <v>249</v>
      </c>
      <c r="B116" s="6" t="s">
        <v>56</v>
      </c>
      <c r="C116" s="6"/>
    </row>
    <row r="117" spans="1:3" x14ac:dyDescent="0.2">
      <c r="A117" s="6">
        <v>250</v>
      </c>
      <c r="B117" s="6" t="s">
        <v>56</v>
      </c>
      <c r="C117" s="6"/>
    </row>
    <row r="118" spans="1:3" ht="30" x14ac:dyDescent="0.2">
      <c r="A118" s="6">
        <v>254</v>
      </c>
      <c r="B118" s="6" t="s">
        <v>47</v>
      </c>
      <c r="C118" s="6" t="s">
        <v>1103</v>
      </c>
    </row>
    <row r="119" spans="1:3" x14ac:dyDescent="0.2">
      <c r="A119" s="6">
        <v>256</v>
      </c>
      <c r="B119" s="6" t="s">
        <v>47</v>
      </c>
      <c r="C119" s="6" t="s">
        <v>1111</v>
      </c>
    </row>
    <row r="120" spans="1:3" x14ac:dyDescent="0.2">
      <c r="A120" s="6">
        <v>257</v>
      </c>
      <c r="B120" s="6" t="s">
        <v>56</v>
      </c>
      <c r="C120" s="6"/>
    </row>
    <row r="121" spans="1:3" x14ac:dyDescent="0.2">
      <c r="A121" s="6">
        <v>260</v>
      </c>
      <c r="B121" s="6" t="s">
        <v>56</v>
      </c>
      <c r="C121" s="6"/>
    </row>
    <row r="122" spans="1:3" x14ac:dyDescent="0.2">
      <c r="A122" s="6">
        <v>262</v>
      </c>
      <c r="B122" s="6" t="s">
        <v>56</v>
      </c>
      <c r="C122" s="6"/>
    </row>
    <row r="123" spans="1:3" x14ac:dyDescent="0.2">
      <c r="A123" s="6">
        <v>263</v>
      </c>
      <c r="B123" s="6" t="s">
        <v>56</v>
      </c>
      <c r="C123" s="6"/>
    </row>
    <row r="124" spans="1:3" x14ac:dyDescent="0.2">
      <c r="A124" s="6">
        <v>272</v>
      </c>
      <c r="B124" s="6" t="s">
        <v>56</v>
      </c>
      <c r="C124" s="6"/>
    </row>
    <row r="125" spans="1:3" x14ac:dyDescent="0.2">
      <c r="A125" s="6">
        <v>273</v>
      </c>
      <c r="B125" s="6" t="s">
        <v>56</v>
      </c>
      <c r="C125" s="6"/>
    </row>
    <row r="126" spans="1:3" x14ac:dyDescent="0.2">
      <c r="A126" s="6">
        <v>280</v>
      </c>
      <c r="B126" s="6" t="s">
        <v>56</v>
      </c>
      <c r="C126" s="6"/>
    </row>
    <row r="127" spans="1:3" x14ac:dyDescent="0.2">
      <c r="A127" s="6">
        <v>282</v>
      </c>
      <c r="B127" s="6" t="s">
        <v>56</v>
      </c>
      <c r="C127" s="6"/>
    </row>
    <row r="128" spans="1:3" x14ac:dyDescent="0.2">
      <c r="A128" s="6">
        <v>286</v>
      </c>
      <c r="B128" s="6" t="s">
        <v>56</v>
      </c>
      <c r="C128" s="6"/>
    </row>
    <row r="129" spans="1:3" x14ac:dyDescent="0.2">
      <c r="A129" s="6">
        <v>287</v>
      </c>
      <c r="B129" s="6" t="s">
        <v>56</v>
      </c>
      <c r="C129" s="6"/>
    </row>
    <row r="130" spans="1:3" x14ac:dyDescent="0.2">
      <c r="A130" s="6">
        <v>288</v>
      </c>
      <c r="B130" s="6" t="s">
        <v>47</v>
      </c>
      <c r="C130" s="6" t="s">
        <v>1219</v>
      </c>
    </row>
    <row r="131" spans="1:3" x14ac:dyDescent="0.2">
      <c r="A131" s="6">
        <v>289</v>
      </c>
      <c r="B131" s="6" t="s">
        <v>56</v>
      </c>
      <c r="C131" s="6"/>
    </row>
    <row r="132" spans="1:3" x14ac:dyDescent="0.2">
      <c r="A132" s="6">
        <v>290</v>
      </c>
      <c r="B132" s="6" t="s">
        <v>56</v>
      </c>
      <c r="C132" s="6"/>
    </row>
    <row r="133" spans="1:3" x14ac:dyDescent="0.2">
      <c r="A133" s="6">
        <v>291</v>
      </c>
      <c r="B133" s="6" t="s">
        <v>56</v>
      </c>
      <c r="C133" s="6"/>
    </row>
    <row r="134" spans="1:3" x14ac:dyDescent="0.2">
      <c r="A134" s="6">
        <v>293</v>
      </c>
      <c r="B134" s="6" t="s">
        <v>56</v>
      </c>
      <c r="C134" s="6"/>
    </row>
    <row r="135" spans="1:3" x14ac:dyDescent="0.2">
      <c r="A135" s="6">
        <v>294</v>
      </c>
      <c r="B135" s="6" t="s">
        <v>56</v>
      </c>
      <c r="C135" s="6"/>
    </row>
    <row r="136" spans="1:3" x14ac:dyDescent="0.2">
      <c r="A136" s="6">
        <v>295</v>
      </c>
      <c r="B136" s="6" t="s">
        <v>56</v>
      </c>
      <c r="C136" s="6"/>
    </row>
    <row r="137" spans="1:3" x14ac:dyDescent="0.2">
      <c r="A137" s="6">
        <v>297</v>
      </c>
      <c r="B137" s="6" t="s">
        <v>56</v>
      </c>
      <c r="C137" s="6"/>
    </row>
    <row r="138" spans="1:3" x14ac:dyDescent="0.2">
      <c r="A138" s="6">
        <v>298</v>
      </c>
      <c r="B138" s="6" t="s">
        <v>56</v>
      </c>
      <c r="C138" s="6"/>
    </row>
    <row r="139" spans="1:3" x14ac:dyDescent="0.2">
      <c r="A139" s="6">
        <v>300</v>
      </c>
      <c r="B139" s="6" t="s">
        <v>56</v>
      </c>
      <c r="C139" s="6"/>
    </row>
    <row r="140" spans="1:3" x14ac:dyDescent="0.2">
      <c r="A140" s="6">
        <v>301</v>
      </c>
      <c r="B140" s="6" t="s">
        <v>56</v>
      </c>
      <c r="C140" s="6"/>
    </row>
    <row r="141" spans="1:3" x14ac:dyDescent="0.2">
      <c r="A141" s="6">
        <v>302</v>
      </c>
      <c r="B141" s="6" t="s">
        <v>56</v>
      </c>
      <c r="C141" s="6"/>
    </row>
    <row r="142" spans="1:3" x14ac:dyDescent="0.2">
      <c r="A142" s="6">
        <v>303</v>
      </c>
      <c r="B142" s="6" t="s">
        <v>56</v>
      </c>
      <c r="C142" s="6"/>
    </row>
    <row r="143" spans="1:3" x14ac:dyDescent="0.2">
      <c r="A143" s="6">
        <v>304</v>
      </c>
      <c r="B143" s="6" t="s">
        <v>56</v>
      </c>
      <c r="C143" s="6"/>
    </row>
    <row r="144" spans="1:3" x14ac:dyDescent="0.2">
      <c r="A144" s="6">
        <v>305</v>
      </c>
      <c r="B144" s="6" t="s">
        <v>56</v>
      </c>
      <c r="C144" s="6"/>
    </row>
    <row r="145" spans="1:3" x14ac:dyDescent="0.2">
      <c r="A145" s="6">
        <v>307</v>
      </c>
      <c r="B145" s="6" t="s">
        <v>56</v>
      </c>
      <c r="C145" s="6"/>
    </row>
    <row r="146" spans="1:3" x14ac:dyDescent="0.2">
      <c r="A146" s="6">
        <v>308</v>
      </c>
      <c r="B146" s="6" t="s">
        <v>56</v>
      </c>
      <c r="C146" s="6"/>
    </row>
    <row r="147" spans="1:3" x14ac:dyDescent="0.2">
      <c r="A147" s="8">
        <v>310</v>
      </c>
      <c r="B147" s="8" t="s">
        <v>56</v>
      </c>
      <c r="C147" s="8"/>
    </row>
    <row r="148" spans="1:3" x14ac:dyDescent="0.2">
      <c r="A148" s="8">
        <v>312</v>
      </c>
      <c r="B148" s="8" t="s">
        <v>56</v>
      </c>
      <c r="C148" s="8"/>
    </row>
    <row r="149" spans="1:3" x14ac:dyDescent="0.2">
      <c r="A149" s="8">
        <v>314</v>
      </c>
      <c r="B149" s="8" t="s">
        <v>56</v>
      </c>
      <c r="C149" s="8"/>
    </row>
    <row r="150" spans="1:3" x14ac:dyDescent="0.2">
      <c r="A150" s="8">
        <v>315</v>
      </c>
      <c r="B150" s="8" t="s">
        <v>56</v>
      </c>
      <c r="C150" s="8"/>
    </row>
    <row r="151" spans="1:3" x14ac:dyDescent="0.2">
      <c r="A151" s="8">
        <v>316</v>
      </c>
      <c r="B151" s="8" t="s">
        <v>56</v>
      </c>
      <c r="C151" s="8"/>
    </row>
    <row r="152" spans="1:3" x14ac:dyDescent="0.2">
      <c r="A152" s="8">
        <v>317</v>
      </c>
      <c r="B152" s="8" t="s">
        <v>56</v>
      </c>
      <c r="C152" s="8"/>
    </row>
    <row r="153" spans="1:3" x14ac:dyDescent="0.2">
      <c r="A153" s="8">
        <v>319</v>
      </c>
      <c r="B153" s="8" t="s">
        <v>56</v>
      </c>
      <c r="C153" s="8"/>
    </row>
    <row r="154" spans="1:3" x14ac:dyDescent="0.2">
      <c r="A154" s="8">
        <v>323</v>
      </c>
      <c r="B154" s="8" t="s">
        <v>56</v>
      </c>
      <c r="C154" s="8"/>
    </row>
    <row r="155" spans="1:3" x14ac:dyDescent="0.2">
      <c r="A155" s="8">
        <v>324</v>
      </c>
      <c r="B155" s="8" t="s">
        <v>56</v>
      </c>
      <c r="C155" s="8"/>
    </row>
    <row r="156" spans="1:3" x14ac:dyDescent="0.2">
      <c r="A156" s="8">
        <v>325</v>
      </c>
      <c r="B156" s="8" t="s">
        <v>56</v>
      </c>
      <c r="C156" s="8"/>
    </row>
    <row r="157" spans="1:3" x14ac:dyDescent="0.2">
      <c r="A157" s="8">
        <v>327</v>
      </c>
      <c r="B157" s="8" t="s">
        <v>56</v>
      </c>
      <c r="C157" s="8"/>
    </row>
    <row r="158" spans="1:3" x14ac:dyDescent="0.2">
      <c r="A158" s="8">
        <v>328</v>
      </c>
      <c r="B158" s="8" t="s">
        <v>56</v>
      </c>
      <c r="C158" s="8"/>
    </row>
    <row r="159" spans="1:3" x14ac:dyDescent="0.2">
      <c r="A159" s="8">
        <v>329</v>
      </c>
      <c r="B159" s="8" t="s">
        <v>56</v>
      </c>
      <c r="C159" s="8"/>
    </row>
    <row r="160" spans="1:3" x14ac:dyDescent="0.2">
      <c r="A160" s="8">
        <v>331</v>
      </c>
      <c r="B160" s="1" t="s">
        <v>56</v>
      </c>
    </row>
    <row r="161" spans="1:2" x14ac:dyDescent="0.2">
      <c r="A161" s="8">
        <v>332</v>
      </c>
      <c r="B161" s="1" t="s">
        <v>56</v>
      </c>
    </row>
    <row r="162" spans="1:2" x14ac:dyDescent="0.2">
      <c r="A162" s="8">
        <v>334</v>
      </c>
      <c r="B162" s="1" t="s">
        <v>56</v>
      </c>
    </row>
    <row r="163" spans="1:2" x14ac:dyDescent="0.2">
      <c r="A163" s="8">
        <v>336</v>
      </c>
      <c r="B163" s="1" t="s">
        <v>56</v>
      </c>
    </row>
    <row r="164" spans="1:2" x14ac:dyDescent="0.2">
      <c r="A164" s="8">
        <v>337</v>
      </c>
      <c r="B164" s="1" t="s">
        <v>56</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4"/>
  <sheetViews>
    <sheetView workbookViewId="0">
      <selection activeCell="A2" sqref="A2:A164"/>
    </sheetView>
  </sheetViews>
  <sheetFormatPr baseColWidth="10" defaultColWidth="8.83203125" defaultRowHeight="15" x14ac:dyDescent="0.2"/>
  <cols>
    <col min="1" max="1" width="12.83203125" customWidth="1"/>
    <col min="4" max="4" width="10" bestFit="1" customWidth="1"/>
  </cols>
  <sheetData>
    <row r="1" spans="1:6" x14ac:dyDescent="0.2">
      <c r="A1" s="6" t="s">
        <v>0</v>
      </c>
      <c r="B1" s="6" t="s">
        <v>1</v>
      </c>
    </row>
    <row r="2" spans="1:6" x14ac:dyDescent="0.2">
      <c r="A2" s="6">
        <v>2</v>
      </c>
      <c r="B2" s="6" t="s">
        <v>45</v>
      </c>
      <c r="D2" s="27" t="s">
        <v>1373</v>
      </c>
      <c r="E2" s="23">
        <f>COUNTA(A2:A200)</f>
        <v>163</v>
      </c>
      <c r="F2" s="31" t="s">
        <v>1375</v>
      </c>
    </row>
    <row r="3" spans="1:6" x14ac:dyDescent="0.2">
      <c r="A3" s="6">
        <v>5</v>
      </c>
      <c r="B3" s="6" t="s">
        <v>60</v>
      </c>
      <c r="D3" s="11" t="s">
        <v>45</v>
      </c>
      <c r="E3" s="16">
        <f>COUNTIF(B2:B164,"Female")</f>
        <v>94</v>
      </c>
      <c r="F3" s="29">
        <f>E3/E2*100</f>
        <v>57.668711656441715</v>
      </c>
    </row>
    <row r="4" spans="1:6" x14ac:dyDescent="0.2">
      <c r="A4" s="6">
        <v>6</v>
      </c>
      <c r="B4" s="6" t="s">
        <v>56</v>
      </c>
      <c r="D4" s="11" t="s">
        <v>60</v>
      </c>
      <c r="E4" s="16">
        <f>COUNTIF(B2:B164,"Male")</f>
        <v>63</v>
      </c>
      <c r="F4" s="29">
        <f>E4/E2*100</f>
        <v>38.650306748466257</v>
      </c>
    </row>
    <row r="5" spans="1:6" x14ac:dyDescent="0.2">
      <c r="A5" s="6">
        <v>11</v>
      </c>
      <c r="B5" s="6" t="s">
        <v>45</v>
      </c>
      <c r="D5" s="10" t="s">
        <v>56</v>
      </c>
      <c r="E5" s="25">
        <f>COUNTIF(B2:B164,"N/A")</f>
        <v>6</v>
      </c>
      <c r="F5" s="30">
        <f>E5/E2*100</f>
        <v>3.6809815950920246</v>
      </c>
    </row>
    <row r="6" spans="1:6" x14ac:dyDescent="0.2">
      <c r="A6" s="6">
        <v>18</v>
      </c>
      <c r="B6" s="6" t="s">
        <v>45</v>
      </c>
    </row>
    <row r="7" spans="1:6" x14ac:dyDescent="0.2">
      <c r="A7" s="6">
        <v>21</v>
      </c>
      <c r="B7" s="6" t="s">
        <v>60</v>
      </c>
    </row>
    <row r="8" spans="1:6" x14ac:dyDescent="0.2">
      <c r="A8" s="6">
        <v>22</v>
      </c>
      <c r="B8" s="6" t="s">
        <v>60</v>
      </c>
    </row>
    <row r="9" spans="1:6" x14ac:dyDescent="0.2">
      <c r="A9" s="6">
        <v>26</v>
      </c>
      <c r="B9" s="6" t="s">
        <v>60</v>
      </c>
    </row>
    <row r="10" spans="1:6" x14ac:dyDescent="0.2">
      <c r="A10" s="6">
        <v>30</v>
      </c>
      <c r="B10" s="6" t="s">
        <v>45</v>
      </c>
    </row>
    <row r="11" spans="1:6" x14ac:dyDescent="0.2">
      <c r="A11" s="6">
        <v>31</v>
      </c>
      <c r="B11" s="6" t="s">
        <v>60</v>
      </c>
    </row>
    <row r="12" spans="1:6" x14ac:dyDescent="0.2">
      <c r="A12" s="6">
        <v>28</v>
      </c>
      <c r="B12" s="6" t="s">
        <v>60</v>
      </c>
    </row>
    <row r="13" spans="1:6" x14ac:dyDescent="0.2">
      <c r="A13" s="6">
        <v>32</v>
      </c>
      <c r="B13" s="6" t="s">
        <v>60</v>
      </c>
    </row>
    <row r="14" spans="1:6" x14ac:dyDescent="0.2">
      <c r="A14" s="6">
        <v>34</v>
      </c>
      <c r="B14" s="6" t="s">
        <v>45</v>
      </c>
    </row>
    <row r="15" spans="1:6" x14ac:dyDescent="0.2">
      <c r="A15" s="6">
        <v>35</v>
      </c>
      <c r="B15" s="6" t="s">
        <v>60</v>
      </c>
    </row>
    <row r="16" spans="1:6" x14ac:dyDescent="0.2">
      <c r="A16" s="6">
        <v>36</v>
      </c>
      <c r="B16" s="6" t="s">
        <v>45</v>
      </c>
    </row>
    <row r="17" spans="1:2" x14ac:dyDescent="0.2">
      <c r="A17" s="6">
        <v>38</v>
      </c>
      <c r="B17" s="6" t="s">
        <v>45</v>
      </c>
    </row>
    <row r="18" spans="1:2" x14ac:dyDescent="0.2">
      <c r="A18" s="6">
        <v>40</v>
      </c>
      <c r="B18" s="6" t="s">
        <v>45</v>
      </c>
    </row>
    <row r="19" spans="1:2" x14ac:dyDescent="0.2">
      <c r="A19" s="6">
        <v>41</v>
      </c>
      <c r="B19" s="6" t="s">
        <v>45</v>
      </c>
    </row>
    <row r="20" spans="1:2" x14ac:dyDescent="0.2">
      <c r="A20" s="6">
        <v>42</v>
      </c>
      <c r="B20" s="6" t="s">
        <v>60</v>
      </c>
    </row>
    <row r="21" spans="1:2" x14ac:dyDescent="0.2">
      <c r="A21" s="6">
        <v>44</v>
      </c>
      <c r="B21" s="6" t="s">
        <v>45</v>
      </c>
    </row>
    <row r="22" spans="1:2" x14ac:dyDescent="0.2">
      <c r="A22" s="6">
        <v>46</v>
      </c>
      <c r="B22" s="6" t="s">
        <v>45</v>
      </c>
    </row>
    <row r="23" spans="1:2" x14ac:dyDescent="0.2">
      <c r="A23" s="6">
        <v>47</v>
      </c>
      <c r="B23" s="6" t="s">
        <v>60</v>
      </c>
    </row>
    <row r="24" spans="1:2" x14ac:dyDescent="0.2">
      <c r="A24" s="6">
        <v>49</v>
      </c>
      <c r="B24" s="6" t="s">
        <v>45</v>
      </c>
    </row>
    <row r="25" spans="1:2" x14ac:dyDescent="0.2">
      <c r="A25" s="6">
        <v>50</v>
      </c>
      <c r="B25" s="6" t="s">
        <v>60</v>
      </c>
    </row>
    <row r="26" spans="1:2" x14ac:dyDescent="0.2">
      <c r="A26" s="6">
        <v>51</v>
      </c>
      <c r="B26" s="6" t="s">
        <v>45</v>
      </c>
    </row>
    <row r="27" spans="1:2" x14ac:dyDescent="0.2">
      <c r="A27" s="6">
        <v>53</v>
      </c>
      <c r="B27" s="6" t="s">
        <v>45</v>
      </c>
    </row>
    <row r="28" spans="1:2" x14ac:dyDescent="0.2">
      <c r="A28" s="6">
        <v>55</v>
      </c>
      <c r="B28" s="6" t="s">
        <v>45</v>
      </c>
    </row>
    <row r="29" spans="1:2" x14ac:dyDescent="0.2">
      <c r="A29" s="6">
        <v>60</v>
      </c>
      <c r="B29" s="6" t="s">
        <v>60</v>
      </c>
    </row>
    <row r="30" spans="1:2" x14ac:dyDescent="0.2">
      <c r="A30" s="6">
        <v>61</v>
      </c>
      <c r="B30" s="6" t="s">
        <v>45</v>
      </c>
    </row>
    <row r="31" spans="1:2" x14ac:dyDescent="0.2">
      <c r="A31" s="6">
        <v>62</v>
      </c>
      <c r="B31" s="6" t="s">
        <v>45</v>
      </c>
    </row>
    <row r="32" spans="1:2" x14ac:dyDescent="0.2">
      <c r="A32" s="6">
        <v>65</v>
      </c>
      <c r="B32" s="6" t="s">
        <v>60</v>
      </c>
    </row>
    <row r="33" spans="1:2" x14ac:dyDescent="0.2">
      <c r="A33" s="6">
        <v>70</v>
      </c>
      <c r="B33" s="6" t="s">
        <v>60</v>
      </c>
    </row>
    <row r="34" spans="1:2" x14ac:dyDescent="0.2">
      <c r="A34" s="6">
        <v>71</v>
      </c>
      <c r="B34" s="6" t="s">
        <v>45</v>
      </c>
    </row>
    <row r="35" spans="1:2" x14ac:dyDescent="0.2">
      <c r="A35" s="6">
        <v>72</v>
      </c>
      <c r="B35" s="6" t="s">
        <v>60</v>
      </c>
    </row>
    <row r="36" spans="1:2" x14ac:dyDescent="0.2">
      <c r="A36" s="6">
        <v>74</v>
      </c>
      <c r="B36" s="6" t="s">
        <v>45</v>
      </c>
    </row>
    <row r="37" spans="1:2" x14ac:dyDescent="0.2">
      <c r="A37" s="6">
        <v>75</v>
      </c>
      <c r="B37" s="6" t="s">
        <v>60</v>
      </c>
    </row>
    <row r="38" spans="1:2" x14ac:dyDescent="0.2">
      <c r="A38" s="6">
        <v>76</v>
      </c>
      <c r="B38" s="6" t="s">
        <v>60</v>
      </c>
    </row>
    <row r="39" spans="1:2" x14ac:dyDescent="0.2">
      <c r="A39" s="6">
        <v>78</v>
      </c>
      <c r="B39" s="6" t="s">
        <v>45</v>
      </c>
    </row>
    <row r="40" spans="1:2" x14ac:dyDescent="0.2">
      <c r="A40" s="6">
        <v>79</v>
      </c>
      <c r="B40" s="6" t="s">
        <v>60</v>
      </c>
    </row>
    <row r="41" spans="1:2" x14ac:dyDescent="0.2">
      <c r="A41" s="6">
        <v>80</v>
      </c>
      <c r="B41" s="6" t="s">
        <v>45</v>
      </c>
    </row>
    <row r="42" spans="1:2" x14ac:dyDescent="0.2">
      <c r="A42" s="6">
        <v>87</v>
      </c>
      <c r="B42" s="6" t="s">
        <v>45</v>
      </c>
    </row>
    <row r="43" spans="1:2" x14ac:dyDescent="0.2">
      <c r="A43" s="6">
        <v>89</v>
      </c>
      <c r="B43" s="6" t="s">
        <v>45</v>
      </c>
    </row>
    <row r="44" spans="1:2" x14ac:dyDescent="0.2">
      <c r="A44" s="6">
        <v>90</v>
      </c>
      <c r="B44" s="6" t="s">
        <v>56</v>
      </c>
    </row>
    <row r="45" spans="1:2" x14ac:dyDescent="0.2">
      <c r="A45" s="6">
        <v>91</v>
      </c>
      <c r="B45" s="6" t="s">
        <v>45</v>
      </c>
    </row>
    <row r="46" spans="1:2" x14ac:dyDescent="0.2">
      <c r="A46" s="6">
        <v>92</v>
      </c>
      <c r="B46" s="6" t="s">
        <v>45</v>
      </c>
    </row>
    <row r="47" spans="1:2" x14ac:dyDescent="0.2">
      <c r="A47" s="6">
        <v>93</v>
      </c>
      <c r="B47" s="6" t="s">
        <v>60</v>
      </c>
    </row>
    <row r="48" spans="1:2" x14ac:dyDescent="0.2">
      <c r="A48" s="6">
        <v>95</v>
      </c>
      <c r="B48" s="6" t="s">
        <v>60</v>
      </c>
    </row>
    <row r="49" spans="1:2" x14ac:dyDescent="0.2">
      <c r="A49" s="6">
        <v>96</v>
      </c>
      <c r="B49" s="6" t="s">
        <v>60</v>
      </c>
    </row>
    <row r="50" spans="1:2" x14ac:dyDescent="0.2">
      <c r="A50" s="6">
        <v>100</v>
      </c>
      <c r="B50" s="6" t="s">
        <v>60</v>
      </c>
    </row>
    <row r="51" spans="1:2" x14ac:dyDescent="0.2">
      <c r="A51" s="6">
        <v>104</v>
      </c>
      <c r="B51" s="6" t="s">
        <v>60</v>
      </c>
    </row>
    <row r="52" spans="1:2" x14ac:dyDescent="0.2">
      <c r="A52" s="6">
        <v>107</v>
      </c>
      <c r="B52" s="6" t="s">
        <v>45</v>
      </c>
    </row>
    <row r="53" spans="1:2" x14ac:dyDescent="0.2">
      <c r="A53" s="6">
        <v>109</v>
      </c>
      <c r="B53" s="6" t="s">
        <v>45</v>
      </c>
    </row>
    <row r="54" spans="1:2" x14ac:dyDescent="0.2">
      <c r="A54" s="6">
        <v>110</v>
      </c>
      <c r="B54" s="6" t="s">
        <v>60</v>
      </c>
    </row>
    <row r="55" spans="1:2" x14ac:dyDescent="0.2">
      <c r="A55" s="6">
        <v>112</v>
      </c>
      <c r="B55" s="6" t="s">
        <v>45</v>
      </c>
    </row>
    <row r="56" spans="1:2" x14ac:dyDescent="0.2">
      <c r="A56" s="6">
        <v>118</v>
      </c>
      <c r="B56" s="6" t="s">
        <v>45</v>
      </c>
    </row>
    <row r="57" spans="1:2" x14ac:dyDescent="0.2">
      <c r="A57" s="6">
        <v>119</v>
      </c>
      <c r="B57" s="6" t="s">
        <v>60</v>
      </c>
    </row>
    <row r="58" spans="1:2" x14ac:dyDescent="0.2">
      <c r="A58" s="6">
        <v>120</v>
      </c>
      <c r="B58" s="6" t="s">
        <v>45</v>
      </c>
    </row>
    <row r="59" spans="1:2" x14ac:dyDescent="0.2">
      <c r="A59" s="6">
        <v>121</v>
      </c>
      <c r="B59" s="6" t="s">
        <v>60</v>
      </c>
    </row>
    <row r="60" spans="1:2" x14ac:dyDescent="0.2">
      <c r="A60" s="6">
        <v>122</v>
      </c>
      <c r="B60" s="6" t="s">
        <v>45</v>
      </c>
    </row>
    <row r="61" spans="1:2" x14ac:dyDescent="0.2">
      <c r="A61" s="6">
        <v>127</v>
      </c>
      <c r="B61" s="6" t="s">
        <v>45</v>
      </c>
    </row>
    <row r="62" spans="1:2" x14ac:dyDescent="0.2">
      <c r="A62" s="6">
        <v>128</v>
      </c>
      <c r="B62" s="6" t="s">
        <v>45</v>
      </c>
    </row>
    <row r="63" spans="1:2" x14ac:dyDescent="0.2">
      <c r="A63" s="6">
        <v>132</v>
      </c>
      <c r="B63" s="6" t="s">
        <v>60</v>
      </c>
    </row>
    <row r="64" spans="1:2" x14ac:dyDescent="0.2">
      <c r="A64" s="6">
        <v>135</v>
      </c>
      <c r="B64" s="6" t="s">
        <v>60</v>
      </c>
    </row>
    <row r="65" spans="1:2" x14ac:dyDescent="0.2">
      <c r="A65" s="6">
        <v>136</v>
      </c>
      <c r="B65" s="6" t="s">
        <v>45</v>
      </c>
    </row>
    <row r="66" spans="1:2" x14ac:dyDescent="0.2">
      <c r="A66" s="6">
        <v>138</v>
      </c>
      <c r="B66" s="6" t="s">
        <v>60</v>
      </c>
    </row>
    <row r="67" spans="1:2" x14ac:dyDescent="0.2">
      <c r="A67" s="6">
        <v>139</v>
      </c>
      <c r="B67" s="6" t="s">
        <v>60</v>
      </c>
    </row>
    <row r="68" spans="1:2" x14ac:dyDescent="0.2">
      <c r="A68" s="6">
        <v>140</v>
      </c>
      <c r="B68" s="6" t="s">
        <v>45</v>
      </c>
    </row>
    <row r="69" spans="1:2" x14ac:dyDescent="0.2">
      <c r="A69" s="6">
        <v>148</v>
      </c>
      <c r="B69" s="6" t="s">
        <v>60</v>
      </c>
    </row>
    <row r="70" spans="1:2" x14ac:dyDescent="0.2">
      <c r="A70" s="6">
        <v>149</v>
      </c>
      <c r="B70" s="6" t="s">
        <v>45</v>
      </c>
    </row>
    <row r="71" spans="1:2" x14ac:dyDescent="0.2">
      <c r="A71" s="6">
        <v>150</v>
      </c>
      <c r="B71" s="6" t="s">
        <v>45</v>
      </c>
    </row>
    <row r="72" spans="1:2" x14ac:dyDescent="0.2">
      <c r="A72" s="6">
        <v>151</v>
      </c>
      <c r="B72" s="6" t="s">
        <v>45</v>
      </c>
    </row>
    <row r="73" spans="1:2" x14ac:dyDescent="0.2">
      <c r="A73" s="6">
        <v>152</v>
      </c>
      <c r="B73" s="6" t="s">
        <v>60</v>
      </c>
    </row>
    <row r="74" spans="1:2" x14ac:dyDescent="0.2">
      <c r="A74" s="6">
        <v>153</v>
      </c>
      <c r="B74" s="6" t="s">
        <v>45</v>
      </c>
    </row>
    <row r="75" spans="1:2" x14ac:dyDescent="0.2">
      <c r="A75" s="6">
        <v>157</v>
      </c>
      <c r="B75" s="6" t="s">
        <v>45</v>
      </c>
    </row>
    <row r="76" spans="1:2" x14ac:dyDescent="0.2">
      <c r="A76" s="6">
        <v>156</v>
      </c>
      <c r="B76" s="6" t="s">
        <v>60</v>
      </c>
    </row>
    <row r="77" spans="1:2" x14ac:dyDescent="0.2">
      <c r="A77" s="6">
        <v>162</v>
      </c>
      <c r="B77" s="6" t="s">
        <v>45</v>
      </c>
    </row>
    <row r="78" spans="1:2" x14ac:dyDescent="0.2">
      <c r="A78" s="6">
        <v>164</v>
      </c>
      <c r="B78" s="6" t="s">
        <v>45</v>
      </c>
    </row>
    <row r="79" spans="1:2" x14ac:dyDescent="0.2">
      <c r="A79" s="6">
        <v>166</v>
      </c>
      <c r="B79" s="6" t="s">
        <v>45</v>
      </c>
    </row>
    <row r="80" spans="1:2" x14ac:dyDescent="0.2">
      <c r="A80" s="6">
        <v>170</v>
      </c>
      <c r="B80" s="6" t="s">
        <v>45</v>
      </c>
    </row>
    <row r="81" spans="1:2" x14ac:dyDescent="0.2">
      <c r="A81" s="6">
        <v>173</v>
      </c>
      <c r="B81" s="6" t="s">
        <v>60</v>
      </c>
    </row>
    <row r="82" spans="1:2" x14ac:dyDescent="0.2">
      <c r="A82" s="6">
        <v>175</v>
      </c>
      <c r="B82" s="6" t="s">
        <v>45</v>
      </c>
    </row>
    <row r="83" spans="1:2" x14ac:dyDescent="0.2">
      <c r="A83" s="6">
        <v>178</v>
      </c>
      <c r="B83" s="6" t="s">
        <v>56</v>
      </c>
    </row>
    <row r="84" spans="1:2" x14ac:dyDescent="0.2">
      <c r="A84" s="6">
        <v>183</v>
      </c>
      <c r="B84" s="6" t="s">
        <v>45</v>
      </c>
    </row>
    <row r="85" spans="1:2" x14ac:dyDescent="0.2">
      <c r="A85" s="6">
        <v>185</v>
      </c>
      <c r="B85" s="6" t="s">
        <v>60</v>
      </c>
    </row>
    <row r="86" spans="1:2" x14ac:dyDescent="0.2">
      <c r="A86" s="6">
        <v>186</v>
      </c>
      <c r="B86" s="6" t="s">
        <v>45</v>
      </c>
    </row>
    <row r="87" spans="1:2" x14ac:dyDescent="0.2">
      <c r="A87" s="6">
        <v>189</v>
      </c>
      <c r="B87" s="6" t="s">
        <v>45</v>
      </c>
    </row>
    <row r="88" spans="1:2" x14ac:dyDescent="0.2">
      <c r="A88" s="6">
        <v>190</v>
      </c>
      <c r="B88" s="6" t="s">
        <v>45</v>
      </c>
    </row>
    <row r="89" spans="1:2" x14ac:dyDescent="0.2">
      <c r="A89" s="6">
        <v>192</v>
      </c>
      <c r="B89" s="6" t="s">
        <v>60</v>
      </c>
    </row>
    <row r="90" spans="1:2" x14ac:dyDescent="0.2">
      <c r="A90" s="6">
        <v>193</v>
      </c>
      <c r="B90" s="6" t="s">
        <v>45</v>
      </c>
    </row>
    <row r="91" spans="1:2" x14ac:dyDescent="0.2">
      <c r="A91" s="6">
        <v>196</v>
      </c>
      <c r="B91" s="6" t="s">
        <v>60</v>
      </c>
    </row>
    <row r="92" spans="1:2" x14ac:dyDescent="0.2">
      <c r="A92" s="6">
        <v>197</v>
      </c>
      <c r="B92" s="6" t="s">
        <v>60</v>
      </c>
    </row>
    <row r="93" spans="1:2" x14ac:dyDescent="0.2">
      <c r="A93" s="6">
        <v>200</v>
      </c>
      <c r="B93" s="6" t="s">
        <v>45</v>
      </c>
    </row>
    <row r="94" spans="1:2" x14ac:dyDescent="0.2">
      <c r="A94" s="6">
        <v>203</v>
      </c>
      <c r="B94" s="6" t="s">
        <v>45</v>
      </c>
    </row>
    <row r="95" spans="1:2" x14ac:dyDescent="0.2">
      <c r="A95" s="6">
        <v>204</v>
      </c>
      <c r="B95" s="6" t="s">
        <v>45</v>
      </c>
    </row>
    <row r="96" spans="1:2" x14ac:dyDescent="0.2">
      <c r="A96" s="6">
        <v>207</v>
      </c>
      <c r="B96" s="6" t="s">
        <v>45</v>
      </c>
    </row>
    <row r="97" spans="1:2" x14ac:dyDescent="0.2">
      <c r="A97" s="6">
        <v>208</v>
      </c>
      <c r="B97" s="6" t="s">
        <v>45</v>
      </c>
    </row>
    <row r="98" spans="1:2" x14ac:dyDescent="0.2">
      <c r="A98" s="6">
        <v>210</v>
      </c>
      <c r="B98" s="6" t="s">
        <v>45</v>
      </c>
    </row>
    <row r="99" spans="1:2" x14ac:dyDescent="0.2">
      <c r="A99" s="6">
        <v>212</v>
      </c>
      <c r="B99" s="6" t="s">
        <v>60</v>
      </c>
    </row>
    <row r="100" spans="1:2" x14ac:dyDescent="0.2">
      <c r="A100" s="6">
        <v>215</v>
      </c>
      <c r="B100" s="6" t="s">
        <v>45</v>
      </c>
    </row>
    <row r="101" spans="1:2" x14ac:dyDescent="0.2">
      <c r="A101" s="6">
        <v>217</v>
      </c>
      <c r="B101" s="6" t="s">
        <v>60</v>
      </c>
    </row>
    <row r="102" spans="1:2" x14ac:dyDescent="0.2">
      <c r="A102" s="6">
        <v>219</v>
      </c>
      <c r="B102" s="6" t="s">
        <v>60</v>
      </c>
    </row>
    <row r="103" spans="1:2" x14ac:dyDescent="0.2">
      <c r="A103" s="6">
        <v>221</v>
      </c>
      <c r="B103" s="6" t="s">
        <v>45</v>
      </c>
    </row>
    <row r="104" spans="1:2" x14ac:dyDescent="0.2">
      <c r="A104" s="6">
        <v>222</v>
      </c>
      <c r="B104" s="6" t="s">
        <v>45</v>
      </c>
    </row>
    <row r="105" spans="1:2" x14ac:dyDescent="0.2">
      <c r="A105" s="6">
        <v>223</v>
      </c>
      <c r="B105" s="6" t="s">
        <v>60</v>
      </c>
    </row>
    <row r="106" spans="1:2" x14ac:dyDescent="0.2">
      <c r="A106" s="6">
        <v>226</v>
      </c>
      <c r="B106" s="6" t="s">
        <v>60</v>
      </c>
    </row>
    <row r="107" spans="1:2" x14ac:dyDescent="0.2">
      <c r="A107" s="6">
        <v>231</v>
      </c>
      <c r="B107" s="6" t="s">
        <v>45</v>
      </c>
    </row>
    <row r="108" spans="1:2" x14ac:dyDescent="0.2">
      <c r="A108" s="6">
        <v>232</v>
      </c>
      <c r="B108" s="6" t="s">
        <v>45</v>
      </c>
    </row>
    <row r="109" spans="1:2" x14ac:dyDescent="0.2">
      <c r="A109" s="6">
        <v>233</v>
      </c>
      <c r="B109" s="6" t="s">
        <v>60</v>
      </c>
    </row>
    <row r="110" spans="1:2" x14ac:dyDescent="0.2">
      <c r="A110" s="6">
        <v>236</v>
      </c>
      <c r="B110" s="6" t="s">
        <v>60</v>
      </c>
    </row>
    <row r="111" spans="1:2" x14ac:dyDescent="0.2">
      <c r="A111" s="6">
        <v>238</v>
      </c>
      <c r="B111" s="6" t="s">
        <v>60</v>
      </c>
    </row>
    <row r="112" spans="1:2" x14ac:dyDescent="0.2">
      <c r="A112" s="6">
        <v>241</v>
      </c>
      <c r="B112" s="6" t="s">
        <v>45</v>
      </c>
    </row>
    <row r="113" spans="1:2" x14ac:dyDescent="0.2">
      <c r="A113" s="6">
        <v>242</v>
      </c>
      <c r="B113" s="6" t="s">
        <v>60</v>
      </c>
    </row>
    <row r="114" spans="1:2" x14ac:dyDescent="0.2">
      <c r="A114" s="6">
        <v>245</v>
      </c>
      <c r="B114" s="6" t="s">
        <v>45</v>
      </c>
    </row>
    <row r="115" spans="1:2" x14ac:dyDescent="0.2">
      <c r="A115" s="6">
        <v>247</v>
      </c>
      <c r="B115" s="6" t="s">
        <v>60</v>
      </c>
    </row>
    <row r="116" spans="1:2" x14ac:dyDescent="0.2">
      <c r="A116" s="6">
        <v>249</v>
      </c>
      <c r="B116" s="6" t="s">
        <v>56</v>
      </c>
    </row>
    <row r="117" spans="1:2" x14ac:dyDescent="0.2">
      <c r="A117" s="6">
        <v>250</v>
      </c>
      <c r="B117" s="6" t="s">
        <v>60</v>
      </c>
    </row>
    <row r="118" spans="1:2" x14ac:dyDescent="0.2">
      <c r="A118" s="6">
        <v>254</v>
      </c>
      <c r="B118" s="6" t="s">
        <v>45</v>
      </c>
    </row>
    <row r="119" spans="1:2" x14ac:dyDescent="0.2">
      <c r="A119" s="6">
        <v>256</v>
      </c>
      <c r="B119" s="6" t="s">
        <v>45</v>
      </c>
    </row>
    <row r="120" spans="1:2" x14ac:dyDescent="0.2">
      <c r="A120" s="6">
        <v>257</v>
      </c>
      <c r="B120" s="6" t="s">
        <v>60</v>
      </c>
    </row>
    <row r="121" spans="1:2" x14ac:dyDescent="0.2">
      <c r="A121" s="6">
        <v>260</v>
      </c>
      <c r="B121" s="6" t="s">
        <v>45</v>
      </c>
    </row>
    <row r="122" spans="1:2" x14ac:dyDescent="0.2">
      <c r="A122" s="6">
        <v>262</v>
      </c>
      <c r="B122" s="6" t="s">
        <v>45</v>
      </c>
    </row>
    <row r="123" spans="1:2" x14ac:dyDescent="0.2">
      <c r="A123" s="6">
        <v>263</v>
      </c>
      <c r="B123" s="6" t="s">
        <v>60</v>
      </c>
    </row>
    <row r="124" spans="1:2" x14ac:dyDescent="0.2">
      <c r="A124" s="6">
        <v>272</v>
      </c>
      <c r="B124" s="6" t="s">
        <v>60</v>
      </c>
    </row>
    <row r="125" spans="1:2" x14ac:dyDescent="0.2">
      <c r="A125" s="6">
        <v>273</v>
      </c>
      <c r="B125" s="6" t="s">
        <v>45</v>
      </c>
    </row>
    <row r="126" spans="1:2" x14ac:dyDescent="0.2">
      <c r="A126" s="6">
        <v>280</v>
      </c>
      <c r="B126" s="6" t="s">
        <v>60</v>
      </c>
    </row>
    <row r="127" spans="1:2" x14ac:dyDescent="0.2">
      <c r="A127" s="6">
        <v>282</v>
      </c>
      <c r="B127" s="6" t="s">
        <v>45</v>
      </c>
    </row>
    <row r="128" spans="1:2" x14ac:dyDescent="0.2">
      <c r="A128" s="6">
        <v>286</v>
      </c>
      <c r="B128" s="6" t="s">
        <v>60</v>
      </c>
    </row>
    <row r="129" spans="1:2" x14ac:dyDescent="0.2">
      <c r="A129" s="6">
        <v>287</v>
      </c>
      <c r="B129" s="6" t="s">
        <v>60</v>
      </c>
    </row>
    <row r="130" spans="1:2" x14ac:dyDescent="0.2">
      <c r="A130" s="6">
        <v>288</v>
      </c>
      <c r="B130" s="6" t="s">
        <v>45</v>
      </c>
    </row>
    <row r="131" spans="1:2" x14ac:dyDescent="0.2">
      <c r="A131" s="6">
        <v>289</v>
      </c>
      <c r="B131" s="6" t="s">
        <v>45</v>
      </c>
    </row>
    <row r="132" spans="1:2" x14ac:dyDescent="0.2">
      <c r="A132" s="6">
        <v>290</v>
      </c>
      <c r="B132" s="6" t="s">
        <v>45</v>
      </c>
    </row>
    <row r="133" spans="1:2" x14ac:dyDescent="0.2">
      <c r="A133" s="6">
        <v>291</v>
      </c>
      <c r="B133" s="6" t="s">
        <v>45</v>
      </c>
    </row>
    <row r="134" spans="1:2" x14ac:dyDescent="0.2">
      <c r="A134" s="6">
        <v>293</v>
      </c>
      <c r="B134" s="6" t="s">
        <v>45</v>
      </c>
    </row>
    <row r="135" spans="1:2" x14ac:dyDescent="0.2">
      <c r="A135" s="6">
        <v>294</v>
      </c>
      <c r="B135" s="6" t="s">
        <v>45</v>
      </c>
    </row>
    <row r="136" spans="1:2" x14ac:dyDescent="0.2">
      <c r="A136" s="6">
        <v>295</v>
      </c>
      <c r="B136" s="6" t="s">
        <v>45</v>
      </c>
    </row>
    <row r="137" spans="1:2" x14ac:dyDescent="0.2">
      <c r="A137" s="6">
        <v>297</v>
      </c>
      <c r="B137" s="6" t="s">
        <v>60</v>
      </c>
    </row>
    <row r="138" spans="1:2" x14ac:dyDescent="0.2">
      <c r="A138" s="6">
        <v>298</v>
      </c>
      <c r="B138" s="6" t="s">
        <v>45</v>
      </c>
    </row>
    <row r="139" spans="1:2" x14ac:dyDescent="0.2">
      <c r="A139" s="6">
        <v>300</v>
      </c>
      <c r="B139" s="6" t="s">
        <v>45</v>
      </c>
    </row>
    <row r="140" spans="1:2" x14ac:dyDescent="0.2">
      <c r="A140" s="6">
        <v>301</v>
      </c>
      <c r="B140" s="6" t="s">
        <v>45</v>
      </c>
    </row>
    <row r="141" spans="1:2" x14ac:dyDescent="0.2">
      <c r="A141" s="6">
        <v>302</v>
      </c>
      <c r="B141" s="6" t="s">
        <v>45</v>
      </c>
    </row>
    <row r="142" spans="1:2" x14ac:dyDescent="0.2">
      <c r="A142" s="6">
        <v>303</v>
      </c>
      <c r="B142" s="6" t="s">
        <v>60</v>
      </c>
    </row>
    <row r="143" spans="1:2" x14ac:dyDescent="0.2">
      <c r="A143" s="6">
        <v>304</v>
      </c>
      <c r="B143" s="6" t="s">
        <v>60</v>
      </c>
    </row>
    <row r="144" spans="1:2" x14ac:dyDescent="0.2">
      <c r="A144" s="6">
        <v>305</v>
      </c>
      <c r="B144" s="6" t="s">
        <v>45</v>
      </c>
    </row>
    <row r="145" spans="1:2" x14ac:dyDescent="0.2">
      <c r="A145" s="6">
        <v>307</v>
      </c>
      <c r="B145" s="6" t="s">
        <v>45</v>
      </c>
    </row>
    <row r="146" spans="1:2" x14ac:dyDescent="0.2">
      <c r="A146" s="6">
        <v>308</v>
      </c>
      <c r="B146" s="6" t="s">
        <v>45</v>
      </c>
    </row>
    <row r="147" spans="1:2" x14ac:dyDescent="0.2">
      <c r="A147" s="8">
        <v>310</v>
      </c>
      <c r="B147" s="8" t="s">
        <v>45</v>
      </c>
    </row>
    <row r="148" spans="1:2" x14ac:dyDescent="0.2">
      <c r="A148" s="8">
        <v>312</v>
      </c>
      <c r="B148" s="8" t="s">
        <v>45</v>
      </c>
    </row>
    <row r="149" spans="1:2" x14ac:dyDescent="0.2">
      <c r="A149" s="8">
        <v>314</v>
      </c>
      <c r="B149" s="8" t="s">
        <v>60</v>
      </c>
    </row>
    <row r="150" spans="1:2" x14ac:dyDescent="0.2">
      <c r="A150" s="8">
        <v>315</v>
      </c>
      <c r="B150" s="8" t="s">
        <v>60</v>
      </c>
    </row>
    <row r="151" spans="1:2" x14ac:dyDescent="0.2">
      <c r="A151" s="8">
        <v>316</v>
      </c>
      <c r="B151" s="8" t="s">
        <v>56</v>
      </c>
    </row>
    <row r="152" spans="1:2" x14ac:dyDescent="0.2">
      <c r="A152" s="8">
        <v>317</v>
      </c>
      <c r="B152" s="8" t="s">
        <v>45</v>
      </c>
    </row>
    <row r="153" spans="1:2" x14ac:dyDescent="0.2">
      <c r="A153" s="8">
        <v>319</v>
      </c>
      <c r="B153" s="8" t="s">
        <v>60</v>
      </c>
    </row>
    <row r="154" spans="1:2" x14ac:dyDescent="0.2">
      <c r="A154" s="8">
        <v>323</v>
      </c>
      <c r="B154" s="8" t="s">
        <v>45</v>
      </c>
    </row>
    <row r="155" spans="1:2" x14ac:dyDescent="0.2">
      <c r="A155" s="8">
        <v>324</v>
      </c>
      <c r="B155" s="8" t="s">
        <v>45</v>
      </c>
    </row>
    <row r="156" spans="1:2" x14ac:dyDescent="0.2">
      <c r="A156" s="8">
        <v>325</v>
      </c>
      <c r="B156" s="8" t="s">
        <v>45</v>
      </c>
    </row>
    <row r="157" spans="1:2" x14ac:dyDescent="0.2">
      <c r="A157" s="8">
        <v>327</v>
      </c>
      <c r="B157" s="8" t="s">
        <v>45</v>
      </c>
    </row>
    <row r="158" spans="1:2" x14ac:dyDescent="0.2">
      <c r="A158" s="8">
        <v>328</v>
      </c>
      <c r="B158" s="8" t="s">
        <v>45</v>
      </c>
    </row>
    <row r="159" spans="1:2" x14ac:dyDescent="0.2">
      <c r="A159" s="8">
        <v>329</v>
      </c>
      <c r="B159" s="8" t="s">
        <v>60</v>
      </c>
    </row>
    <row r="160" spans="1:2" x14ac:dyDescent="0.2">
      <c r="A160" s="8">
        <v>331</v>
      </c>
      <c r="B160" s="1" t="s">
        <v>45</v>
      </c>
    </row>
    <row r="161" spans="1:2" x14ac:dyDescent="0.2">
      <c r="A161" s="8">
        <v>332</v>
      </c>
      <c r="B161" s="1" t="s">
        <v>45</v>
      </c>
    </row>
    <row r="162" spans="1:2" x14ac:dyDescent="0.2">
      <c r="A162" s="8">
        <v>334</v>
      </c>
      <c r="B162" s="1" t="s">
        <v>60</v>
      </c>
    </row>
    <row r="163" spans="1:2" x14ac:dyDescent="0.2">
      <c r="A163" s="8">
        <v>336</v>
      </c>
      <c r="B163" s="1" t="s">
        <v>56</v>
      </c>
    </row>
    <row r="164" spans="1:2" x14ac:dyDescent="0.2">
      <c r="A164" s="8">
        <v>337</v>
      </c>
      <c r="B164" s="1" t="s">
        <v>45</v>
      </c>
    </row>
  </sheetData>
  <pageMargins left="0.7" right="0.7" top="0.75" bottom="0.75" header="0.3" footer="0.3"/>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E164"/>
  <sheetViews>
    <sheetView workbookViewId="0">
      <selection activeCell="E12" sqref="E12"/>
    </sheetView>
  </sheetViews>
  <sheetFormatPr baseColWidth="10" defaultColWidth="8.83203125" defaultRowHeight="15" customHeight="1" x14ac:dyDescent="0.2"/>
  <cols>
    <col min="1" max="1" width="12" customWidth="1"/>
    <col min="2" max="2" width="68.6640625" customWidth="1"/>
    <col min="3" max="3" width="13.6640625" customWidth="1"/>
    <col min="4" max="4" width="16.6640625" customWidth="1"/>
    <col min="5" max="5" width="95.6640625" style="42" customWidth="1"/>
  </cols>
  <sheetData>
    <row r="1" spans="1:5" ht="15" customHeight="1" x14ac:dyDescent="0.2">
      <c r="A1" s="1" t="s">
        <v>0</v>
      </c>
      <c r="B1" s="1" t="s">
        <v>41</v>
      </c>
      <c r="C1" s="1"/>
      <c r="D1" s="1"/>
    </row>
    <row r="2" spans="1:5" x14ac:dyDescent="0.2">
      <c r="A2" s="1">
        <v>2</v>
      </c>
      <c r="B2" s="1"/>
      <c r="C2" s="1"/>
      <c r="D2" s="102" t="s">
        <v>2145</v>
      </c>
      <c r="E2" s="120">
        <v>10</v>
      </c>
    </row>
    <row r="3" spans="1:5" x14ac:dyDescent="0.2">
      <c r="A3" s="1">
        <v>5</v>
      </c>
      <c r="B3" s="1"/>
      <c r="C3" s="1"/>
      <c r="D3" s="102" t="s">
        <v>2146</v>
      </c>
      <c r="E3" s="121" t="s">
        <v>119</v>
      </c>
    </row>
    <row r="4" spans="1:5" x14ac:dyDescent="0.2">
      <c r="A4" s="1">
        <v>6</v>
      </c>
      <c r="B4" s="1"/>
      <c r="C4" s="1"/>
      <c r="D4" s="118"/>
      <c r="E4" s="121" t="s">
        <v>306</v>
      </c>
    </row>
    <row r="5" spans="1:5" ht="30" x14ac:dyDescent="0.2">
      <c r="A5" s="1">
        <v>11</v>
      </c>
      <c r="B5" s="1"/>
      <c r="C5" s="1"/>
      <c r="D5" s="118"/>
      <c r="E5" s="121" t="s">
        <v>836</v>
      </c>
    </row>
    <row r="6" spans="1:5" ht="30" x14ac:dyDescent="0.2">
      <c r="A6" s="1">
        <v>18</v>
      </c>
      <c r="B6" s="1"/>
      <c r="C6" s="1"/>
      <c r="D6" s="118"/>
      <c r="E6" s="121" t="s">
        <v>871</v>
      </c>
    </row>
    <row r="7" spans="1:5" x14ac:dyDescent="0.2">
      <c r="A7" s="1">
        <v>21</v>
      </c>
      <c r="B7" s="1" t="s">
        <v>103</v>
      </c>
      <c r="C7" s="1"/>
      <c r="D7" s="118"/>
      <c r="E7" s="121" t="s">
        <v>909</v>
      </c>
    </row>
    <row r="8" spans="1:5" x14ac:dyDescent="0.2">
      <c r="A8" s="1">
        <v>22</v>
      </c>
      <c r="B8" s="1"/>
      <c r="C8" s="1"/>
      <c r="D8" s="118"/>
      <c r="E8" s="121" t="s">
        <v>915</v>
      </c>
    </row>
    <row r="9" spans="1:5" ht="45" x14ac:dyDescent="0.2">
      <c r="A9" s="1">
        <v>26</v>
      </c>
      <c r="B9" s="1" t="s">
        <v>119</v>
      </c>
      <c r="C9" s="1"/>
      <c r="D9" s="118"/>
      <c r="E9" s="121" t="s">
        <v>1025</v>
      </c>
    </row>
    <row r="10" spans="1:5" ht="15" customHeight="1" x14ac:dyDescent="0.2">
      <c r="A10" s="1">
        <v>30</v>
      </c>
      <c r="B10" s="1"/>
      <c r="C10" s="1"/>
      <c r="D10" s="118"/>
      <c r="E10" s="121" t="s">
        <v>1104</v>
      </c>
    </row>
    <row r="11" spans="1:5" ht="30" x14ac:dyDescent="0.2">
      <c r="A11" s="1">
        <v>31</v>
      </c>
      <c r="B11" s="1"/>
      <c r="C11" s="1"/>
      <c r="D11" s="118"/>
      <c r="E11" s="121" t="s">
        <v>1112</v>
      </c>
    </row>
    <row r="12" spans="1:5" ht="15" customHeight="1" x14ac:dyDescent="0.2">
      <c r="A12" s="1">
        <v>28</v>
      </c>
      <c r="B12" s="1"/>
      <c r="C12" s="1"/>
      <c r="D12" s="119"/>
      <c r="E12" s="121" t="s">
        <v>1220</v>
      </c>
    </row>
    <row r="13" spans="1:5" ht="15" customHeight="1" x14ac:dyDescent="0.2">
      <c r="A13" s="1">
        <v>32</v>
      </c>
      <c r="B13" s="1"/>
      <c r="C13" s="1"/>
      <c r="D13" s="1"/>
    </row>
    <row r="14" spans="1:5" ht="15" customHeight="1" x14ac:dyDescent="0.2">
      <c r="A14" s="1">
        <v>34</v>
      </c>
      <c r="B14" s="1"/>
      <c r="C14" s="1"/>
      <c r="D14" s="1"/>
    </row>
    <row r="15" spans="1:5" ht="15" customHeight="1" x14ac:dyDescent="0.2">
      <c r="A15" s="1">
        <v>35</v>
      </c>
      <c r="B15" s="1"/>
      <c r="C15" s="1"/>
      <c r="D15" s="1"/>
    </row>
    <row r="16" spans="1:5" ht="15" customHeight="1" x14ac:dyDescent="0.2">
      <c r="A16" s="1">
        <v>36</v>
      </c>
      <c r="B16" s="1"/>
      <c r="C16" s="1"/>
      <c r="D16" s="1"/>
    </row>
    <row r="17" spans="1:4" ht="15" customHeight="1" x14ac:dyDescent="0.2">
      <c r="A17" s="1">
        <v>38</v>
      </c>
      <c r="B17" s="1"/>
      <c r="C17" s="1"/>
      <c r="D17" s="1"/>
    </row>
    <row r="18" spans="1:4" ht="15" customHeight="1" x14ac:dyDescent="0.2">
      <c r="A18" s="1">
        <v>40</v>
      </c>
      <c r="B18" s="1"/>
      <c r="C18" s="1"/>
      <c r="D18" s="1"/>
    </row>
    <row r="19" spans="1:4" ht="15" customHeight="1" x14ac:dyDescent="0.2">
      <c r="A19" s="1">
        <v>41</v>
      </c>
      <c r="B19" s="1"/>
      <c r="C19" s="1"/>
      <c r="D19" s="1"/>
    </row>
    <row r="20" spans="1:4" ht="15" customHeight="1" x14ac:dyDescent="0.2">
      <c r="A20" s="1">
        <v>42</v>
      </c>
      <c r="B20" s="1"/>
      <c r="C20" s="1"/>
      <c r="D20" s="1"/>
    </row>
    <row r="21" spans="1:4" ht="15" customHeight="1" x14ac:dyDescent="0.2">
      <c r="A21" s="1">
        <v>44</v>
      </c>
      <c r="B21" s="1"/>
      <c r="C21" s="1"/>
      <c r="D21" s="1"/>
    </row>
    <row r="22" spans="1:4" ht="15" customHeight="1" x14ac:dyDescent="0.2">
      <c r="A22" s="1">
        <v>46</v>
      </c>
      <c r="B22" s="1"/>
      <c r="C22" s="1"/>
      <c r="D22" s="1"/>
    </row>
    <row r="23" spans="1:4" ht="15" customHeight="1" x14ac:dyDescent="0.2">
      <c r="A23" s="1">
        <v>47</v>
      </c>
      <c r="B23" s="1"/>
      <c r="C23" s="1"/>
      <c r="D23" s="1"/>
    </row>
    <row r="24" spans="1:4" ht="15" customHeight="1" x14ac:dyDescent="0.2">
      <c r="A24" s="1">
        <v>49</v>
      </c>
      <c r="B24" s="1"/>
      <c r="C24" s="1"/>
      <c r="D24" s="1"/>
    </row>
    <row r="25" spans="1:4" ht="15" customHeight="1" x14ac:dyDescent="0.2">
      <c r="A25" s="1">
        <v>50</v>
      </c>
      <c r="B25" s="1"/>
      <c r="C25" s="1"/>
      <c r="D25" s="1"/>
    </row>
    <row r="26" spans="1:4" ht="15" customHeight="1" x14ac:dyDescent="0.2">
      <c r="A26" s="1">
        <v>51</v>
      </c>
      <c r="B26" s="1"/>
      <c r="C26" s="1"/>
      <c r="D26" s="1"/>
    </row>
    <row r="27" spans="1:4" ht="15" customHeight="1" x14ac:dyDescent="0.2">
      <c r="A27" s="1">
        <v>53</v>
      </c>
      <c r="B27" s="1"/>
      <c r="C27" s="1"/>
      <c r="D27" s="1"/>
    </row>
    <row r="28" spans="1:4" ht="15" customHeight="1" x14ac:dyDescent="0.2">
      <c r="A28" s="1">
        <v>55</v>
      </c>
      <c r="B28" s="1" t="s">
        <v>306</v>
      </c>
      <c r="C28" s="1"/>
      <c r="D28" s="1"/>
    </row>
    <row r="29" spans="1:4" ht="15" customHeight="1" x14ac:dyDescent="0.2">
      <c r="A29" s="1">
        <v>60</v>
      </c>
      <c r="B29" s="1"/>
      <c r="C29" s="1"/>
      <c r="D29" s="1"/>
    </row>
    <row r="30" spans="1:4" ht="15" customHeight="1" x14ac:dyDescent="0.2">
      <c r="A30" s="1">
        <v>61</v>
      </c>
      <c r="B30" s="1"/>
      <c r="C30" s="1"/>
      <c r="D30" s="1"/>
    </row>
    <row r="31" spans="1:4" ht="15" customHeight="1" x14ac:dyDescent="0.2">
      <c r="A31" s="1">
        <v>62</v>
      </c>
      <c r="B31" s="1"/>
      <c r="C31" s="1"/>
      <c r="D31" s="1"/>
    </row>
    <row r="32" spans="1:4" ht="15" customHeight="1" x14ac:dyDescent="0.2">
      <c r="A32" s="1">
        <v>65</v>
      </c>
      <c r="B32" s="1"/>
      <c r="C32" s="1"/>
      <c r="D32" s="1"/>
    </row>
    <row r="33" spans="1:4" ht="15" customHeight="1" x14ac:dyDescent="0.2">
      <c r="A33" s="1">
        <v>70</v>
      </c>
      <c r="B33" s="1"/>
      <c r="C33" s="1"/>
      <c r="D33" s="1"/>
    </row>
    <row r="34" spans="1:4" ht="15" customHeight="1" x14ac:dyDescent="0.2">
      <c r="A34" s="1">
        <v>71</v>
      </c>
      <c r="B34" s="1"/>
      <c r="C34" s="1"/>
      <c r="D34" s="1"/>
    </row>
    <row r="35" spans="1:4" ht="15" customHeight="1" x14ac:dyDescent="0.2">
      <c r="A35" s="1">
        <v>72</v>
      </c>
      <c r="B35" s="1"/>
      <c r="C35" s="1"/>
      <c r="D35" s="1"/>
    </row>
    <row r="36" spans="1:4" ht="15" customHeight="1" x14ac:dyDescent="0.2">
      <c r="A36" s="1">
        <v>74</v>
      </c>
      <c r="B36" s="1"/>
      <c r="C36" s="1"/>
      <c r="D36" s="1"/>
    </row>
    <row r="37" spans="1:4" ht="15" customHeight="1" x14ac:dyDescent="0.2">
      <c r="A37" s="1">
        <v>75</v>
      </c>
      <c r="B37" s="1"/>
      <c r="C37" s="1"/>
      <c r="D37" s="1"/>
    </row>
    <row r="38" spans="1:4" ht="15" customHeight="1" x14ac:dyDescent="0.2">
      <c r="A38" s="1">
        <v>76</v>
      </c>
      <c r="B38" s="1"/>
      <c r="C38" s="1"/>
      <c r="D38" s="1"/>
    </row>
    <row r="39" spans="1:4" ht="15" customHeight="1" x14ac:dyDescent="0.2">
      <c r="A39" s="1">
        <v>78</v>
      </c>
      <c r="B39" s="1"/>
      <c r="C39" s="1"/>
      <c r="D39" s="1"/>
    </row>
    <row r="40" spans="1:4" ht="15" customHeight="1" x14ac:dyDescent="0.2">
      <c r="A40" s="1">
        <v>79</v>
      </c>
      <c r="B40" s="1"/>
      <c r="C40" s="1"/>
      <c r="D40" s="1"/>
    </row>
    <row r="41" spans="1:4" ht="15" customHeight="1" x14ac:dyDescent="0.2">
      <c r="A41" s="1">
        <v>80</v>
      </c>
      <c r="B41" s="1"/>
      <c r="C41" s="1"/>
      <c r="D41" s="1"/>
    </row>
    <row r="42" spans="1:4" ht="15" customHeight="1" x14ac:dyDescent="0.2">
      <c r="A42" s="1">
        <v>87</v>
      </c>
      <c r="B42" s="1"/>
      <c r="C42" s="1"/>
      <c r="D42" s="1"/>
    </row>
    <row r="43" spans="1:4" ht="15" customHeight="1" x14ac:dyDescent="0.2">
      <c r="A43" s="1">
        <v>89</v>
      </c>
      <c r="B43" s="1"/>
      <c r="C43" s="1"/>
      <c r="D43" s="1"/>
    </row>
    <row r="44" spans="1:4" ht="15" customHeight="1" x14ac:dyDescent="0.2">
      <c r="A44" s="1">
        <v>90</v>
      </c>
      <c r="B44" s="1"/>
      <c r="C44" s="1"/>
      <c r="D44" s="1"/>
    </row>
    <row r="45" spans="1:4" ht="15" customHeight="1" x14ac:dyDescent="0.2">
      <c r="A45" s="1">
        <v>91</v>
      </c>
      <c r="B45" s="1"/>
      <c r="C45" s="1"/>
      <c r="D45" s="1"/>
    </row>
    <row r="46" spans="1:4" ht="15" customHeight="1" x14ac:dyDescent="0.2">
      <c r="A46" s="1">
        <v>92</v>
      </c>
      <c r="B46" s="1"/>
      <c r="C46" s="1"/>
      <c r="D46" s="1"/>
    </row>
    <row r="47" spans="1:4" ht="15" customHeight="1" x14ac:dyDescent="0.2">
      <c r="A47" s="1">
        <v>93</v>
      </c>
      <c r="B47" s="1"/>
      <c r="C47" s="1"/>
      <c r="D47" s="1"/>
    </row>
    <row r="48" spans="1:4" ht="15" customHeight="1" x14ac:dyDescent="0.2">
      <c r="A48" s="1">
        <v>95</v>
      </c>
      <c r="B48" s="1"/>
      <c r="C48" s="1"/>
      <c r="D48" s="1"/>
    </row>
    <row r="49" spans="1:4" ht="15" customHeight="1" x14ac:dyDescent="0.2">
      <c r="A49" s="1">
        <v>96</v>
      </c>
      <c r="B49" s="1"/>
      <c r="C49" s="1"/>
      <c r="D49" s="1"/>
    </row>
    <row r="50" spans="1:4" ht="15" customHeight="1" x14ac:dyDescent="0.2">
      <c r="A50" s="1">
        <v>100</v>
      </c>
      <c r="B50" s="1"/>
      <c r="C50" s="1"/>
      <c r="D50" s="1"/>
    </row>
    <row r="51" spans="1:4" ht="15" customHeight="1" x14ac:dyDescent="0.2">
      <c r="A51" s="1">
        <v>104</v>
      </c>
      <c r="B51" s="1"/>
      <c r="C51" s="1"/>
      <c r="D51" s="1"/>
    </row>
    <row r="52" spans="1:4" ht="15" customHeight="1" x14ac:dyDescent="0.2">
      <c r="A52" s="1">
        <v>107</v>
      </c>
      <c r="B52" s="1"/>
      <c r="C52" s="1"/>
      <c r="D52" s="1"/>
    </row>
    <row r="53" spans="1:4" ht="15" customHeight="1" x14ac:dyDescent="0.2">
      <c r="A53" s="1">
        <v>109</v>
      </c>
      <c r="B53" s="1"/>
      <c r="C53" s="1"/>
      <c r="D53" s="1"/>
    </row>
    <row r="54" spans="1:4" ht="15" customHeight="1" x14ac:dyDescent="0.2">
      <c r="A54" s="1">
        <v>110</v>
      </c>
      <c r="B54" s="1"/>
      <c r="C54" s="1"/>
      <c r="D54" s="1"/>
    </row>
    <row r="55" spans="1:4" ht="15" customHeight="1" x14ac:dyDescent="0.2">
      <c r="A55" s="1">
        <v>112</v>
      </c>
      <c r="B55" s="1"/>
      <c r="C55" s="1"/>
      <c r="D55" s="1"/>
    </row>
    <row r="56" spans="1:4" ht="15" customHeight="1" x14ac:dyDescent="0.2">
      <c r="A56" s="1">
        <v>118</v>
      </c>
      <c r="B56" s="1"/>
      <c r="C56" s="1"/>
      <c r="D56" s="1"/>
    </row>
    <row r="57" spans="1:4" ht="15" customHeight="1" x14ac:dyDescent="0.2">
      <c r="A57" s="1">
        <v>119</v>
      </c>
      <c r="B57" s="1"/>
      <c r="C57" s="1"/>
      <c r="D57" s="1"/>
    </row>
    <row r="58" spans="1:4" ht="15" customHeight="1" x14ac:dyDescent="0.2">
      <c r="A58" s="1">
        <v>120</v>
      </c>
      <c r="B58" s="1"/>
      <c r="C58" s="1"/>
      <c r="D58" s="1"/>
    </row>
    <row r="59" spans="1:4" ht="15" customHeight="1" x14ac:dyDescent="0.2">
      <c r="A59" s="1">
        <v>121</v>
      </c>
      <c r="B59" s="1"/>
      <c r="C59" s="1"/>
      <c r="D59" s="1"/>
    </row>
    <row r="60" spans="1:4" ht="15" customHeight="1" x14ac:dyDescent="0.2">
      <c r="A60" s="1">
        <v>122</v>
      </c>
      <c r="B60" s="1"/>
      <c r="C60" s="1"/>
      <c r="D60" s="1"/>
    </row>
    <row r="61" spans="1:4" ht="15" customHeight="1" x14ac:dyDescent="0.2">
      <c r="A61" s="1">
        <v>127</v>
      </c>
      <c r="B61" s="1"/>
      <c r="C61" s="1"/>
      <c r="D61" s="1"/>
    </row>
    <row r="62" spans="1:4" ht="15" customHeight="1" x14ac:dyDescent="0.2">
      <c r="A62" s="1">
        <v>128</v>
      </c>
      <c r="B62" s="1"/>
      <c r="C62" s="1"/>
      <c r="D62" s="1"/>
    </row>
    <row r="63" spans="1:4" ht="15" customHeight="1" x14ac:dyDescent="0.2">
      <c r="A63" s="1">
        <v>132</v>
      </c>
      <c r="B63" s="1"/>
      <c r="C63" s="1"/>
      <c r="D63" s="1"/>
    </row>
    <row r="64" spans="1:4" ht="15" customHeight="1" x14ac:dyDescent="0.2">
      <c r="A64" s="1">
        <v>135</v>
      </c>
      <c r="B64" s="1"/>
      <c r="C64" s="1"/>
      <c r="D64" s="1"/>
    </row>
    <row r="65" spans="1:4" ht="15" customHeight="1" x14ac:dyDescent="0.2">
      <c r="A65" s="1">
        <v>136</v>
      </c>
      <c r="B65" s="1"/>
      <c r="C65" s="1"/>
      <c r="D65" s="1"/>
    </row>
    <row r="66" spans="1:4" ht="15" customHeight="1" x14ac:dyDescent="0.2">
      <c r="A66" s="1">
        <v>138</v>
      </c>
      <c r="B66" s="1"/>
      <c r="C66" s="1"/>
      <c r="D66" s="1"/>
    </row>
    <row r="67" spans="1:4" ht="15" customHeight="1" x14ac:dyDescent="0.2">
      <c r="A67" s="1">
        <v>139</v>
      </c>
      <c r="B67" s="1"/>
      <c r="C67" s="1"/>
      <c r="D67" s="1"/>
    </row>
    <row r="68" spans="1:4" ht="15" customHeight="1" x14ac:dyDescent="0.2">
      <c r="A68" s="1">
        <v>140</v>
      </c>
      <c r="B68" s="1"/>
      <c r="C68" s="1"/>
      <c r="D68" s="1"/>
    </row>
    <row r="69" spans="1:4" ht="15" customHeight="1" x14ac:dyDescent="0.2">
      <c r="A69" s="1">
        <v>148</v>
      </c>
      <c r="B69" s="1"/>
      <c r="C69" s="1"/>
      <c r="D69" s="1"/>
    </row>
    <row r="70" spans="1:4" ht="15" customHeight="1" x14ac:dyDescent="0.2">
      <c r="A70" s="1">
        <v>149</v>
      </c>
      <c r="B70" s="1"/>
      <c r="C70" s="1"/>
      <c r="D70" s="1"/>
    </row>
    <row r="71" spans="1:4" ht="15" customHeight="1" x14ac:dyDescent="0.2">
      <c r="A71" s="1">
        <v>150</v>
      </c>
      <c r="B71" s="1"/>
      <c r="C71" s="1"/>
      <c r="D71" s="1"/>
    </row>
    <row r="72" spans="1:4" ht="15" customHeight="1" x14ac:dyDescent="0.2">
      <c r="A72" s="1">
        <v>151</v>
      </c>
      <c r="B72" s="1"/>
      <c r="C72" s="1"/>
      <c r="D72" s="1"/>
    </row>
    <row r="73" spans="1:4" ht="15" customHeight="1" x14ac:dyDescent="0.2">
      <c r="A73" s="1">
        <v>152</v>
      </c>
      <c r="B73" s="1"/>
      <c r="C73" s="1"/>
      <c r="D73" s="1"/>
    </row>
    <row r="74" spans="1:4" ht="15" customHeight="1" x14ac:dyDescent="0.2">
      <c r="A74" s="1">
        <v>153</v>
      </c>
      <c r="B74" s="1"/>
      <c r="C74" s="1"/>
      <c r="D74" s="1"/>
    </row>
    <row r="75" spans="1:4" ht="15" customHeight="1" x14ac:dyDescent="0.2">
      <c r="A75" s="1">
        <v>157</v>
      </c>
      <c r="B75" s="1"/>
      <c r="C75" s="1"/>
      <c r="D75" s="1"/>
    </row>
    <row r="76" spans="1:4" ht="15" customHeight="1" x14ac:dyDescent="0.2">
      <c r="A76" s="1">
        <v>156</v>
      </c>
      <c r="B76" s="1"/>
      <c r="C76" s="1"/>
      <c r="D76" s="1"/>
    </row>
    <row r="77" spans="1:4" ht="15" customHeight="1" x14ac:dyDescent="0.2">
      <c r="A77" s="1">
        <v>162</v>
      </c>
      <c r="B77" s="1"/>
      <c r="C77" s="1"/>
      <c r="D77" s="1"/>
    </row>
    <row r="78" spans="1:4" ht="15" customHeight="1" x14ac:dyDescent="0.2">
      <c r="A78" s="1">
        <v>164</v>
      </c>
      <c r="B78" s="1"/>
      <c r="C78" s="1"/>
      <c r="D78" s="1"/>
    </row>
    <row r="79" spans="1:4" ht="15" customHeight="1" x14ac:dyDescent="0.2">
      <c r="A79" s="1">
        <v>166</v>
      </c>
      <c r="B79" s="1"/>
      <c r="C79" s="1"/>
      <c r="D79" s="1"/>
    </row>
    <row r="80" spans="1:4" ht="15" customHeight="1" x14ac:dyDescent="0.2">
      <c r="A80" s="1">
        <v>170</v>
      </c>
      <c r="B80" s="1"/>
      <c r="C80" s="1"/>
      <c r="D80" s="1"/>
    </row>
    <row r="81" spans="1:4" ht="15" customHeight="1" x14ac:dyDescent="0.2">
      <c r="A81" s="1">
        <v>173</v>
      </c>
      <c r="B81" s="1"/>
      <c r="C81" s="1"/>
      <c r="D81" s="1"/>
    </row>
    <row r="82" spans="1:4" ht="15" customHeight="1" x14ac:dyDescent="0.2">
      <c r="A82" s="1">
        <v>175</v>
      </c>
      <c r="B82" s="1"/>
      <c r="C82" s="1"/>
      <c r="D82" s="1"/>
    </row>
    <row r="83" spans="1:4" ht="15" customHeight="1" x14ac:dyDescent="0.2">
      <c r="A83" s="1">
        <v>178</v>
      </c>
      <c r="B83" s="1"/>
      <c r="C83" s="1"/>
      <c r="D83" s="1"/>
    </row>
    <row r="84" spans="1:4" ht="15" customHeight="1" x14ac:dyDescent="0.2">
      <c r="A84" s="1">
        <v>183</v>
      </c>
      <c r="B84" s="1"/>
      <c r="C84" s="1"/>
      <c r="D84" s="1"/>
    </row>
    <row r="85" spans="1:4" ht="15" customHeight="1" x14ac:dyDescent="0.2">
      <c r="A85" s="1">
        <v>185</v>
      </c>
      <c r="B85" s="1"/>
      <c r="C85" s="1"/>
      <c r="D85" s="1"/>
    </row>
    <row r="86" spans="1:4" ht="15" customHeight="1" x14ac:dyDescent="0.2">
      <c r="A86" s="1">
        <v>186</v>
      </c>
      <c r="B86" s="1" t="s">
        <v>836</v>
      </c>
      <c r="C86" s="1"/>
      <c r="D86" s="1"/>
    </row>
    <row r="87" spans="1:4" ht="15" customHeight="1" x14ac:dyDescent="0.2">
      <c r="A87" s="1">
        <v>189</v>
      </c>
      <c r="B87" s="1"/>
      <c r="C87" s="1"/>
      <c r="D87" s="1"/>
    </row>
    <row r="88" spans="1:4" ht="15" customHeight="1" x14ac:dyDescent="0.2">
      <c r="A88" s="1">
        <v>190</v>
      </c>
      <c r="B88" s="1"/>
      <c r="C88" s="1"/>
      <c r="D88" s="1"/>
    </row>
    <row r="89" spans="1:4" ht="15" customHeight="1" x14ac:dyDescent="0.2">
      <c r="A89" s="1">
        <v>192</v>
      </c>
      <c r="B89" s="1"/>
      <c r="C89" s="1"/>
      <c r="D89" s="1"/>
    </row>
    <row r="90" spans="1:4" ht="15" customHeight="1" x14ac:dyDescent="0.2">
      <c r="A90" s="1">
        <v>193</v>
      </c>
      <c r="B90" s="1" t="s">
        <v>871</v>
      </c>
      <c r="C90" s="1"/>
      <c r="D90" s="1"/>
    </row>
    <row r="91" spans="1:4" ht="15" customHeight="1" x14ac:dyDescent="0.2">
      <c r="A91" s="1">
        <v>196</v>
      </c>
      <c r="B91" s="1"/>
      <c r="C91" s="1"/>
      <c r="D91" s="1"/>
    </row>
    <row r="92" spans="1:4" ht="15" customHeight="1" x14ac:dyDescent="0.2">
      <c r="A92" s="1">
        <v>197</v>
      </c>
      <c r="B92" s="1"/>
      <c r="C92" s="1"/>
      <c r="D92" s="1"/>
    </row>
    <row r="93" spans="1:4" ht="15" customHeight="1" x14ac:dyDescent="0.2">
      <c r="A93" s="1">
        <v>200</v>
      </c>
      <c r="B93" s="1"/>
      <c r="C93" s="1"/>
      <c r="D93" s="1"/>
    </row>
    <row r="94" spans="1:4" ht="15" customHeight="1" x14ac:dyDescent="0.2">
      <c r="A94" s="1">
        <v>203</v>
      </c>
      <c r="B94" s="1"/>
      <c r="C94" s="1"/>
      <c r="D94" s="1"/>
    </row>
    <row r="95" spans="1:4" ht="15" customHeight="1" x14ac:dyDescent="0.2">
      <c r="A95" s="1">
        <v>204</v>
      </c>
      <c r="B95" s="1" t="s">
        <v>909</v>
      </c>
      <c r="C95" s="1"/>
      <c r="D95" s="1"/>
    </row>
    <row r="96" spans="1:4" ht="15" customHeight="1" x14ac:dyDescent="0.2">
      <c r="A96" s="1">
        <v>207</v>
      </c>
      <c r="B96" s="1" t="s">
        <v>915</v>
      </c>
      <c r="C96" s="1"/>
      <c r="D96" s="1"/>
    </row>
    <row r="97" spans="1:4" ht="15" customHeight="1" x14ac:dyDescent="0.2">
      <c r="A97" s="1">
        <v>208</v>
      </c>
      <c r="B97" s="1"/>
      <c r="C97" s="1"/>
      <c r="D97" s="1"/>
    </row>
    <row r="98" spans="1:4" ht="15" customHeight="1" x14ac:dyDescent="0.2">
      <c r="A98" s="1">
        <v>210</v>
      </c>
      <c r="B98" s="1"/>
      <c r="C98" s="1"/>
      <c r="D98" s="1"/>
    </row>
    <row r="99" spans="1:4" ht="15" customHeight="1" x14ac:dyDescent="0.2">
      <c r="A99" s="1">
        <v>212</v>
      </c>
      <c r="B99" s="1"/>
      <c r="C99" s="1"/>
      <c r="D99" s="1"/>
    </row>
    <row r="100" spans="1:4" ht="15" customHeight="1" x14ac:dyDescent="0.2">
      <c r="A100" s="1">
        <v>215</v>
      </c>
      <c r="B100" s="1"/>
      <c r="C100" s="1"/>
      <c r="D100" s="1"/>
    </row>
    <row r="101" spans="1:4" ht="15" customHeight="1" x14ac:dyDescent="0.2">
      <c r="A101" s="1">
        <v>217</v>
      </c>
      <c r="B101" s="1"/>
      <c r="C101" s="1"/>
      <c r="D101" s="1"/>
    </row>
    <row r="102" spans="1:4" ht="15" customHeight="1" x14ac:dyDescent="0.2">
      <c r="A102" s="1">
        <v>219</v>
      </c>
      <c r="B102" s="1"/>
      <c r="C102" s="1"/>
      <c r="D102" s="1"/>
    </row>
    <row r="103" spans="1:4" ht="15" customHeight="1" x14ac:dyDescent="0.2">
      <c r="A103" s="1">
        <v>221</v>
      </c>
      <c r="B103" s="1"/>
      <c r="C103" s="1"/>
      <c r="D103" s="1"/>
    </row>
    <row r="104" spans="1:4" ht="15" customHeight="1" x14ac:dyDescent="0.2">
      <c r="A104" s="1">
        <v>222</v>
      </c>
      <c r="B104" s="1"/>
      <c r="C104" s="1"/>
      <c r="D104" s="1"/>
    </row>
    <row r="105" spans="1:4" ht="15" customHeight="1" x14ac:dyDescent="0.2">
      <c r="A105" s="1">
        <v>223</v>
      </c>
      <c r="B105" s="1"/>
      <c r="C105" s="1"/>
      <c r="D105" s="1"/>
    </row>
    <row r="106" spans="1:4" ht="15" customHeight="1" x14ac:dyDescent="0.2">
      <c r="A106" s="1">
        <v>226</v>
      </c>
      <c r="B106" s="1"/>
      <c r="C106" s="1"/>
      <c r="D106" s="1"/>
    </row>
    <row r="107" spans="1:4" ht="15" customHeight="1" x14ac:dyDescent="0.2">
      <c r="A107" s="1">
        <v>231</v>
      </c>
      <c r="B107" s="1"/>
      <c r="C107" s="1"/>
      <c r="D107" s="1"/>
    </row>
    <row r="108" spans="1:4" ht="15" customHeight="1" x14ac:dyDescent="0.2">
      <c r="A108" s="1">
        <v>232</v>
      </c>
      <c r="B108" s="1"/>
      <c r="C108" s="1"/>
      <c r="D108" s="1"/>
    </row>
    <row r="109" spans="1:4" ht="15" customHeight="1" x14ac:dyDescent="0.2">
      <c r="A109" s="1">
        <v>233</v>
      </c>
      <c r="B109" s="1" t="s">
        <v>1025</v>
      </c>
      <c r="C109" s="1"/>
      <c r="D109" s="1"/>
    </row>
    <row r="110" spans="1:4" ht="15" customHeight="1" x14ac:dyDescent="0.2">
      <c r="A110" s="1">
        <v>236</v>
      </c>
      <c r="B110" s="1"/>
      <c r="C110" s="1"/>
      <c r="D110" s="1"/>
    </row>
    <row r="111" spans="1:4" ht="15" customHeight="1" x14ac:dyDescent="0.2">
      <c r="A111" s="1">
        <v>238</v>
      </c>
      <c r="B111" s="1"/>
      <c r="C111" s="1"/>
      <c r="D111" s="1"/>
    </row>
    <row r="112" spans="1:4" ht="15" customHeight="1" x14ac:dyDescent="0.2">
      <c r="A112" s="1">
        <v>241</v>
      </c>
      <c r="B112" s="1"/>
      <c r="C112" s="1"/>
      <c r="D112" s="1"/>
    </row>
    <row r="113" spans="1:4" ht="15" customHeight="1" x14ac:dyDescent="0.2">
      <c r="A113" s="1">
        <v>242</v>
      </c>
      <c r="B113" s="1"/>
      <c r="C113" s="1"/>
      <c r="D113" s="1"/>
    </row>
    <row r="114" spans="1:4" ht="15" customHeight="1" x14ac:dyDescent="0.2">
      <c r="A114" s="1">
        <v>245</v>
      </c>
      <c r="B114" s="1"/>
      <c r="C114" s="1"/>
      <c r="D114" s="1"/>
    </row>
    <row r="115" spans="1:4" ht="15" customHeight="1" x14ac:dyDescent="0.2">
      <c r="A115" s="1">
        <v>247</v>
      </c>
      <c r="B115" s="1"/>
      <c r="C115" s="1"/>
      <c r="D115" s="1"/>
    </row>
    <row r="116" spans="1:4" ht="15" customHeight="1" x14ac:dyDescent="0.2">
      <c r="A116" s="1">
        <v>249</v>
      </c>
      <c r="B116" s="1"/>
      <c r="C116" s="1"/>
      <c r="D116" s="1"/>
    </row>
    <row r="117" spans="1:4" ht="15" customHeight="1" x14ac:dyDescent="0.2">
      <c r="A117" s="1">
        <v>250</v>
      </c>
      <c r="B117" s="1"/>
      <c r="C117" s="1"/>
      <c r="D117" s="1"/>
    </row>
    <row r="118" spans="1:4" ht="15" customHeight="1" x14ac:dyDescent="0.2">
      <c r="A118" s="1">
        <v>254</v>
      </c>
      <c r="B118" s="1" t="s">
        <v>1104</v>
      </c>
      <c r="C118" s="1"/>
      <c r="D118" s="1"/>
    </row>
    <row r="119" spans="1:4" ht="15" customHeight="1" x14ac:dyDescent="0.2">
      <c r="A119" s="1">
        <v>256</v>
      </c>
      <c r="B119" s="1" t="s">
        <v>1112</v>
      </c>
      <c r="C119" s="1"/>
      <c r="D119" s="1"/>
    </row>
    <row r="120" spans="1:4" ht="15" customHeight="1" x14ac:dyDescent="0.2">
      <c r="A120" s="1">
        <v>257</v>
      </c>
      <c r="B120" s="1"/>
      <c r="C120" s="1"/>
      <c r="D120" s="1"/>
    </row>
    <row r="121" spans="1:4" ht="15" customHeight="1" x14ac:dyDescent="0.2">
      <c r="A121" s="1">
        <v>260</v>
      </c>
      <c r="B121" s="1"/>
      <c r="C121" s="1"/>
      <c r="D121" s="1"/>
    </row>
    <row r="122" spans="1:4" ht="15" customHeight="1" x14ac:dyDescent="0.2">
      <c r="A122" s="1">
        <v>262</v>
      </c>
      <c r="B122" s="1"/>
      <c r="C122" s="1"/>
      <c r="D122" s="1"/>
    </row>
    <row r="123" spans="1:4" ht="15" customHeight="1" x14ac:dyDescent="0.2">
      <c r="A123" s="1">
        <v>263</v>
      </c>
      <c r="B123" s="1"/>
      <c r="C123" s="1"/>
      <c r="D123" s="1"/>
    </row>
    <row r="124" spans="1:4" ht="15" customHeight="1" x14ac:dyDescent="0.2">
      <c r="A124" s="1">
        <v>272</v>
      </c>
      <c r="B124" s="1"/>
      <c r="C124" s="1"/>
      <c r="D124" s="1"/>
    </row>
    <row r="125" spans="1:4" ht="15" customHeight="1" x14ac:dyDescent="0.2">
      <c r="A125" s="1">
        <v>273</v>
      </c>
      <c r="B125" s="1"/>
      <c r="C125" s="1"/>
      <c r="D125" s="1"/>
    </row>
    <row r="126" spans="1:4" ht="15" customHeight="1" x14ac:dyDescent="0.2">
      <c r="A126" s="1">
        <v>280</v>
      </c>
      <c r="B126" s="1"/>
      <c r="C126" s="1"/>
      <c r="D126" s="1"/>
    </row>
    <row r="127" spans="1:4" ht="15" customHeight="1" x14ac:dyDescent="0.2">
      <c r="A127" s="1">
        <v>282</v>
      </c>
      <c r="B127" s="1"/>
      <c r="C127" s="1"/>
      <c r="D127" s="1"/>
    </row>
    <row r="128" spans="1:4" ht="15" customHeight="1" x14ac:dyDescent="0.2">
      <c r="A128" s="1">
        <v>286</v>
      </c>
      <c r="B128" s="1"/>
      <c r="C128" s="1"/>
      <c r="D128" s="1"/>
    </row>
    <row r="129" spans="1:5" ht="15" customHeight="1" x14ac:dyDescent="0.2">
      <c r="A129" s="1">
        <v>287</v>
      </c>
      <c r="B129" s="1"/>
      <c r="C129" s="1"/>
      <c r="D129" s="1"/>
    </row>
    <row r="130" spans="1:5" ht="15" customHeight="1" x14ac:dyDescent="0.2">
      <c r="A130" s="1">
        <v>288</v>
      </c>
      <c r="B130" s="1" t="s">
        <v>1220</v>
      </c>
      <c r="C130" s="1"/>
      <c r="D130" s="1"/>
    </row>
    <row r="131" spans="1:5" ht="15" customHeight="1" x14ac:dyDescent="0.2">
      <c r="A131" s="1">
        <v>289</v>
      </c>
      <c r="B131" s="1"/>
      <c r="C131" s="1"/>
      <c r="D131" s="1"/>
    </row>
    <row r="132" spans="1:5" ht="15" customHeight="1" x14ac:dyDescent="0.2">
      <c r="A132" s="1">
        <v>290</v>
      </c>
      <c r="B132" s="1"/>
      <c r="C132" s="1"/>
      <c r="D132" s="1"/>
    </row>
    <row r="133" spans="1:5" ht="15" customHeight="1" x14ac:dyDescent="0.2">
      <c r="A133" s="1">
        <v>291</v>
      </c>
      <c r="B133" s="1"/>
      <c r="C133" s="1"/>
      <c r="D133" s="1"/>
    </row>
    <row r="134" spans="1:5" ht="15" customHeight="1" x14ac:dyDescent="0.2">
      <c r="A134" s="1">
        <v>293</v>
      </c>
      <c r="B134" s="1"/>
      <c r="C134" s="1"/>
      <c r="D134" s="1"/>
    </row>
    <row r="135" spans="1:5" ht="15" customHeight="1" x14ac:dyDescent="0.2">
      <c r="A135" s="1">
        <v>294</v>
      </c>
      <c r="B135" s="1"/>
      <c r="C135" s="1"/>
      <c r="D135" s="1"/>
    </row>
    <row r="136" spans="1:5" ht="15" customHeight="1" x14ac:dyDescent="0.2">
      <c r="A136" s="1">
        <v>295</v>
      </c>
      <c r="B136" s="1"/>
      <c r="C136" s="1"/>
      <c r="D136" s="1"/>
    </row>
    <row r="137" spans="1:5" ht="15" customHeight="1" x14ac:dyDescent="0.2">
      <c r="A137" s="1">
        <v>297</v>
      </c>
      <c r="B137" s="1"/>
      <c r="C137" s="1"/>
      <c r="D137" s="1"/>
    </row>
    <row r="138" spans="1:5" ht="15" customHeight="1" x14ac:dyDescent="0.2">
      <c r="A138" s="1">
        <v>298</v>
      </c>
      <c r="B138" s="1"/>
      <c r="C138" s="1"/>
      <c r="D138" s="1"/>
    </row>
    <row r="139" spans="1:5" ht="15" customHeight="1" x14ac:dyDescent="0.2">
      <c r="A139" s="1">
        <v>300</v>
      </c>
      <c r="B139" s="1"/>
      <c r="C139" s="1"/>
      <c r="D139" s="1"/>
    </row>
    <row r="140" spans="1:5" ht="15" customHeight="1" x14ac:dyDescent="0.2">
      <c r="A140" s="1">
        <v>301</v>
      </c>
      <c r="B140" s="1"/>
      <c r="C140" s="1"/>
      <c r="D140" s="1"/>
    </row>
    <row r="141" spans="1:5" ht="15" customHeight="1" x14ac:dyDescent="0.2">
      <c r="A141" s="1">
        <v>302</v>
      </c>
      <c r="B141" s="1"/>
      <c r="C141" s="1"/>
      <c r="D141" s="1"/>
    </row>
    <row r="142" spans="1:5" ht="15" customHeight="1" x14ac:dyDescent="0.2">
      <c r="A142" s="6">
        <v>303</v>
      </c>
      <c r="B142" s="6"/>
      <c r="C142" s="103"/>
      <c r="D142" s="103"/>
      <c r="E142" s="117"/>
    </row>
    <row r="143" spans="1:5" ht="15" customHeight="1" x14ac:dyDescent="0.2">
      <c r="A143" s="1">
        <v>304</v>
      </c>
      <c r="B143" s="1"/>
      <c r="C143" s="1"/>
      <c r="D143" s="1"/>
    </row>
    <row r="144" spans="1:5" ht="15" customHeight="1" x14ac:dyDescent="0.2">
      <c r="A144" s="1">
        <v>305</v>
      </c>
      <c r="B144" s="1"/>
      <c r="C144" s="1"/>
      <c r="D144" s="1"/>
    </row>
    <row r="145" spans="1:4" ht="15" customHeight="1" x14ac:dyDescent="0.2">
      <c r="A145" s="1">
        <v>307</v>
      </c>
      <c r="B145" s="1"/>
      <c r="C145" s="1"/>
      <c r="D145" s="1"/>
    </row>
    <row r="146" spans="1:4" ht="15" customHeight="1" x14ac:dyDescent="0.2">
      <c r="A146" s="1">
        <v>308</v>
      </c>
      <c r="B146" s="1"/>
      <c r="C146" s="1"/>
      <c r="D146" s="1"/>
    </row>
    <row r="147" spans="1:4" ht="15" customHeight="1" x14ac:dyDescent="0.2">
      <c r="A147" s="8">
        <v>310</v>
      </c>
      <c r="B147" s="8"/>
      <c r="C147" s="8"/>
      <c r="D147" s="8"/>
    </row>
    <row r="148" spans="1:4" ht="15" customHeight="1" x14ac:dyDescent="0.2">
      <c r="A148" s="8">
        <v>312</v>
      </c>
      <c r="B148" s="8"/>
      <c r="C148" s="8"/>
      <c r="D148" s="8"/>
    </row>
    <row r="149" spans="1:4" ht="15" customHeight="1" x14ac:dyDescent="0.2">
      <c r="A149" s="8">
        <v>314</v>
      </c>
      <c r="B149" s="8"/>
      <c r="C149" s="8"/>
      <c r="D149" s="8"/>
    </row>
    <row r="150" spans="1:4" ht="15" customHeight="1" x14ac:dyDescent="0.2">
      <c r="A150" s="8">
        <v>315</v>
      </c>
      <c r="B150" s="8"/>
      <c r="C150" s="8"/>
      <c r="D150" s="8"/>
    </row>
    <row r="151" spans="1:4" ht="15" customHeight="1" x14ac:dyDescent="0.2">
      <c r="A151" s="8">
        <v>316</v>
      </c>
      <c r="B151" s="8"/>
      <c r="C151" s="8"/>
      <c r="D151" s="8"/>
    </row>
    <row r="152" spans="1:4" ht="15" customHeight="1" x14ac:dyDescent="0.2">
      <c r="A152" s="8">
        <v>317</v>
      </c>
      <c r="B152" s="8"/>
      <c r="C152" s="8"/>
      <c r="D152" s="8"/>
    </row>
    <row r="153" spans="1:4" ht="15" customHeight="1" x14ac:dyDescent="0.2">
      <c r="A153" s="8">
        <v>319</v>
      </c>
      <c r="B153" s="8"/>
      <c r="C153" s="8"/>
      <c r="D153" s="8"/>
    </row>
    <row r="154" spans="1:4" ht="15" customHeight="1" x14ac:dyDescent="0.2">
      <c r="A154" s="8">
        <v>323</v>
      </c>
      <c r="B154" s="8"/>
      <c r="C154" s="8"/>
      <c r="D154" s="8"/>
    </row>
    <row r="155" spans="1:4" ht="15" customHeight="1" x14ac:dyDescent="0.2">
      <c r="A155" s="8">
        <v>324</v>
      </c>
      <c r="B155" s="8"/>
      <c r="C155" s="8"/>
      <c r="D155" s="8"/>
    </row>
    <row r="156" spans="1:4" ht="15" customHeight="1" x14ac:dyDescent="0.2">
      <c r="A156" s="8">
        <v>325</v>
      </c>
      <c r="B156" s="8"/>
      <c r="C156" s="8"/>
      <c r="D156" s="8"/>
    </row>
    <row r="157" spans="1:4" ht="15" customHeight="1" x14ac:dyDescent="0.2">
      <c r="A157" s="8">
        <v>327</v>
      </c>
      <c r="B157" s="8"/>
      <c r="C157" s="8"/>
      <c r="D157" s="8"/>
    </row>
    <row r="158" spans="1:4" ht="15" customHeight="1" x14ac:dyDescent="0.2">
      <c r="A158" s="8">
        <v>328</v>
      </c>
      <c r="B158" s="8"/>
      <c r="C158" s="8"/>
      <c r="D158" s="8"/>
    </row>
    <row r="159" spans="1:4" ht="15" customHeight="1" x14ac:dyDescent="0.2">
      <c r="A159" s="8">
        <v>329</v>
      </c>
      <c r="B159" s="8"/>
      <c r="C159" s="8"/>
      <c r="D159" s="8"/>
    </row>
    <row r="160" spans="1:4" ht="15" customHeight="1" x14ac:dyDescent="0.2">
      <c r="A160" s="8">
        <v>331</v>
      </c>
      <c r="B160" s="8"/>
      <c r="C160" s="8"/>
      <c r="D160" s="8"/>
    </row>
    <row r="161" spans="1:1" ht="15" customHeight="1" x14ac:dyDescent="0.2">
      <c r="A161" s="8">
        <v>332</v>
      </c>
    </row>
    <row r="162" spans="1:1" ht="15" customHeight="1" x14ac:dyDescent="0.2">
      <c r="A162" s="8">
        <v>334</v>
      </c>
    </row>
    <row r="163" spans="1:1" ht="15" customHeight="1" x14ac:dyDescent="0.2">
      <c r="A163" s="8">
        <v>336</v>
      </c>
    </row>
    <row r="164" spans="1:1" ht="15" customHeight="1" x14ac:dyDescent="0.2">
      <c r="A164" s="8">
        <v>337</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64"/>
  <sheetViews>
    <sheetView topLeftCell="H1" workbookViewId="0">
      <selection activeCell="O16" sqref="O16"/>
    </sheetView>
  </sheetViews>
  <sheetFormatPr baseColWidth="10" defaultColWidth="8.83203125" defaultRowHeight="15" customHeight="1" x14ac:dyDescent="0.2"/>
  <cols>
    <col min="1" max="1" width="11.83203125" bestFit="1" customWidth="1"/>
    <col min="2" max="2" width="92.33203125" customWidth="1"/>
    <col min="3" max="5" width="14.5" hidden="1" customWidth="1"/>
    <col min="6" max="9" width="14.5" customWidth="1"/>
    <col min="10" max="10" width="36.6640625" style="4" bestFit="1" customWidth="1"/>
    <col min="11" max="11" width="8.83203125" style="8"/>
    <col min="12" max="12" width="10.1640625" style="8" bestFit="1" customWidth="1"/>
  </cols>
  <sheetData>
    <row r="1" spans="1:13" ht="15" customHeight="1" x14ac:dyDescent="0.2">
      <c r="A1" s="6" t="s">
        <v>0</v>
      </c>
      <c r="B1" s="6" t="s">
        <v>42</v>
      </c>
      <c r="C1" s="103"/>
      <c r="D1" s="103"/>
      <c r="E1" s="103"/>
      <c r="F1" s="103"/>
      <c r="G1" s="103"/>
      <c r="H1" s="103"/>
      <c r="I1" s="103"/>
      <c r="J1" s="22" t="s">
        <v>1727</v>
      </c>
      <c r="K1" s="122" t="s">
        <v>1728</v>
      </c>
      <c r="L1" s="101" t="s">
        <v>1726</v>
      </c>
      <c r="M1" t="s">
        <v>1375</v>
      </c>
    </row>
    <row r="2" spans="1:13" ht="15" customHeight="1" x14ac:dyDescent="0.2">
      <c r="A2" s="6">
        <v>2</v>
      </c>
      <c r="B2" s="6" t="s">
        <v>57</v>
      </c>
      <c r="C2" s="103">
        <v>1</v>
      </c>
      <c r="D2" s="103">
        <v>2</v>
      </c>
      <c r="E2" s="103"/>
      <c r="F2" s="103" t="s">
        <v>2152</v>
      </c>
      <c r="G2" s="103" t="s">
        <v>2153</v>
      </c>
      <c r="H2" s="103"/>
      <c r="I2" s="103"/>
      <c r="J2" s="11" t="s">
        <v>79</v>
      </c>
      <c r="K2" s="123">
        <v>1</v>
      </c>
      <c r="L2" s="14">
        <f>COUNTIF(C:E,"1")</f>
        <v>123</v>
      </c>
      <c r="M2">
        <f>L2/$L$8</f>
        <v>0.52789699570815452</v>
      </c>
    </row>
    <row r="3" spans="1:13" ht="15" customHeight="1" x14ac:dyDescent="0.2">
      <c r="A3" s="6">
        <v>5</v>
      </c>
      <c r="B3" s="6" t="s">
        <v>69</v>
      </c>
      <c r="C3" s="103">
        <v>1</v>
      </c>
      <c r="D3" s="103"/>
      <c r="E3" s="103"/>
      <c r="F3" s="103"/>
      <c r="G3" s="103"/>
      <c r="H3" s="103"/>
      <c r="I3" s="103"/>
      <c r="J3" s="11" t="s">
        <v>2147</v>
      </c>
      <c r="K3" s="123">
        <v>2</v>
      </c>
      <c r="L3" s="14">
        <f>COUNTIF(C:E,"2")</f>
        <v>35</v>
      </c>
      <c r="M3">
        <f t="shared" ref="M3:M7" si="0">L3/$L$8</f>
        <v>0.15021459227467812</v>
      </c>
    </row>
    <row r="4" spans="1:13" ht="15" customHeight="1" x14ac:dyDescent="0.2">
      <c r="A4" s="6">
        <v>6</v>
      </c>
      <c r="B4" s="6" t="s">
        <v>79</v>
      </c>
      <c r="C4" s="103">
        <v>1</v>
      </c>
      <c r="D4" s="103"/>
      <c r="E4" s="103"/>
      <c r="F4" s="103"/>
      <c r="G4" s="103"/>
      <c r="H4" s="103"/>
      <c r="I4" s="103"/>
      <c r="J4" s="11" t="s">
        <v>1272</v>
      </c>
      <c r="K4" s="123">
        <v>3</v>
      </c>
      <c r="L4" s="14">
        <f>COUNTIF(C:E,"3")</f>
        <v>45</v>
      </c>
      <c r="M4">
        <f t="shared" si="0"/>
        <v>0.19313304721030042</v>
      </c>
    </row>
    <row r="5" spans="1:13" ht="15" customHeight="1" x14ac:dyDescent="0.2">
      <c r="A5" s="6">
        <v>11</v>
      </c>
      <c r="B5" s="6" t="s">
        <v>90</v>
      </c>
      <c r="C5" s="103">
        <v>1</v>
      </c>
      <c r="D5" s="103"/>
      <c r="E5" s="103"/>
      <c r="F5" s="103" t="s">
        <v>2152</v>
      </c>
      <c r="G5" s="103" t="s">
        <v>2153</v>
      </c>
      <c r="H5" s="103"/>
      <c r="I5" s="103"/>
      <c r="J5" s="11" t="s">
        <v>2148</v>
      </c>
      <c r="K5" s="123">
        <v>4</v>
      </c>
      <c r="L5" s="14">
        <f>COUNTIF(C:E,"4")</f>
        <v>17</v>
      </c>
      <c r="M5">
        <f t="shared" si="0"/>
        <v>7.2961373390557943E-2</v>
      </c>
    </row>
    <row r="6" spans="1:13" ht="15" customHeight="1" x14ac:dyDescent="0.2">
      <c r="A6" s="6">
        <v>18</v>
      </c>
      <c r="B6" s="6" t="s">
        <v>97</v>
      </c>
      <c r="C6" s="103">
        <v>1</v>
      </c>
      <c r="D6" s="103"/>
      <c r="E6" s="103"/>
      <c r="F6" s="103" t="s">
        <v>2152</v>
      </c>
      <c r="G6" s="103"/>
      <c r="H6" s="103"/>
      <c r="I6" s="103"/>
      <c r="J6" s="11" t="s">
        <v>2149</v>
      </c>
      <c r="K6" s="123">
        <v>5</v>
      </c>
      <c r="L6" s="14">
        <f>COUNTIF(C:E,"5")</f>
        <v>8</v>
      </c>
      <c r="M6">
        <f t="shared" si="0"/>
        <v>3.4334763948497854E-2</v>
      </c>
    </row>
    <row r="7" spans="1:13" ht="15" customHeight="1" x14ac:dyDescent="0.2">
      <c r="A7" s="6">
        <v>21</v>
      </c>
      <c r="B7" s="6" t="s">
        <v>104</v>
      </c>
      <c r="C7" s="103">
        <v>1</v>
      </c>
      <c r="D7" s="103">
        <v>2</v>
      </c>
      <c r="E7" s="103"/>
      <c r="F7" s="103"/>
      <c r="G7" s="103"/>
      <c r="H7" s="103"/>
      <c r="I7" s="103"/>
      <c r="J7" s="10" t="s">
        <v>771</v>
      </c>
      <c r="K7" s="124">
        <v>6</v>
      </c>
      <c r="L7" s="15">
        <f>COUNTIF(C:E,"6")</f>
        <v>5</v>
      </c>
      <c r="M7">
        <f t="shared" si="0"/>
        <v>2.1459227467811159E-2</v>
      </c>
    </row>
    <row r="8" spans="1:13" ht="15" customHeight="1" x14ac:dyDescent="0.2">
      <c r="A8" s="6">
        <v>22</v>
      </c>
      <c r="B8" s="6" t="s">
        <v>110</v>
      </c>
      <c r="C8" s="103">
        <v>1</v>
      </c>
      <c r="D8" s="103"/>
      <c r="E8" s="103"/>
      <c r="F8" s="103" t="s">
        <v>2152</v>
      </c>
      <c r="G8" s="103"/>
      <c r="H8" s="103"/>
      <c r="I8" s="103"/>
      <c r="J8" s="148"/>
      <c r="K8" s="16"/>
      <c r="L8" s="16">
        <f>SUM(L2:L7)</f>
        <v>233</v>
      </c>
    </row>
    <row r="9" spans="1:13" ht="15" customHeight="1" x14ac:dyDescent="0.2">
      <c r="A9" s="6">
        <v>26</v>
      </c>
      <c r="B9" s="6" t="s">
        <v>120</v>
      </c>
      <c r="C9" s="103"/>
      <c r="D9" s="103"/>
      <c r="E9" s="103"/>
      <c r="F9" s="103"/>
      <c r="G9" s="103"/>
      <c r="H9" s="103"/>
      <c r="I9" s="103"/>
    </row>
    <row r="10" spans="1:13" ht="15" customHeight="1" x14ac:dyDescent="0.2">
      <c r="A10" s="6">
        <v>30</v>
      </c>
      <c r="B10" s="6" t="s">
        <v>130</v>
      </c>
      <c r="C10" s="103"/>
      <c r="D10" s="103"/>
      <c r="E10" s="103"/>
      <c r="F10" s="103"/>
      <c r="G10" s="103"/>
      <c r="H10" s="103"/>
      <c r="I10" s="103" t="s">
        <v>79</v>
      </c>
      <c r="J10" s="4" t="s">
        <v>2150</v>
      </c>
      <c r="K10" s="8" t="s">
        <v>1728</v>
      </c>
      <c r="L10" s="8" t="s">
        <v>1726</v>
      </c>
      <c r="M10" s="8" t="s">
        <v>1729</v>
      </c>
    </row>
    <row r="11" spans="1:13" ht="15" customHeight="1" x14ac:dyDescent="0.2">
      <c r="A11" s="6">
        <v>31</v>
      </c>
      <c r="B11" s="6" t="s">
        <v>140</v>
      </c>
      <c r="C11" s="103">
        <v>1</v>
      </c>
      <c r="D11" s="103"/>
      <c r="E11" s="103"/>
      <c r="F11" s="103" t="s">
        <v>2156</v>
      </c>
      <c r="G11" s="103"/>
      <c r="H11" s="103"/>
      <c r="I11" s="103"/>
      <c r="J11" s="4" t="s">
        <v>2154</v>
      </c>
      <c r="K11" s="8" t="s">
        <v>2152</v>
      </c>
      <c r="L11" s="14">
        <f>COUNTIF($F$1:$F$71,"1a")</f>
        <v>18</v>
      </c>
    </row>
    <row r="12" spans="1:13" ht="15" customHeight="1" x14ac:dyDescent="0.2">
      <c r="A12" s="6">
        <v>28</v>
      </c>
      <c r="B12" s="6" t="s">
        <v>152</v>
      </c>
      <c r="C12" s="103">
        <v>1</v>
      </c>
      <c r="D12" s="103"/>
      <c r="E12" s="103"/>
      <c r="F12" s="103" t="s">
        <v>2152</v>
      </c>
      <c r="G12" s="103"/>
      <c r="H12" s="103"/>
      <c r="I12" s="103"/>
      <c r="J12" s="4" t="s">
        <v>2155</v>
      </c>
      <c r="K12" s="8" t="s">
        <v>2156</v>
      </c>
      <c r="L12" s="14">
        <f>COUNTIF($F$1:$F$71,"2a")</f>
        <v>5</v>
      </c>
    </row>
    <row r="13" spans="1:13" ht="15" customHeight="1" x14ac:dyDescent="0.2">
      <c r="A13" s="6">
        <v>32</v>
      </c>
      <c r="B13" s="6" t="s">
        <v>162</v>
      </c>
      <c r="C13" s="103">
        <v>1</v>
      </c>
      <c r="D13" s="103"/>
      <c r="E13" s="103"/>
      <c r="F13" s="103" t="s">
        <v>2157</v>
      </c>
      <c r="G13" s="103"/>
      <c r="H13" s="103"/>
      <c r="I13" s="103"/>
      <c r="J13" s="4" t="s">
        <v>2169</v>
      </c>
      <c r="K13" s="8" t="s">
        <v>2157</v>
      </c>
      <c r="L13" s="14">
        <f>COUNTIF($F$1:$F$71,"3a")</f>
        <v>5</v>
      </c>
    </row>
    <row r="14" spans="1:13" ht="15" customHeight="1" x14ac:dyDescent="0.2">
      <c r="A14" s="6">
        <v>34</v>
      </c>
      <c r="B14" s="6" t="s">
        <v>173</v>
      </c>
      <c r="C14" s="103">
        <v>1</v>
      </c>
      <c r="D14" s="103">
        <v>2</v>
      </c>
      <c r="E14" s="103"/>
      <c r="F14" s="103" t="s">
        <v>2159</v>
      </c>
      <c r="G14" s="103"/>
      <c r="H14" s="103"/>
      <c r="I14" s="103"/>
      <c r="J14" s="4" t="s">
        <v>2158</v>
      </c>
      <c r="K14" s="8" t="s">
        <v>2159</v>
      </c>
      <c r="L14" s="14">
        <f>COUNTIF($F$1:$F$71,"4a")</f>
        <v>2</v>
      </c>
    </row>
    <row r="15" spans="1:13" ht="15" customHeight="1" x14ac:dyDescent="0.2">
      <c r="A15" s="6">
        <v>35</v>
      </c>
      <c r="B15" s="6" t="s">
        <v>184</v>
      </c>
      <c r="C15" s="103">
        <v>4</v>
      </c>
      <c r="D15" s="103"/>
      <c r="E15" s="103"/>
      <c r="F15" s="103"/>
      <c r="G15" s="103"/>
      <c r="H15" s="103"/>
      <c r="I15" s="103"/>
      <c r="J15" s="4" t="s">
        <v>2160</v>
      </c>
      <c r="K15" s="8" t="s">
        <v>2162</v>
      </c>
      <c r="L15" s="14">
        <f>COUNTIF($F$1:$F$71,"5a")</f>
        <v>1</v>
      </c>
    </row>
    <row r="16" spans="1:13" ht="15" customHeight="1" x14ac:dyDescent="0.2">
      <c r="A16" s="6">
        <v>36</v>
      </c>
      <c r="B16" s="6" t="s">
        <v>195</v>
      </c>
      <c r="C16" s="103">
        <v>1</v>
      </c>
      <c r="D16" s="103"/>
      <c r="E16" s="103"/>
      <c r="F16" s="103" t="s">
        <v>2152</v>
      </c>
      <c r="G16" s="103"/>
      <c r="H16" s="103"/>
      <c r="I16" s="103"/>
    </row>
    <row r="17" spans="1:12" ht="15" customHeight="1" x14ac:dyDescent="0.2">
      <c r="A17" s="6">
        <v>38</v>
      </c>
      <c r="B17" s="6" t="s">
        <v>204</v>
      </c>
      <c r="C17" s="103">
        <v>1</v>
      </c>
      <c r="D17" s="103"/>
      <c r="E17" s="103"/>
      <c r="F17" s="103" t="s">
        <v>2152</v>
      </c>
      <c r="G17" s="103"/>
      <c r="H17" s="103"/>
      <c r="I17" s="103"/>
    </row>
    <row r="18" spans="1:12" ht="15" customHeight="1" x14ac:dyDescent="0.2">
      <c r="A18" s="6">
        <v>40</v>
      </c>
      <c r="B18" s="6" t="s">
        <v>214</v>
      </c>
      <c r="C18" s="103">
        <v>1</v>
      </c>
      <c r="D18" s="103">
        <v>2</v>
      </c>
      <c r="E18" s="103"/>
      <c r="F18" s="103" t="s">
        <v>2162</v>
      </c>
      <c r="G18" s="103" t="s">
        <v>2161</v>
      </c>
      <c r="H18" s="103"/>
      <c r="I18" s="103"/>
      <c r="J18" s="4" t="s">
        <v>2154</v>
      </c>
      <c r="K18" s="8" t="s">
        <v>2153</v>
      </c>
      <c r="L18" s="14">
        <f>COUNTIF($G$1:$G$71,"1b")</f>
        <v>2</v>
      </c>
    </row>
    <row r="19" spans="1:12" ht="15" customHeight="1" x14ac:dyDescent="0.2">
      <c r="A19" s="6">
        <v>41</v>
      </c>
      <c r="B19" s="6" t="s">
        <v>223</v>
      </c>
      <c r="C19" s="103">
        <v>1</v>
      </c>
      <c r="D19" s="103">
        <v>3</v>
      </c>
      <c r="E19" s="103"/>
      <c r="F19" s="103"/>
      <c r="G19" s="103"/>
      <c r="H19" s="103"/>
      <c r="I19" s="103"/>
      <c r="J19" s="4" t="s">
        <v>2160</v>
      </c>
      <c r="K19" s="8" t="s">
        <v>2161</v>
      </c>
      <c r="L19" s="14">
        <f t="shared" ref="L19:L20" si="1">COUNTIF($G$1:$G$71,"1b")</f>
        <v>2</v>
      </c>
    </row>
    <row r="20" spans="1:12" ht="15" customHeight="1" x14ac:dyDescent="0.2">
      <c r="A20" s="6">
        <v>42</v>
      </c>
      <c r="B20" s="6" t="s">
        <v>233</v>
      </c>
      <c r="C20" s="103">
        <v>1</v>
      </c>
      <c r="D20" s="103"/>
      <c r="E20" s="103"/>
      <c r="F20" s="103"/>
      <c r="G20" s="103"/>
      <c r="H20" s="103"/>
      <c r="I20" s="103" t="s">
        <v>2151</v>
      </c>
      <c r="J20" s="4" t="s">
        <v>2167</v>
      </c>
      <c r="K20" s="8" t="s">
        <v>2168</v>
      </c>
      <c r="L20" s="14">
        <f t="shared" si="1"/>
        <v>2</v>
      </c>
    </row>
    <row r="21" spans="1:12" ht="15" customHeight="1" x14ac:dyDescent="0.2">
      <c r="A21" s="6">
        <v>44</v>
      </c>
      <c r="B21" s="6" t="s">
        <v>242</v>
      </c>
      <c r="C21" s="103">
        <v>1</v>
      </c>
      <c r="D21" s="103"/>
      <c r="E21" s="103"/>
      <c r="F21" s="103" t="s">
        <v>2152</v>
      </c>
      <c r="G21" s="103"/>
      <c r="H21" s="103"/>
      <c r="I21" s="103"/>
    </row>
    <row r="22" spans="1:12" ht="15" customHeight="1" x14ac:dyDescent="0.2">
      <c r="A22" s="6">
        <v>46</v>
      </c>
      <c r="B22" s="6" t="s">
        <v>253</v>
      </c>
      <c r="C22" s="103">
        <v>1</v>
      </c>
      <c r="D22" s="103"/>
      <c r="E22" s="103"/>
      <c r="F22" s="103" t="s">
        <v>2156</v>
      </c>
      <c r="G22" s="103" t="s">
        <v>2157</v>
      </c>
      <c r="H22" s="103"/>
      <c r="I22" s="103"/>
    </row>
    <row r="23" spans="1:12" ht="15" customHeight="1" x14ac:dyDescent="0.2">
      <c r="A23" s="6">
        <v>47</v>
      </c>
      <c r="B23" s="6" t="s">
        <v>264</v>
      </c>
      <c r="C23" s="103">
        <v>4</v>
      </c>
      <c r="D23" s="103"/>
      <c r="E23" s="103"/>
      <c r="F23" s="103"/>
      <c r="G23" s="103"/>
      <c r="H23" s="103"/>
      <c r="I23" s="103"/>
    </row>
    <row r="24" spans="1:12" ht="15" customHeight="1" x14ac:dyDescent="0.2">
      <c r="A24" s="6">
        <v>49</v>
      </c>
      <c r="B24" s="6" t="s">
        <v>273</v>
      </c>
      <c r="C24" s="103">
        <v>1</v>
      </c>
      <c r="D24" s="103"/>
      <c r="E24" s="103"/>
      <c r="F24" s="103" t="s">
        <v>2152</v>
      </c>
      <c r="G24" s="103"/>
      <c r="H24" s="103"/>
      <c r="I24" s="103"/>
    </row>
    <row r="25" spans="1:12" ht="15" customHeight="1" x14ac:dyDescent="0.2">
      <c r="A25" s="6">
        <v>50</v>
      </c>
      <c r="B25" s="6" t="s">
        <v>282</v>
      </c>
      <c r="C25" s="103">
        <v>4</v>
      </c>
      <c r="D25" s="103">
        <v>1</v>
      </c>
      <c r="E25" s="103">
        <v>2</v>
      </c>
      <c r="F25" s="103"/>
      <c r="G25" s="103"/>
      <c r="H25" s="103"/>
      <c r="I25" s="103"/>
    </row>
    <row r="26" spans="1:12" ht="15" customHeight="1" x14ac:dyDescent="0.2">
      <c r="A26" s="6">
        <v>51</v>
      </c>
      <c r="B26" s="6" t="s">
        <v>289</v>
      </c>
      <c r="C26" s="103">
        <v>5</v>
      </c>
      <c r="D26" s="103"/>
      <c r="E26" s="103"/>
      <c r="F26" s="103"/>
      <c r="G26" s="103"/>
      <c r="H26" s="103"/>
      <c r="I26" s="103"/>
    </row>
    <row r="27" spans="1:12" ht="15" customHeight="1" x14ac:dyDescent="0.2">
      <c r="A27" s="6">
        <v>53</v>
      </c>
      <c r="B27" s="6" t="s">
        <v>297</v>
      </c>
      <c r="C27" s="103">
        <v>4</v>
      </c>
      <c r="D27" s="103"/>
      <c r="E27" s="103"/>
      <c r="F27" s="103"/>
      <c r="G27" s="103"/>
      <c r="H27" s="103"/>
      <c r="I27" s="103"/>
      <c r="J27" s="4" t="s">
        <v>2163</v>
      </c>
      <c r="K27" s="8" t="s">
        <v>2164</v>
      </c>
      <c r="L27" s="14">
        <f>COUNTIF($G$1:$G$71,"1c")</f>
        <v>0</v>
      </c>
    </row>
    <row r="28" spans="1:12" ht="15" customHeight="1" x14ac:dyDescent="0.2">
      <c r="A28" s="6">
        <v>55</v>
      </c>
      <c r="B28" s="6" t="s">
        <v>307</v>
      </c>
      <c r="C28" s="103">
        <v>1</v>
      </c>
      <c r="D28" s="103">
        <v>3</v>
      </c>
      <c r="E28" s="103"/>
      <c r="F28" s="103" t="s">
        <v>2164</v>
      </c>
      <c r="G28" s="103" t="s">
        <v>2157</v>
      </c>
      <c r="H28" s="103"/>
      <c r="I28" s="103"/>
      <c r="J28" s="4" t="s">
        <v>2165</v>
      </c>
      <c r="K28" s="8" t="s">
        <v>2166</v>
      </c>
      <c r="L28" s="14">
        <f>COUNTIF($G$1:$G$71,"2c")</f>
        <v>2</v>
      </c>
    </row>
    <row r="29" spans="1:12" ht="15" customHeight="1" x14ac:dyDescent="0.2">
      <c r="A29" s="6">
        <v>60</v>
      </c>
      <c r="B29" s="6" t="s">
        <v>317</v>
      </c>
      <c r="C29" s="103">
        <v>5</v>
      </c>
      <c r="D29" s="103"/>
      <c r="E29" s="103"/>
      <c r="F29" s="103"/>
      <c r="G29" s="103"/>
      <c r="H29" s="103"/>
      <c r="I29" s="103" t="s">
        <v>1272</v>
      </c>
    </row>
    <row r="30" spans="1:12" ht="15" customHeight="1" x14ac:dyDescent="0.2">
      <c r="A30" s="6">
        <v>61</v>
      </c>
      <c r="B30" s="6" t="s">
        <v>328</v>
      </c>
      <c r="C30" s="103">
        <v>1</v>
      </c>
      <c r="D30" s="103">
        <v>3</v>
      </c>
      <c r="E30" s="103"/>
      <c r="F30" s="103" t="s">
        <v>2153</v>
      </c>
      <c r="G30" s="103"/>
      <c r="H30" s="103"/>
      <c r="I30" s="103"/>
    </row>
    <row r="31" spans="1:12" ht="15" customHeight="1" x14ac:dyDescent="0.2">
      <c r="A31" s="6">
        <v>62</v>
      </c>
      <c r="B31" s="6" t="s">
        <v>338</v>
      </c>
      <c r="C31" s="103">
        <v>4</v>
      </c>
      <c r="D31" s="103"/>
      <c r="E31" s="103"/>
      <c r="F31" s="103" t="s">
        <v>2156</v>
      </c>
      <c r="G31" s="103" t="s">
        <v>2166</v>
      </c>
      <c r="H31" s="103"/>
      <c r="I31" s="103"/>
    </row>
    <row r="32" spans="1:12" ht="15" customHeight="1" x14ac:dyDescent="0.2">
      <c r="A32" s="6">
        <v>65</v>
      </c>
      <c r="B32" s="6" t="s">
        <v>348</v>
      </c>
      <c r="C32" s="103">
        <v>4</v>
      </c>
      <c r="D32" s="103">
        <v>3</v>
      </c>
      <c r="E32" s="103">
        <v>1</v>
      </c>
      <c r="F32" s="103" t="s">
        <v>2156</v>
      </c>
      <c r="G32" s="103" t="s">
        <v>2166</v>
      </c>
      <c r="H32" s="103"/>
      <c r="I32" s="103"/>
    </row>
    <row r="33" spans="1:9" ht="15" customHeight="1" x14ac:dyDescent="0.2">
      <c r="A33" s="6">
        <v>70</v>
      </c>
      <c r="B33" s="6" t="s">
        <v>356</v>
      </c>
      <c r="C33" s="103">
        <v>3</v>
      </c>
      <c r="D33" s="103"/>
      <c r="E33" s="103"/>
      <c r="F33" s="103"/>
      <c r="G33" s="103"/>
      <c r="H33" s="103"/>
      <c r="I33" s="103"/>
    </row>
    <row r="34" spans="1:9" ht="15" customHeight="1" x14ac:dyDescent="0.2">
      <c r="A34" s="6">
        <v>71</v>
      </c>
      <c r="B34" s="6" t="s">
        <v>367</v>
      </c>
      <c r="C34" s="103">
        <v>1</v>
      </c>
      <c r="D34" s="103"/>
      <c r="E34" s="103"/>
      <c r="F34" s="103"/>
      <c r="G34" s="103"/>
      <c r="H34" s="103"/>
      <c r="I34" s="103"/>
    </row>
    <row r="35" spans="1:9" ht="15" customHeight="1" x14ac:dyDescent="0.2">
      <c r="A35" s="6">
        <v>72</v>
      </c>
      <c r="B35" s="6" t="s">
        <v>376</v>
      </c>
      <c r="C35" s="103">
        <v>4</v>
      </c>
      <c r="D35" s="103">
        <v>1</v>
      </c>
      <c r="E35" s="103">
        <v>3</v>
      </c>
      <c r="F35" s="103" t="s">
        <v>2166</v>
      </c>
      <c r="G35" s="103" t="s">
        <v>2156</v>
      </c>
      <c r="H35" s="103"/>
      <c r="I35" s="103"/>
    </row>
    <row r="36" spans="1:9" ht="15" customHeight="1" x14ac:dyDescent="0.2">
      <c r="A36" s="6">
        <v>74</v>
      </c>
      <c r="B36" s="6" t="s">
        <v>387</v>
      </c>
      <c r="C36" s="103">
        <v>5</v>
      </c>
      <c r="D36" s="103"/>
      <c r="E36" s="103"/>
      <c r="F36" s="103"/>
      <c r="G36" s="103"/>
      <c r="H36" s="103"/>
      <c r="I36" s="103"/>
    </row>
    <row r="37" spans="1:9" ht="15" customHeight="1" x14ac:dyDescent="0.2">
      <c r="A37" s="6">
        <v>75</v>
      </c>
      <c r="B37" s="6" t="s">
        <v>396</v>
      </c>
      <c r="C37" s="103">
        <v>1</v>
      </c>
      <c r="D37" s="103"/>
      <c r="E37" s="103"/>
      <c r="F37" s="103" t="s">
        <v>2152</v>
      </c>
      <c r="G37" s="103"/>
      <c r="H37" s="103"/>
      <c r="I37" s="103"/>
    </row>
    <row r="38" spans="1:9" ht="15" customHeight="1" x14ac:dyDescent="0.2">
      <c r="A38" s="6">
        <v>76</v>
      </c>
      <c r="B38" s="6" t="s">
        <v>406</v>
      </c>
      <c r="C38" s="103">
        <v>1</v>
      </c>
      <c r="D38" s="103">
        <v>2</v>
      </c>
      <c r="E38" s="103"/>
      <c r="F38" s="103" t="s">
        <v>2153</v>
      </c>
      <c r="G38" s="103" t="s">
        <v>2157</v>
      </c>
      <c r="H38" s="103"/>
      <c r="I38" s="103"/>
    </row>
    <row r="39" spans="1:9" ht="15" customHeight="1" x14ac:dyDescent="0.2">
      <c r="A39" s="6">
        <v>78</v>
      </c>
      <c r="B39" s="6" t="s">
        <v>412</v>
      </c>
      <c r="C39" s="103">
        <v>1</v>
      </c>
      <c r="D39" s="103"/>
      <c r="E39" s="103"/>
      <c r="F39" s="103"/>
      <c r="G39" s="103"/>
      <c r="H39" s="103"/>
      <c r="I39" s="103"/>
    </row>
    <row r="40" spans="1:9" ht="15" customHeight="1" x14ac:dyDescent="0.2">
      <c r="A40" s="6">
        <v>79</v>
      </c>
      <c r="B40" s="6" t="s">
        <v>424</v>
      </c>
      <c r="C40" s="103">
        <v>1</v>
      </c>
      <c r="D40" s="103"/>
      <c r="E40" s="103"/>
      <c r="F40" s="103" t="s">
        <v>2157</v>
      </c>
      <c r="G40" s="103"/>
      <c r="H40" s="103"/>
      <c r="I40" s="103"/>
    </row>
    <row r="41" spans="1:9" ht="15" customHeight="1" x14ac:dyDescent="0.2">
      <c r="A41" s="6">
        <v>80</v>
      </c>
      <c r="B41" s="6" t="s">
        <v>431</v>
      </c>
      <c r="C41" s="103">
        <v>3</v>
      </c>
      <c r="D41" s="103"/>
      <c r="E41" s="103"/>
      <c r="F41" s="103"/>
      <c r="G41" s="103"/>
      <c r="H41" s="103"/>
      <c r="I41" s="103"/>
    </row>
    <row r="42" spans="1:9" ht="15" customHeight="1" x14ac:dyDescent="0.2">
      <c r="A42" s="6">
        <v>87</v>
      </c>
      <c r="B42" s="6" t="s">
        <v>441</v>
      </c>
      <c r="C42" s="103">
        <v>1</v>
      </c>
      <c r="D42" s="103"/>
      <c r="E42" s="103"/>
      <c r="F42" s="103" t="s">
        <v>2156</v>
      </c>
      <c r="G42" s="103"/>
      <c r="H42" s="103"/>
      <c r="I42" s="103"/>
    </row>
    <row r="43" spans="1:9" ht="15" customHeight="1" x14ac:dyDescent="0.2">
      <c r="A43" s="6">
        <v>89</v>
      </c>
      <c r="B43" s="6" t="s">
        <v>453</v>
      </c>
      <c r="C43" s="103">
        <v>1</v>
      </c>
      <c r="D43" s="103">
        <v>3</v>
      </c>
      <c r="E43" s="103"/>
      <c r="F43" s="103"/>
      <c r="G43" s="103"/>
      <c r="H43" s="103"/>
      <c r="I43" s="103"/>
    </row>
    <row r="44" spans="1:9" ht="15" customHeight="1" x14ac:dyDescent="0.2">
      <c r="A44" s="6">
        <v>90</v>
      </c>
      <c r="B44" s="6" t="s">
        <v>463</v>
      </c>
      <c r="C44" s="103"/>
      <c r="D44" s="103"/>
      <c r="E44" s="103"/>
      <c r="F44" s="103"/>
      <c r="G44" s="103"/>
      <c r="H44" s="103"/>
      <c r="I44" s="103"/>
    </row>
    <row r="45" spans="1:9" ht="15" customHeight="1" x14ac:dyDescent="0.2">
      <c r="A45" s="6">
        <v>91</v>
      </c>
      <c r="B45" s="6" t="s">
        <v>470</v>
      </c>
      <c r="C45" s="103">
        <v>1</v>
      </c>
      <c r="D45" s="103"/>
      <c r="E45" s="103"/>
      <c r="F45" s="103"/>
      <c r="G45" s="103"/>
      <c r="H45" s="103"/>
      <c r="I45" s="103"/>
    </row>
    <row r="46" spans="1:9" ht="15" customHeight="1" x14ac:dyDescent="0.2">
      <c r="A46" s="6">
        <v>92</v>
      </c>
      <c r="B46" s="6" t="s">
        <v>478</v>
      </c>
      <c r="C46" s="103">
        <v>1</v>
      </c>
      <c r="D46" s="103"/>
      <c r="E46" s="103"/>
      <c r="F46" s="103" t="s">
        <v>2152</v>
      </c>
      <c r="G46" s="103"/>
      <c r="H46" s="103"/>
      <c r="I46" s="103"/>
    </row>
    <row r="47" spans="1:9" ht="15" customHeight="1" x14ac:dyDescent="0.2">
      <c r="A47" s="6">
        <v>93</v>
      </c>
      <c r="B47" s="6" t="s">
        <v>488</v>
      </c>
      <c r="C47" s="103">
        <v>1</v>
      </c>
      <c r="D47" s="103">
        <v>2</v>
      </c>
      <c r="E47" s="103"/>
      <c r="F47" s="103" t="s">
        <v>2152</v>
      </c>
      <c r="G47" s="103"/>
      <c r="H47" s="103"/>
      <c r="I47" s="103"/>
    </row>
    <row r="48" spans="1:9" ht="15" customHeight="1" x14ac:dyDescent="0.2">
      <c r="A48" s="6">
        <v>95</v>
      </c>
      <c r="B48" s="6" t="s">
        <v>499</v>
      </c>
      <c r="C48" s="103">
        <v>1</v>
      </c>
      <c r="D48" s="103"/>
      <c r="E48" s="103"/>
      <c r="F48" s="103" t="s">
        <v>2152</v>
      </c>
      <c r="G48" s="103"/>
      <c r="H48" s="103"/>
      <c r="I48" s="103"/>
    </row>
    <row r="49" spans="1:9" ht="15" customHeight="1" x14ac:dyDescent="0.2">
      <c r="A49" s="6">
        <v>96</v>
      </c>
      <c r="B49" s="6" t="s">
        <v>509</v>
      </c>
      <c r="C49" s="103">
        <v>1</v>
      </c>
      <c r="D49" s="103">
        <v>2</v>
      </c>
      <c r="E49" s="103"/>
      <c r="F49" s="103"/>
      <c r="G49" s="103"/>
      <c r="H49" s="103"/>
      <c r="I49" s="103"/>
    </row>
    <row r="50" spans="1:9" ht="15" customHeight="1" x14ac:dyDescent="0.2">
      <c r="A50" s="6">
        <v>100</v>
      </c>
      <c r="B50" s="6" t="s">
        <v>518</v>
      </c>
      <c r="C50" s="103">
        <v>1</v>
      </c>
      <c r="D50" s="103">
        <v>2</v>
      </c>
      <c r="E50" s="103"/>
      <c r="F50" s="103" t="s">
        <v>2152</v>
      </c>
      <c r="G50" s="103" t="s">
        <v>2168</v>
      </c>
      <c r="H50" s="103"/>
      <c r="I50" s="103"/>
    </row>
    <row r="51" spans="1:9" ht="15" customHeight="1" x14ac:dyDescent="0.2">
      <c r="A51" s="6">
        <v>104</v>
      </c>
      <c r="B51" s="6" t="s">
        <v>525</v>
      </c>
      <c r="C51" s="103">
        <v>1</v>
      </c>
      <c r="D51" s="103">
        <v>3</v>
      </c>
      <c r="E51" s="103"/>
      <c r="F51" s="103"/>
      <c r="G51" s="103"/>
      <c r="H51" s="103"/>
      <c r="I51" s="103"/>
    </row>
    <row r="52" spans="1:9" ht="15" customHeight="1" x14ac:dyDescent="0.2">
      <c r="A52" s="6">
        <v>107</v>
      </c>
      <c r="B52" s="6" t="s">
        <v>534</v>
      </c>
      <c r="C52" s="103">
        <v>1</v>
      </c>
      <c r="D52" s="103">
        <v>3</v>
      </c>
      <c r="E52" s="103"/>
      <c r="F52" s="103"/>
      <c r="G52" s="103"/>
      <c r="H52" s="103"/>
      <c r="I52" s="103"/>
    </row>
    <row r="53" spans="1:9" ht="15" customHeight="1" x14ac:dyDescent="0.2">
      <c r="A53" s="6">
        <v>109</v>
      </c>
      <c r="B53" s="6" t="s">
        <v>545</v>
      </c>
      <c r="C53" s="103">
        <v>1</v>
      </c>
      <c r="D53" s="103"/>
      <c r="E53" s="103"/>
      <c r="F53" s="103"/>
      <c r="G53" s="103"/>
      <c r="H53" s="103"/>
      <c r="I53" s="103"/>
    </row>
    <row r="54" spans="1:9" ht="15" customHeight="1" x14ac:dyDescent="0.2">
      <c r="A54" s="6">
        <v>110</v>
      </c>
      <c r="B54" s="6" t="s">
        <v>554</v>
      </c>
      <c r="C54" s="103">
        <v>4</v>
      </c>
      <c r="D54" s="103"/>
      <c r="E54" s="103"/>
      <c r="F54" s="103"/>
      <c r="G54" s="103"/>
      <c r="H54" s="103"/>
      <c r="I54" s="103"/>
    </row>
    <row r="55" spans="1:9" ht="15" customHeight="1" x14ac:dyDescent="0.2">
      <c r="A55" s="6">
        <v>112</v>
      </c>
      <c r="B55" s="6" t="s">
        <v>562</v>
      </c>
      <c r="C55" s="103">
        <v>1</v>
      </c>
      <c r="D55" s="103"/>
      <c r="E55" s="103"/>
      <c r="F55" s="103" t="s">
        <v>2152</v>
      </c>
      <c r="G55" s="103"/>
      <c r="H55" s="103"/>
      <c r="I55" s="103"/>
    </row>
    <row r="56" spans="1:9" ht="15" customHeight="1" x14ac:dyDescent="0.2">
      <c r="A56" s="6">
        <v>118</v>
      </c>
      <c r="B56" s="6" t="s">
        <v>572</v>
      </c>
      <c r="C56" s="103">
        <v>1</v>
      </c>
      <c r="D56" s="103">
        <v>2</v>
      </c>
      <c r="E56" s="103"/>
      <c r="F56" s="103" t="s">
        <v>2157</v>
      </c>
      <c r="G56" s="103"/>
      <c r="H56" s="103"/>
      <c r="I56" s="103"/>
    </row>
    <row r="57" spans="1:9" ht="15" customHeight="1" x14ac:dyDescent="0.2">
      <c r="A57" s="6">
        <v>119</v>
      </c>
      <c r="B57" s="6" t="s">
        <v>470</v>
      </c>
      <c r="C57" s="103">
        <v>1</v>
      </c>
      <c r="D57" s="103"/>
      <c r="E57" s="103"/>
      <c r="F57" s="103"/>
      <c r="G57" s="103"/>
      <c r="H57" s="103"/>
      <c r="I57" s="103"/>
    </row>
    <row r="58" spans="1:9" ht="15" customHeight="1" x14ac:dyDescent="0.2">
      <c r="A58" s="6">
        <v>120</v>
      </c>
      <c r="B58" s="6" t="s">
        <v>79</v>
      </c>
      <c r="C58" s="103">
        <v>1</v>
      </c>
      <c r="D58" s="103"/>
      <c r="E58" s="103"/>
      <c r="F58" s="103"/>
      <c r="G58" s="103"/>
      <c r="H58" s="103"/>
      <c r="I58" s="103"/>
    </row>
    <row r="59" spans="1:9" ht="15" customHeight="1" x14ac:dyDescent="0.2">
      <c r="A59" s="6">
        <v>121</v>
      </c>
      <c r="B59" s="6" t="s">
        <v>594</v>
      </c>
      <c r="C59" s="103">
        <v>1</v>
      </c>
      <c r="D59" s="103"/>
      <c r="E59" s="103"/>
      <c r="F59" s="103" t="s">
        <v>2152</v>
      </c>
      <c r="G59" s="103"/>
      <c r="H59" s="103"/>
      <c r="I59" s="103"/>
    </row>
    <row r="60" spans="1:9" ht="15" customHeight="1" x14ac:dyDescent="0.2">
      <c r="A60" s="6">
        <v>122</v>
      </c>
      <c r="B60" s="6" t="s">
        <v>601</v>
      </c>
      <c r="C60" s="103">
        <v>1</v>
      </c>
      <c r="D60" s="103">
        <v>3</v>
      </c>
      <c r="E60" s="103"/>
      <c r="F60" s="103"/>
      <c r="G60" s="103"/>
      <c r="H60" s="103"/>
      <c r="I60" s="103"/>
    </row>
    <row r="61" spans="1:9" ht="15" customHeight="1" x14ac:dyDescent="0.2">
      <c r="A61" s="6">
        <v>127</v>
      </c>
      <c r="B61" s="6" t="s">
        <v>611</v>
      </c>
      <c r="C61" s="103">
        <v>4</v>
      </c>
      <c r="D61" s="103"/>
      <c r="E61" s="103"/>
      <c r="F61" s="103"/>
      <c r="G61" s="103"/>
      <c r="H61" s="103"/>
      <c r="I61" s="103"/>
    </row>
    <row r="62" spans="1:9" ht="15" customHeight="1" x14ac:dyDescent="0.2">
      <c r="A62" s="6">
        <v>128</v>
      </c>
      <c r="B62" s="6" t="s">
        <v>618</v>
      </c>
      <c r="C62" s="103">
        <v>1</v>
      </c>
      <c r="D62" s="103"/>
      <c r="E62" s="103"/>
      <c r="F62" s="103" t="s">
        <v>2152</v>
      </c>
      <c r="G62" s="103"/>
      <c r="H62" s="103"/>
      <c r="I62" s="103"/>
    </row>
    <row r="63" spans="1:9" ht="15" customHeight="1" x14ac:dyDescent="0.2">
      <c r="A63" s="6">
        <v>132</v>
      </c>
      <c r="B63" s="6" t="s">
        <v>627</v>
      </c>
      <c r="C63" s="103">
        <v>1</v>
      </c>
      <c r="D63" s="103"/>
      <c r="E63" s="103"/>
      <c r="F63" s="103" t="s">
        <v>2157</v>
      </c>
      <c r="G63" s="103"/>
      <c r="H63" s="103"/>
      <c r="I63" s="103"/>
    </row>
    <row r="64" spans="1:9" ht="15" customHeight="1" x14ac:dyDescent="0.2">
      <c r="A64" s="6">
        <v>135</v>
      </c>
      <c r="B64" s="6" t="s">
        <v>637</v>
      </c>
      <c r="C64" s="103">
        <v>1</v>
      </c>
      <c r="D64" s="103">
        <v>3</v>
      </c>
      <c r="E64" s="103"/>
      <c r="F64" s="103"/>
      <c r="G64" s="103"/>
      <c r="H64" s="103"/>
      <c r="I64" s="103"/>
    </row>
    <row r="65" spans="1:9" ht="15" customHeight="1" x14ac:dyDescent="0.2">
      <c r="A65" s="6">
        <v>136</v>
      </c>
      <c r="B65" s="6" t="s">
        <v>646</v>
      </c>
      <c r="C65" s="103">
        <v>1</v>
      </c>
      <c r="D65" s="103"/>
      <c r="E65" s="103"/>
      <c r="F65" s="103"/>
      <c r="G65" s="103"/>
      <c r="H65" s="103"/>
      <c r="I65" s="103"/>
    </row>
    <row r="66" spans="1:9" ht="15" customHeight="1" x14ac:dyDescent="0.2">
      <c r="A66" s="6">
        <v>138</v>
      </c>
      <c r="B66" s="6" t="s">
        <v>653</v>
      </c>
      <c r="C66" s="103">
        <v>1</v>
      </c>
      <c r="D66" s="103"/>
      <c r="E66" s="103"/>
      <c r="F66" s="103" t="s">
        <v>2157</v>
      </c>
      <c r="G66" s="103"/>
      <c r="H66" s="103"/>
      <c r="I66" s="103"/>
    </row>
    <row r="67" spans="1:9" ht="15" customHeight="1" x14ac:dyDescent="0.2">
      <c r="A67" s="6">
        <v>139</v>
      </c>
      <c r="B67" s="6" t="s">
        <v>664</v>
      </c>
      <c r="C67" s="103">
        <v>1</v>
      </c>
      <c r="D67" s="103"/>
      <c r="E67" s="103"/>
      <c r="F67" s="103"/>
      <c r="G67" s="103"/>
      <c r="H67" s="103"/>
      <c r="I67" s="103"/>
    </row>
    <row r="68" spans="1:9" ht="15" customHeight="1" x14ac:dyDescent="0.2">
      <c r="A68" s="6">
        <v>140</v>
      </c>
      <c r="B68" s="6" t="s">
        <v>674</v>
      </c>
      <c r="C68" s="103">
        <v>1</v>
      </c>
      <c r="D68" s="103"/>
      <c r="E68" s="103"/>
      <c r="F68" s="103" t="s">
        <v>2159</v>
      </c>
      <c r="G68" s="103" t="s">
        <v>2152</v>
      </c>
      <c r="H68" s="103"/>
      <c r="I68" s="103"/>
    </row>
    <row r="69" spans="1:9" ht="15" customHeight="1" x14ac:dyDescent="0.2">
      <c r="A69" s="6">
        <v>148</v>
      </c>
      <c r="B69" s="6" t="s">
        <v>683</v>
      </c>
      <c r="C69" s="103">
        <v>1</v>
      </c>
      <c r="D69" s="103">
        <v>2</v>
      </c>
      <c r="E69" s="103"/>
      <c r="F69" s="103"/>
      <c r="G69" s="103"/>
      <c r="H69" s="103"/>
      <c r="I69" s="103"/>
    </row>
    <row r="70" spans="1:9" ht="15" customHeight="1" x14ac:dyDescent="0.2">
      <c r="A70" s="6">
        <v>149</v>
      </c>
      <c r="B70" s="6" t="s">
        <v>431</v>
      </c>
      <c r="C70" s="103">
        <v>3</v>
      </c>
      <c r="D70" s="103"/>
      <c r="E70" s="103"/>
      <c r="F70" s="103"/>
      <c r="G70" s="103"/>
      <c r="H70" s="103"/>
      <c r="I70" s="103"/>
    </row>
    <row r="71" spans="1:9" ht="15" customHeight="1" x14ac:dyDescent="0.2">
      <c r="A71" s="6">
        <v>150</v>
      </c>
      <c r="B71" s="6" t="s">
        <v>698</v>
      </c>
      <c r="C71" s="103">
        <v>1</v>
      </c>
      <c r="D71" s="103"/>
      <c r="E71" s="103"/>
      <c r="F71" s="103" t="s">
        <v>2152</v>
      </c>
      <c r="G71" s="103"/>
      <c r="H71" s="103"/>
      <c r="I71" s="103"/>
    </row>
    <row r="72" spans="1:9" ht="15" customHeight="1" x14ac:dyDescent="0.2">
      <c r="A72" s="6">
        <v>151</v>
      </c>
      <c r="B72" s="6" t="s">
        <v>710</v>
      </c>
      <c r="C72" s="103">
        <v>1</v>
      </c>
      <c r="D72" s="103"/>
      <c r="E72" s="103"/>
      <c r="F72" s="103"/>
      <c r="G72" s="103"/>
      <c r="H72" s="103"/>
      <c r="I72" s="103"/>
    </row>
    <row r="73" spans="1:9" ht="15" customHeight="1" x14ac:dyDescent="0.2">
      <c r="A73" s="6">
        <v>152</v>
      </c>
      <c r="B73" s="6" t="s">
        <v>719</v>
      </c>
      <c r="C73" s="103">
        <v>1</v>
      </c>
      <c r="D73" s="103">
        <v>2</v>
      </c>
      <c r="E73" s="103">
        <v>3</v>
      </c>
      <c r="F73" s="103"/>
      <c r="G73" s="103"/>
      <c r="H73" s="103"/>
      <c r="I73" s="103"/>
    </row>
    <row r="74" spans="1:9" ht="15" customHeight="1" x14ac:dyDescent="0.2">
      <c r="A74" s="6">
        <v>153</v>
      </c>
      <c r="B74" s="6" t="s">
        <v>728</v>
      </c>
      <c r="C74" s="103">
        <v>1</v>
      </c>
      <c r="D74" s="103"/>
      <c r="E74" s="103"/>
      <c r="F74" s="103"/>
      <c r="G74" s="103"/>
      <c r="H74" s="103"/>
      <c r="I74" s="103"/>
    </row>
    <row r="75" spans="1:9" ht="15" customHeight="1" x14ac:dyDescent="0.2">
      <c r="A75" s="6">
        <v>157</v>
      </c>
      <c r="B75" s="6" t="s">
        <v>738</v>
      </c>
      <c r="C75" s="103">
        <v>1</v>
      </c>
      <c r="D75" s="103">
        <v>3</v>
      </c>
      <c r="E75" s="103"/>
      <c r="F75" s="103"/>
      <c r="G75" s="103"/>
      <c r="H75" s="103"/>
      <c r="I75" s="103"/>
    </row>
    <row r="76" spans="1:9" ht="15" customHeight="1" x14ac:dyDescent="0.2">
      <c r="A76" s="6">
        <v>156</v>
      </c>
      <c r="B76" s="6" t="s">
        <v>749</v>
      </c>
      <c r="C76" s="103">
        <v>5</v>
      </c>
      <c r="D76" s="103"/>
      <c r="E76" s="103"/>
      <c r="F76" s="103"/>
      <c r="G76" s="103"/>
      <c r="H76" s="103"/>
      <c r="I76" s="103"/>
    </row>
    <row r="77" spans="1:9" ht="15" customHeight="1" x14ac:dyDescent="0.2">
      <c r="A77" s="6">
        <v>162</v>
      </c>
      <c r="B77" s="6" t="s">
        <v>759</v>
      </c>
      <c r="C77" s="103">
        <v>5</v>
      </c>
      <c r="D77" s="103"/>
      <c r="E77" s="103"/>
      <c r="F77" s="103"/>
      <c r="G77" s="103"/>
      <c r="H77" s="103"/>
      <c r="I77" s="103"/>
    </row>
    <row r="78" spans="1:9" ht="15" customHeight="1" x14ac:dyDescent="0.2">
      <c r="A78" s="6">
        <v>164</v>
      </c>
      <c r="B78" s="6" t="s">
        <v>769</v>
      </c>
      <c r="C78" s="103">
        <v>1</v>
      </c>
      <c r="D78" s="103">
        <v>3</v>
      </c>
      <c r="E78" s="103"/>
      <c r="F78" s="103"/>
      <c r="G78" s="103"/>
      <c r="H78" s="103"/>
      <c r="I78" s="103"/>
    </row>
    <row r="79" spans="1:9" ht="15" customHeight="1" x14ac:dyDescent="0.2">
      <c r="A79" s="6">
        <v>166</v>
      </c>
      <c r="B79" s="6" t="s">
        <v>771</v>
      </c>
      <c r="C79" s="103">
        <v>5</v>
      </c>
      <c r="D79" s="103"/>
      <c r="E79" s="103"/>
      <c r="F79" s="103"/>
      <c r="G79" s="103"/>
      <c r="H79" s="103"/>
      <c r="I79" s="103"/>
    </row>
    <row r="80" spans="1:9" ht="15" customHeight="1" x14ac:dyDescent="0.2">
      <c r="A80" s="6">
        <v>170</v>
      </c>
      <c r="B80" s="6" t="s">
        <v>79</v>
      </c>
      <c r="C80" s="103">
        <v>1</v>
      </c>
      <c r="D80" s="103"/>
      <c r="E80" s="103"/>
      <c r="F80" s="103"/>
      <c r="G80" s="103"/>
      <c r="H80" s="103"/>
      <c r="I80" s="103"/>
    </row>
    <row r="81" spans="1:9" ht="15" customHeight="1" x14ac:dyDescent="0.2">
      <c r="A81" s="6">
        <v>173</v>
      </c>
      <c r="B81" s="6" t="s">
        <v>793</v>
      </c>
      <c r="C81" s="103">
        <v>1</v>
      </c>
      <c r="D81" s="103">
        <v>2</v>
      </c>
      <c r="E81" s="103"/>
      <c r="F81" s="103"/>
      <c r="G81" s="103"/>
      <c r="H81" s="103"/>
      <c r="I81" s="103"/>
    </row>
    <row r="82" spans="1:9" ht="15" customHeight="1" x14ac:dyDescent="0.2">
      <c r="A82" s="6">
        <v>175</v>
      </c>
      <c r="B82" s="6" t="s">
        <v>802</v>
      </c>
      <c r="C82" s="103">
        <v>1</v>
      </c>
      <c r="D82" s="103">
        <v>3</v>
      </c>
      <c r="E82" s="103"/>
      <c r="F82" s="103"/>
      <c r="G82" s="103"/>
      <c r="H82" s="103"/>
      <c r="I82" s="103"/>
    </row>
    <row r="83" spans="1:9" ht="15" customHeight="1" x14ac:dyDescent="0.2">
      <c r="A83" s="6">
        <v>178</v>
      </c>
      <c r="B83" s="6" t="s">
        <v>811</v>
      </c>
      <c r="C83" s="103">
        <v>1</v>
      </c>
      <c r="D83" s="103">
        <v>3</v>
      </c>
      <c r="E83" s="103"/>
      <c r="F83" s="103"/>
      <c r="G83" s="103"/>
      <c r="H83" s="103"/>
      <c r="I83" s="103"/>
    </row>
    <row r="84" spans="1:9" ht="15" customHeight="1" x14ac:dyDescent="0.2">
      <c r="A84" s="6">
        <v>183</v>
      </c>
      <c r="B84" s="6" t="s">
        <v>820</v>
      </c>
      <c r="C84" s="103">
        <v>1</v>
      </c>
      <c r="D84" s="103"/>
      <c r="E84" s="103"/>
      <c r="F84" s="103"/>
      <c r="G84" s="103"/>
      <c r="H84" s="103"/>
      <c r="I84" s="103"/>
    </row>
    <row r="85" spans="1:9" ht="15" customHeight="1" x14ac:dyDescent="0.2">
      <c r="A85" s="6">
        <v>185</v>
      </c>
      <c r="B85" s="6" t="s">
        <v>830</v>
      </c>
      <c r="C85" s="103">
        <v>1</v>
      </c>
      <c r="D85" s="103">
        <v>3</v>
      </c>
      <c r="E85" s="103"/>
      <c r="F85" s="103"/>
      <c r="G85" s="103"/>
      <c r="H85" s="103"/>
      <c r="I85" s="103"/>
    </row>
    <row r="86" spans="1:9" ht="15" customHeight="1" x14ac:dyDescent="0.2">
      <c r="A86" s="6">
        <v>186</v>
      </c>
      <c r="B86" s="6" t="s">
        <v>837</v>
      </c>
      <c r="C86" s="103">
        <v>6</v>
      </c>
      <c r="D86" s="103"/>
      <c r="E86" s="103"/>
      <c r="F86" s="103"/>
      <c r="G86" s="103"/>
      <c r="H86" s="103"/>
      <c r="I86" s="103"/>
    </row>
    <row r="87" spans="1:9" ht="15" customHeight="1" x14ac:dyDescent="0.2">
      <c r="A87" s="6">
        <v>189</v>
      </c>
      <c r="B87" s="6" t="s">
        <v>844</v>
      </c>
      <c r="C87" s="103">
        <v>1</v>
      </c>
      <c r="D87" s="103"/>
      <c r="E87" s="103"/>
      <c r="F87" s="103"/>
      <c r="G87" s="103"/>
      <c r="H87" s="103"/>
      <c r="I87" s="103"/>
    </row>
    <row r="88" spans="1:9" ht="15" customHeight="1" x14ac:dyDescent="0.2">
      <c r="A88" s="6">
        <v>190</v>
      </c>
      <c r="B88" s="6" t="s">
        <v>852</v>
      </c>
      <c r="C88" s="103">
        <v>1</v>
      </c>
      <c r="D88" s="103"/>
      <c r="E88" s="103"/>
      <c r="F88" s="103"/>
      <c r="G88" s="103"/>
      <c r="H88" s="103"/>
      <c r="I88" s="103"/>
    </row>
    <row r="89" spans="1:9" ht="15" customHeight="1" x14ac:dyDescent="0.2">
      <c r="A89" s="6">
        <v>192</v>
      </c>
      <c r="B89" s="6" t="s">
        <v>864</v>
      </c>
      <c r="C89" s="103">
        <v>1</v>
      </c>
      <c r="D89" s="103"/>
      <c r="E89" s="103"/>
      <c r="F89" s="103"/>
      <c r="G89" s="103"/>
      <c r="H89" s="103"/>
      <c r="I89" s="103"/>
    </row>
    <row r="90" spans="1:9" ht="15" customHeight="1" x14ac:dyDescent="0.2">
      <c r="A90" s="6">
        <v>193</v>
      </c>
      <c r="B90" s="6" t="s">
        <v>872</v>
      </c>
      <c r="C90" s="103">
        <v>1</v>
      </c>
      <c r="D90" s="103"/>
      <c r="E90" s="103"/>
      <c r="F90" s="103"/>
      <c r="G90" s="103"/>
      <c r="H90" s="103"/>
      <c r="I90" s="103"/>
    </row>
    <row r="91" spans="1:9" ht="15" customHeight="1" x14ac:dyDescent="0.2">
      <c r="A91" s="6">
        <v>196</v>
      </c>
      <c r="B91" s="6" t="s">
        <v>877</v>
      </c>
      <c r="C91" s="103"/>
      <c r="D91" s="103"/>
      <c r="E91" s="103"/>
      <c r="F91" s="103"/>
      <c r="G91" s="103"/>
      <c r="H91" s="103"/>
      <c r="I91" s="103"/>
    </row>
    <row r="92" spans="1:9" ht="15" customHeight="1" x14ac:dyDescent="0.2">
      <c r="A92" s="6">
        <v>197</v>
      </c>
      <c r="B92" s="6" t="s">
        <v>888</v>
      </c>
      <c r="C92" s="103">
        <v>1</v>
      </c>
      <c r="D92" s="103">
        <v>3</v>
      </c>
      <c r="E92" s="103"/>
      <c r="F92" s="103"/>
      <c r="G92" s="103"/>
      <c r="H92" s="103"/>
      <c r="I92" s="103"/>
    </row>
    <row r="93" spans="1:9" ht="15" customHeight="1" x14ac:dyDescent="0.2">
      <c r="A93" s="6">
        <v>200</v>
      </c>
      <c r="B93" s="6" t="s">
        <v>769</v>
      </c>
      <c r="C93" s="103">
        <v>1</v>
      </c>
      <c r="D93" s="103">
        <v>3</v>
      </c>
      <c r="E93" s="103"/>
      <c r="F93" s="103"/>
      <c r="G93" s="103"/>
      <c r="H93" s="103"/>
      <c r="I93" s="103"/>
    </row>
    <row r="94" spans="1:9" ht="15" customHeight="1" x14ac:dyDescent="0.2">
      <c r="A94" s="6">
        <v>203</v>
      </c>
      <c r="B94" s="6" t="s">
        <v>900</v>
      </c>
      <c r="C94" s="103">
        <v>1</v>
      </c>
      <c r="D94" s="103">
        <v>2</v>
      </c>
      <c r="E94" s="103"/>
      <c r="F94" s="103"/>
      <c r="G94" s="103"/>
      <c r="H94" s="103"/>
      <c r="I94" s="103"/>
    </row>
    <row r="95" spans="1:9" ht="15" customHeight="1" x14ac:dyDescent="0.2">
      <c r="A95" s="6">
        <v>204</v>
      </c>
      <c r="B95" s="6" t="s">
        <v>910</v>
      </c>
      <c r="C95" s="103">
        <v>2</v>
      </c>
      <c r="D95" s="103">
        <v>3</v>
      </c>
      <c r="E95" s="103"/>
      <c r="F95" s="103"/>
      <c r="G95" s="103"/>
      <c r="H95" s="103"/>
      <c r="I95" s="103"/>
    </row>
    <row r="96" spans="1:9" ht="15" customHeight="1" x14ac:dyDescent="0.2">
      <c r="A96" s="6">
        <v>207</v>
      </c>
      <c r="B96" s="6" t="s">
        <v>916</v>
      </c>
      <c r="C96" s="103">
        <v>1</v>
      </c>
      <c r="D96" s="103"/>
      <c r="E96" s="103"/>
      <c r="F96" s="103"/>
      <c r="G96" s="103"/>
      <c r="H96" s="103"/>
      <c r="I96" s="103"/>
    </row>
    <row r="97" spans="1:9" ht="15" customHeight="1" x14ac:dyDescent="0.2">
      <c r="A97" s="6">
        <v>208</v>
      </c>
      <c r="B97" s="6" t="s">
        <v>924</v>
      </c>
      <c r="C97" s="103">
        <v>4</v>
      </c>
      <c r="D97" s="103">
        <v>1</v>
      </c>
      <c r="E97" s="103">
        <v>2</v>
      </c>
      <c r="F97" s="103"/>
      <c r="G97" s="103"/>
      <c r="H97" s="103"/>
      <c r="I97" s="103"/>
    </row>
    <row r="98" spans="1:9" ht="15" customHeight="1" x14ac:dyDescent="0.2">
      <c r="A98" s="6">
        <v>210</v>
      </c>
      <c r="B98" s="6" t="s">
        <v>933</v>
      </c>
      <c r="C98" s="103">
        <v>1</v>
      </c>
      <c r="D98" s="103">
        <v>2</v>
      </c>
      <c r="E98" s="103"/>
      <c r="F98" s="103"/>
      <c r="G98" s="103"/>
      <c r="H98" s="103"/>
      <c r="I98" s="103"/>
    </row>
    <row r="99" spans="1:9" ht="15" customHeight="1" x14ac:dyDescent="0.2">
      <c r="A99" s="6">
        <v>212</v>
      </c>
      <c r="B99" s="6" t="s">
        <v>943</v>
      </c>
      <c r="C99" s="103">
        <v>1</v>
      </c>
      <c r="D99" s="103"/>
      <c r="E99" s="103"/>
      <c r="F99" s="103"/>
      <c r="G99" s="103"/>
      <c r="H99" s="103"/>
      <c r="I99" s="103"/>
    </row>
    <row r="100" spans="1:9" ht="15" customHeight="1" x14ac:dyDescent="0.2">
      <c r="A100" s="6">
        <v>215</v>
      </c>
      <c r="B100" s="6" t="s">
        <v>953</v>
      </c>
      <c r="C100" s="103">
        <v>1</v>
      </c>
      <c r="D100" s="103"/>
      <c r="E100" s="103"/>
      <c r="F100" s="103"/>
      <c r="G100" s="103"/>
      <c r="H100" s="103"/>
      <c r="I100" s="103"/>
    </row>
    <row r="101" spans="1:9" ht="15" customHeight="1" x14ac:dyDescent="0.2">
      <c r="A101" s="6">
        <v>217</v>
      </c>
      <c r="B101" s="6" t="s">
        <v>960</v>
      </c>
      <c r="C101" s="103">
        <v>4</v>
      </c>
      <c r="D101" s="103">
        <v>1</v>
      </c>
      <c r="E101" s="103">
        <v>3</v>
      </c>
      <c r="F101" s="103"/>
      <c r="G101" s="103"/>
      <c r="H101" s="103"/>
      <c r="I101" s="103"/>
    </row>
    <row r="102" spans="1:9" ht="15" customHeight="1" x14ac:dyDescent="0.2">
      <c r="A102" s="6">
        <v>219</v>
      </c>
      <c r="B102" s="6" t="s">
        <v>969</v>
      </c>
      <c r="C102" s="103">
        <v>1</v>
      </c>
      <c r="D102" s="103">
        <v>2</v>
      </c>
      <c r="E102" s="103">
        <v>3</v>
      </c>
      <c r="F102" s="103"/>
      <c r="G102" s="103"/>
      <c r="H102" s="103"/>
      <c r="I102" s="103"/>
    </row>
    <row r="103" spans="1:9" ht="15" customHeight="1" x14ac:dyDescent="0.2">
      <c r="A103" s="6">
        <v>221</v>
      </c>
      <c r="B103" s="6" t="s">
        <v>977</v>
      </c>
      <c r="C103" s="103">
        <v>1</v>
      </c>
      <c r="D103" s="103">
        <v>2</v>
      </c>
      <c r="E103" s="103"/>
      <c r="F103" s="103"/>
      <c r="G103" s="103"/>
      <c r="H103" s="103"/>
      <c r="I103" s="103"/>
    </row>
    <row r="104" spans="1:9" ht="15" customHeight="1" x14ac:dyDescent="0.2">
      <c r="A104" s="6">
        <v>222</v>
      </c>
      <c r="B104" s="6" t="s">
        <v>470</v>
      </c>
      <c r="C104" s="103">
        <v>1</v>
      </c>
      <c r="D104" s="103"/>
      <c r="E104" s="103"/>
      <c r="F104" s="103"/>
      <c r="G104" s="103"/>
      <c r="H104" s="103"/>
      <c r="I104" s="103"/>
    </row>
    <row r="105" spans="1:9" ht="15" customHeight="1" x14ac:dyDescent="0.2">
      <c r="A105" s="6">
        <v>223</v>
      </c>
      <c r="B105" s="6" t="s">
        <v>991</v>
      </c>
      <c r="C105" s="103">
        <v>1</v>
      </c>
      <c r="D105" s="103"/>
      <c r="E105" s="103"/>
      <c r="F105" s="103"/>
      <c r="G105" s="103"/>
      <c r="H105" s="103"/>
      <c r="I105" s="103"/>
    </row>
    <row r="106" spans="1:9" ht="15" customHeight="1" x14ac:dyDescent="0.2">
      <c r="A106" s="6">
        <v>226</v>
      </c>
      <c r="B106" s="6" t="s">
        <v>998</v>
      </c>
      <c r="C106" s="103">
        <v>2</v>
      </c>
      <c r="D106" s="103"/>
      <c r="E106" s="103"/>
      <c r="F106" s="103"/>
      <c r="G106" s="103"/>
      <c r="H106" s="103"/>
      <c r="I106" s="103"/>
    </row>
    <row r="107" spans="1:9" ht="15" customHeight="1" x14ac:dyDescent="0.2">
      <c r="A107" s="6">
        <v>231</v>
      </c>
      <c r="B107" s="6" t="s">
        <v>1008</v>
      </c>
      <c r="C107" s="103">
        <v>1</v>
      </c>
      <c r="D107" s="103"/>
      <c r="E107" s="103"/>
      <c r="F107" s="103"/>
      <c r="G107" s="103"/>
      <c r="H107" s="103"/>
      <c r="I107" s="103"/>
    </row>
    <row r="108" spans="1:9" ht="15" customHeight="1" x14ac:dyDescent="0.2">
      <c r="A108" s="6">
        <v>232</v>
      </c>
      <c r="B108" s="6" t="s">
        <v>1017</v>
      </c>
      <c r="C108" s="103">
        <v>1</v>
      </c>
      <c r="D108" s="103">
        <v>2</v>
      </c>
      <c r="E108" s="103">
        <v>4</v>
      </c>
      <c r="F108" s="103"/>
      <c r="G108" s="103"/>
      <c r="H108" s="103"/>
      <c r="I108" s="103"/>
    </row>
    <row r="109" spans="1:9" ht="15" customHeight="1" x14ac:dyDescent="0.2">
      <c r="A109" s="6">
        <v>233</v>
      </c>
      <c r="B109" s="6" t="s">
        <v>1026</v>
      </c>
      <c r="C109" s="103">
        <v>5</v>
      </c>
      <c r="D109" s="103"/>
      <c r="E109" s="103"/>
      <c r="F109" s="103"/>
      <c r="G109" s="103"/>
      <c r="H109" s="103"/>
      <c r="I109" s="103"/>
    </row>
    <row r="110" spans="1:9" ht="15" customHeight="1" x14ac:dyDescent="0.2">
      <c r="A110" s="6">
        <v>236</v>
      </c>
      <c r="B110" s="6" t="s">
        <v>1035</v>
      </c>
      <c r="C110" s="103">
        <v>1</v>
      </c>
      <c r="D110" s="103">
        <v>2</v>
      </c>
      <c r="E110" s="103">
        <v>3</v>
      </c>
      <c r="F110" s="103"/>
      <c r="G110" s="103"/>
      <c r="H110" s="103"/>
      <c r="I110" s="103"/>
    </row>
    <row r="111" spans="1:9" ht="15" customHeight="1" x14ac:dyDescent="0.2">
      <c r="A111" s="6">
        <v>238</v>
      </c>
      <c r="B111" s="6" t="s">
        <v>1046</v>
      </c>
      <c r="C111" s="103">
        <v>3</v>
      </c>
      <c r="D111" s="103">
        <v>1</v>
      </c>
      <c r="E111" s="103"/>
      <c r="F111" s="103"/>
      <c r="G111" s="103"/>
      <c r="H111" s="103"/>
      <c r="I111" s="103"/>
    </row>
    <row r="112" spans="1:9" ht="15" customHeight="1" x14ac:dyDescent="0.2">
      <c r="A112" s="6">
        <v>241</v>
      </c>
      <c r="B112" s="6" t="s">
        <v>1056</v>
      </c>
      <c r="C112" s="103">
        <v>6</v>
      </c>
      <c r="D112" s="103"/>
      <c r="E112" s="103"/>
      <c r="F112" s="103"/>
      <c r="G112" s="103"/>
      <c r="H112" s="103"/>
      <c r="I112" s="103"/>
    </row>
    <row r="113" spans="1:9" ht="15" customHeight="1" x14ac:dyDescent="0.2">
      <c r="A113" s="6">
        <v>242</v>
      </c>
      <c r="B113" s="6" t="s">
        <v>233</v>
      </c>
      <c r="C113" s="103">
        <v>1</v>
      </c>
      <c r="D113" s="103"/>
      <c r="E113" s="103"/>
      <c r="F113" s="103"/>
      <c r="G113" s="103"/>
      <c r="H113" s="103"/>
      <c r="I113" s="103"/>
    </row>
    <row r="114" spans="1:9" ht="15" customHeight="1" x14ac:dyDescent="0.2">
      <c r="A114" s="6">
        <v>245</v>
      </c>
      <c r="B114" s="6" t="s">
        <v>1068</v>
      </c>
      <c r="C114" s="103">
        <v>3</v>
      </c>
      <c r="D114" s="103"/>
      <c r="E114" s="103"/>
      <c r="F114" s="103"/>
      <c r="G114" s="103"/>
      <c r="H114" s="103"/>
      <c r="I114" s="103"/>
    </row>
    <row r="115" spans="1:9" ht="15" customHeight="1" x14ac:dyDescent="0.2">
      <c r="A115" s="6">
        <v>247</v>
      </c>
      <c r="B115" s="6" t="s">
        <v>1077</v>
      </c>
      <c r="C115" s="103">
        <v>1</v>
      </c>
      <c r="D115" s="103">
        <v>2</v>
      </c>
      <c r="E115" s="103"/>
      <c r="F115" s="103"/>
      <c r="G115" s="103"/>
      <c r="H115" s="103"/>
      <c r="I115" s="103"/>
    </row>
    <row r="116" spans="1:9" ht="15" customHeight="1" x14ac:dyDescent="0.2">
      <c r="A116" s="6">
        <v>249</v>
      </c>
      <c r="B116" s="6" t="s">
        <v>1087</v>
      </c>
      <c r="C116" s="103">
        <v>4</v>
      </c>
      <c r="D116" s="103">
        <v>1</v>
      </c>
      <c r="E116" s="103">
        <v>3</v>
      </c>
      <c r="F116" s="103"/>
      <c r="G116" s="103"/>
      <c r="H116" s="103"/>
      <c r="I116" s="103"/>
    </row>
    <row r="117" spans="1:9" ht="15" customHeight="1" x14ac:dyDescent="0.2">
      <c r="A117" s="6">
        <v>250</v>
      </c>
      <c r="B117" s="6" t="s">
        <v>1095</v>
      </c>
      <c r="C117" s="103">
        <v>1</v>
      </c>
      <c r="D117" s="103">
        <v>2</v>
      </c>
      <c r="E117" s="103"/>
      <c r="F117" s="103"/>
      <c r="G117" s="103"/>
      <c r="H117" s="103"/>
      <c r="I117" s="103"/>
    </row>
    <row r="118" spans="1:9" ht="15" customHeight="1" x14ac:dyDescent="0.2">
      <c r="A118" s="6">
        <v>254</v>
      </c>
      <c r="B118" s="6" t="s">
        <v>1105</v>
      </c>
      <c r="C118" s="103">
        <v>1</v>
      </c>
      <c r="D118" s="103">
        <v>2</v>
      </c>
      <c r="E118" s="103">
        <v>3</v>
      </c>
      <c r="F118" s="103"/>
      <c r="G118" s="103"/>
      <c r="H118" s="103"/>
      <c r="I118" s="103"/>
    </row>
    <row r="119" spans="1:9" ht="15" customHeight="1" x14ac:dyDescent="0.2">
      <c r="A119" s="6">
        <v>256</v>
      </c>
      <c r="B119" s="6" t="s">
        <v>1113</v>
      </c>
      <c r="C119" s="103">
        <v>3</v>
      </c>
      <c r="D119" s="103"/>
      <c r="E119" s="103"/>
      <c r="F119" s="103"/>
      <c r="G119" s="103"/>
      <c r="H119" s="103"/>
      <c r="I119" s="103"/>
    </row>
    <row r="120" spans="1:9" ht="15" customHeight="1" x14ac:dyDescent="0.2">
      <c r="A120" s="6">
        <v>257</v>
      </c>
      <c r="B120" s="6" t="s">
        <v>1124</v>
      </c>
      <c r="C120" s="103">
        <v>1</v>
      </c>
      <c r="D120" s="103">
        <v>2</v>
      </c>
      <c r="E120" s="103"/>
      <c r="F120" s="103"/>
      <c r="G120" s="103"/>
      <c r="H120" s="103"/>
      <c r="I120" s="103"/>
    </row>
    <row r="121" spans="1:9" ht="15" customHeight="1" x14ac:dyDescent="0.2">
      <c r="A121" s="6">
        <v>260</v>
      </c>
      <c r="B121" s="6" t="s">
        <v>1134</v>
      </c>
      <c r="C121" s="103">
        <v>1</v>
      </c>
      <c r="D121" s="103">
        <v>3</v>
      </c>
      <c r="E121" s="103"/>
      <c r="F121" s="103"/>
      <c r="G121" s="103"/>
      <c r="H121" s="103"/>
      <c r="I121" s="103"/>
    </row>
    <row r="122" spans="1:9" ht="15" customHeight="1" x14ac:dyDescent="0.2">
      <c r="A122" s="6">
        <v>262</v>
      </c>
      <c r="B122" s="6" t="s">
        <v>1143</v>
      </c>
      <c r="C122" s="103"/>
      <c r="D122" s="103"/>
      <c r="E122" s="103"/>
      <c r="F122" s="103"/>
      <c r="G122" s="103"/>
      <c r="H122" s="103"/>
      <c r="I122" s="103"/>
    </row>
    <row r="123" spans="1:9" ht="15" customHeight="1" x14ac:dyDescent="0.2">
      <c r="A123" s="6">
        <v>263</v>
      </c>
      <c r="B123" s="6" t="s">
        <v>1154</v>
      </c>
      <c r="C123" s="103">
        <v>6</v>
      </c>
      <c r="D123" s="103"/>
      <c r="E123" s="103"/>
      <c r="F123" s="103"/>
      <c r="G123" s="103"/>
      <c r="H123" s="103"/>
      <c r="I123" s="103"/>
    </row>
    <row r="124" spans="1:9" ht="15" customHeight="1" x14ac:dyDescent="0.2">
      <c r="A124" s="6">
        <v>272</v>
      </c>
      <c r="B124" s="6" t="s">
        <v>1163</v>
      </c>
      <c r="C124" s="103">
        <v>1</v>
      </c>
      <c r="D124" s="103"/>
      <c r="E124" s="103"/>
      <c r="F124" s="103"/>
      <c r="G124" s="103"/>
      <c r="H124" s="103"/>
      <c r="I124" s="103"/>
    </row>
    <row r="125" spans="1:9" ht="15" customHeight="1" x14ac:dyDescent="0.2">
      <c r="A125" s="6">
        <v>273</v>
      </c>
      <c r="B125" s="6" t="s">
        <v>1173</v>
      </c>
      <c r="C125" s="103">
        <v>6</v>
      </c>
      <c r="D125" s="103"/>
      <c r="E125" s="103"/>
      <c r="F125" s="103"/>
      <c r="G125" s="103"/>
      <c r="H125" s="103"/>
      <c r="I125" s="103"/>
    </row>
    <row r="126" spans="1:9" ht="15" customHeight="1" x14ac:dyDescent="0.2">
      <c r="A126" s="6">
        <v>280</v>
      </c>
      <c r="B126" s="6" t="s">
        <v>1182</v>
      </c>
      <c r="C126" s="103">
        <v>1</v>
      </c>
      <c r="D126" s="103">
        <v>3</v>
      </c>
      <c r="E126" s="103"/>
      <c r="F126" s="103"/>
      <c r="G126" s="103"/>
      <c r="H126" s="103"/>
      <c r="I126" s="103"/>
    </row>
    <row r="127" spans="1:9" ht="15" customHeight="1" x14ac:dyDescent="0.2">
      <c r="A127" s="6">
        <v>282</v>
      </c>
      <c r="B127" s="6" t="s">
        <v>1192</v>
      </c>
      <c r="C127" s="103">
        <v>1</v>
      </c>
      <c r="D127" s="103">
        <v>3</v>
      </c>
      <c r="E127" s="103"/>
      <c r="F127" s="103"/>
      <c r="G127" s="103"/>
      <c r="H127" s="103"/>
      <c r="I127" s="103"/>
    </row>
    <row r="128" spans="1:9" ht="15" customHeight="1" x14ac:dyDescent="0.2">
      <c r="A128" s="6">
        <v>286</v>
      </c>
      <c r="B128" s="6" t="s">
        <v>1202</v>
      </c>
      <c r="C128" s="103">
        <v>1</v>
      </c>
      <c r="D128" s="103">
        <v>3</v>
      </c>
      <c r="E128" s="103"/>
      <c r="F128" s="103"/>
      <c r="G128" s="103"/>
      <c r="H128" s="103"/>
      <c r="I128" s="103"/>
    </row>
    <row r="129" spans="1:9" ht="15" customHeight="1" x14ac:dyDescent="0.2">
      <c r="A129" s="6">
        <v>287</v>
      </c>
      <c r="B129" s="6" t="s">
        <v>1214</v>
      </c>
      <c r="C129" s="103">
        <v>1</v>
      </c>
      <c r="D129" s="103">
        <v>2</v>
      </c>
      <c r="E129" s="103"/>
      <c r="F129" s="103"/>
      <c r="G129" s="103"/>
      <c r="H129" s="103"/>
      <c r="I129" s="103"/>
    </row>
    <row r="130" spans="1:9" ht="15" customHeight="1" x14ac:dyDescent="0.2">
      <c r="A130" s="6">
        <v>288</v>
      </c>
      <c r="B130" s="6" t="s">
        <v>1221</v>
      </c>
      <c r="C130" s="103">
        <v>1</v>
      </c>
      <c r="D130" s="103"/>
      <c r="E130" s="103"/>
      <c r="F130" s="103"/>
      <c r="G130" s="103"/>
      <c r="H130" s="103"/>
      <c r="I130" s="103"/>
    </row>
    <row r="131" spans="1:9" ht="15" customHeight="1" x14ac:dyDescent="0.2">
      <c r="A131" s="6">
        <v>289</v>
      </c>
      <c r="B131" s="6" t="s">
        <v>431</v>
      </c>
      <c r="C131" s="103">
        <v>3</v>
      </c>
      <c r="D131" s="103"/>
      <c r="E131" s="103"/>
      <c r="F131" s="103"/>
      <c r="G131" s="103"/>
      <c r="H131" s="103"/>
      <c r="I131" s="103"/>
    </row>
    <row r="132" spans="1:9" ht="15" customHeight="1" x14ac:dyDescent="0.2">
      <c r="A132" s="6">
        <v>290</v>
      </c>
      <c r="B132" s="6" t="s">
        <v>1235</v>
      </c>
      <c r="C132" s="103">
        <v>1</v>
      </c>
      <c r="D132" s="103"/>
      <c r="E132" s="103"/>
      <c r="F132" s="103"/>
      <c r="G132" s="103"/>
      <c r="H132" s="103"/>
      <c r="I132" s="103"/>
    </row>
    <row r="133" spans="1:9" ht="15" customHeight="1" x14ac:dyDescent="0.2">
      <c r="A133" s="6">
        <v>291</v>
      </c>
      <c r="B133" s="6" t="s">
        <v>1244</v>
      </c>
      <c r="C133" s="103">
        <v>1</v>
      </c>
      <c r="D133" s="103"/>
      <c r="E133" s="103"/>
      <c r="F133" s="103"/>
      <c r="G133" s="103"/>
      <c r="H133" s="103"/>
      <c r="I133" s="103"/>
    </row>
    <row r="134" spans="1:9" ht="15" customHeight="1" x14ac:dyDescent="0.2">
      <c r="A134" s="6">
        <v>293</v>
      </c>
      <c r="B134" s="6" t="s">
        <v>1254</v>
      </c>
      <c r="C134" s="103">
        <v>5</v>
      </c>
      <c r="D134" s="103"/>
      <c r="E134" s="103"/>
      <c r="F134" s="103"/>
      <c r="G134" s="103"/>
      <c r="H134" s="103"/>
      <c r="I134" s="103"/>
    </row>
    <row r="135" spans="1:9" ht="15" customHeight="1" x14ac:dyDescent="0.2">
      <c r="A135" s="6">
        <v>294</v>
      </c>
      <c r="B135" s="6" t="s">
        <v>1262</v>
      </c>
      <c r="C135" s="103">
        <v>1</v>
      </c>
      <c r="D135" s="103">
        <v>2</v>
      </c>
      <c r="E135" s="103"/>
      <c r="F135" s="103"/>
      <c r="G135" s="103"/>
      <c r="H135" s="103"/>
      <c r="I135" s="103"/>
    </row>
    <row r="136" spans="1:9" ht="15" customHeight="1" x14ac:dyDescent="0.2">
      <c r="A136" s="6">
        <v>295</v>
      </c>
      <c r="B136" s="6" t="s">
        <v>1272</v>
      </c>
      <c r="C136" s="103">
        <v>3</v>
      </c>
      <c r="D136" s="103"/>
      <c r="E136" s="103"/>
      <c r="F136" s="103"/>
      <c r="G136" s="103"/>
      <c r="H136" s="103"/>
      <c r="I136" s="103"/>
    </row>
    <row r="137" spans="1:9" ht="15" customHeight="1" x14ac:dyDescent="0.2">
      <c r="A137" s="6">
        <v>297</v>
      </c>
      <c r="B137" s="6" t="s">
        <v>1282</v>
      </c>
      <c r="C137" s="103">
        <v>1</v>
      </c>
      <c r="D137" s="103">
        <v>2</v>
      </c>
      <c r="E137" s="103"/>
      <c r="F137" s="103"/>
      <c r="G137" s="103"/>
      <c r="H137" s="103"/>
      <c r="I137" s="103"/>
    </row>
    <row r="138" spans="1:9" ht="15" customHeight="1" x14ac:dyDescent="0.2">
      <c r="A138" s="6">
        <v>298</v>
      </c>
      <c r="B138" s="6" t="s">
        <v>1290</v>
      </c>
      <c r="C138" s="103">
        <v>1</v>
      </c>
      <c r="D138" s="103">
        <v>2</v>
      </c>
      <c r="E138" s="103"/>
      <c r="F138" s="103"/>
      <c r="G138" s="103"/>
      <c r="H138" s="103"/>
      <c r="I138" s="103"/>
    </row>
    <row r="139" spans="1:9" ht="15" customHeight="1" x14ac:dyDescent="0.2">
      <c r="A139" s="6">
        <v>300</v>
      </c>
      <c r="B139" s="6" t="s">
        <v>1297</v>
      </c>
      <c r="C139" s="103">
        <v>1</v>
      </c>
      <c r="D139" s="103"/>
      <c r="E139" s="103"/>
      <c r="F139" s="103"/>
      <c r="G139" s="103"/>
      <c r="H139" s="103"/>
      <c r="I139" s="103"/>
    </row>
    <row r="140" spans="1:9" ht="15" customHeight="1" x14ac:dyDescent="0.2">
      <c r="A140" s="6">
        <v>301</v>
      </c>
      <c r="B140" s="6" t="s">
        <v>1304</v>
      </c>
      <c r="C140" s="103">
        <v>1</v>
      </c>
      <c r="D140" s="103"/>
      <c r="E140" s="103"/>
      <c r="F140" s="103"/>
      <c r="G140" s="103"/>
      <c r="H140" s="103"/>
      <c r="I140" s="103"/>
    </row>
    <row r="141" spans="1:9" ht="15" customHeight="1" x14ac:dyDescent="0.2">
      <c r="A141" s="6">
        <v>302</v>
      </c>
      <c r="B141" s="6" t="s">
        <v>1313</v>
      </c>
      <c r="C141" s="103">
        <v>4</v>
      </c>
      <c r="D141" s="103">
        <v>3</v>
      </c>
      <c r="E141" s="103">
        <v>1</v>
      </c>
      <c r="F141" s="103"/>
      <c r="G141" s="103"/>
      <c r="H141" s="103"/>
      <c r="I141" s="103"/>
    </row>
    <row r="142" spans="1:9" ht="15" customHeight="1" x14ac:dyDescent="0.2">
      <c r="A142" s="6">
        <v>303</v>
      </c>
      <c r="B142" s="6" t="s">
        <v>233</v>
      </c>
      <c r="C142" s="103">
        <v>1</v>
      </c>
      <c r="D142" s="103"/>
      <c r="E142" s="103"/>
      <c r="F142" s="103"/>
      <c r="G142" s="103"/>
      <c r="H142" s="103"/>
      <c r="I142" s="103"/>
    </row>
    <row r="143" spans="1:9" ht="15" customHeight="1" x14ac:dyDescent="0.2">
      <c r="A143" s="6">
        <v>304</v>
      </c>
      <c r="B143" s="6" t="s">
        <v>1329</v>
      </c>
      <c r="C143" s="103">
        <v>1</v>
      </c>
      <c r="D143" s="103">
        <v>2</v>
      </c>
      <c r="E143" s="103"/>
      <c r="F143" s="103"/>
      <c r="G143" s="103"/>
      <c r="H143" s="103"/>
      <c r="I143" s="103"/>
    </row>
    <row r="144" spans="1:9" ht="15" customHeight="1" x14ac:dyDescent="0.2">
      <c r="A144" s="6">
        <v>305</v>
      </c>
      <c r="B144" s="6" t="s">
        <v>1339</v>
      </c>
      <c r="C144" s="103">
        <v>1</v>
      </c>
      <c r="D144" s="103"/>
      <c r="E144" s="103"/>
      <c r="F144" s="103"/>
      <c r="G144" s="103"/>
      <c r="H144" s="103"/>
      <c r="I144" s="103"/>
    </row>
    <row r="145" spans="1:9" ht="15" customHeight="1" x14ac:dyDescent="0.2">
      <c r="A145" s="6">
        <v>307</v>
      </c>
      <c r="B145" s="6" t="s">
        <v>1345</v>
      </c>
      <c r="C145" s="103">
        <v>3</v>
      </c>
      <c r="D145" s="103"/>
      <c r="E145" s="103"/>
      <c r="F145" s="103"/>
      <c r="G145" s="103"/>
      <c r="H145" s="103"/>
      <c r="I145" s="103"/>
    </row>
    <row r="146" spans="1:9" ht="15" customHeight="1" x14ac:dyDescent="0.2">
      <c r="A146" s="6">
        <v>308</v>
      </c>
      <c r="B146" s="6" t="s">
        <v>1354</v>
      </c>
      <c r="C146" s="103">
        <v>1</v>
      </c>
      <c r="D146" s="103">
        <v>3</v>
      </c>
      <c r="E146" s="103"/>
      <c r="F146" s="103"/>
      <c r="G146" s="103"/>
      <c r="H146" s="103"/>
      <c r="I146" s="103"/>
    </row>
    <row r="147" spans="1:9" ht="15" customHeight="1" x14ac:dyDescent="0.2">
      <c r="A147" s="1">
        <v>310</v>
      </c>
      <c r="B147" s="1" t="s">
        <v>1461</v>
      </c>
      <c r="C147" s="1">
        <v>1</v>
      </c>
      <c r="D147" s="1">
        <v>2</v>
      </c>
      <c r="E147" s="1"/>
      <c r="F147" s="1"/>
      <c r="G147" s="1"/>
      <c r="H147" s="1"/>
      <c r="I147" s="1"/>
    </row>
    <row r="148" spans="1:9" ht="15" customHeight="1" x14ac:dyDescent="0.2">
      <c r="A148" s="1">
        <v>312</v>
      </c>
      <c r="B148" s="1" t="s">
        <v>1462</v>
      </c>
      <c r="C148" s="1">
        <v>4</v>
      </c>
      <c r="D148" s="1">
        <v>1</v>
      </c>
      <c r="E148" s="1">
        <v>3</v>
      </c>
      <c r="F148" s="1"/>
      <c r="G148" s="1"/>
      <c r="H148" s="1"/>
      <c r="I148" s="1"/>
    </row>
    <row r="149" spans="1:9" ht="15" customHeight="1" x14ac:dyDescent="0.2">
      <c r="A149" s="1">
        <v>314</v>
      </c>
      <c r="B149" s="1" t="s">
        <v>1463</v>
      </c>
      <c r="C149" s="1">
        <v>1</v>
      </c>
      <c r="D149" s="1"/>
      <c r="E149" s="1"/>
      <c r="F149" s="1"/>
      <c r="G149" s="1"/>
      <c r="H149" s="1"/>
      <c r="I149" s="1"/>
    </row>
    <row r="150" spans="1:9" ht="15" customHeight="1" x14ac:dyDescent="0.2">
      <c r="A150" s="1">
        <v>315</v>
      </c>
      <c r="B150" s="1" t="s">
        <v>1464</v>
      </c>
      <c r="C150" s="1"/>
      <c r="D150" s="1"/>
      <c r="E150" s="1"/>
      <c r="F150" s="1"/>
      <c r="G150" s="1"/>
      <c r="H150" s="1"/>
      <c r="I150" s="1"/>
    </row>
    <row r="151" spans="1:9" ht="15" customHeight="1" x14ac:dyDescent="0.2">
      <c r="A151" s="1">
        <v>316</v>
      </c>
      <c r="B151" s="1" t="s">
        <v>1465</v>
      </c>
      <c r="C151" s="1">
        <v>1</v>
      </c>
      <c r="D151" s="1"/>
      <c r="E151" s="1"/>
      <c r="F151" s="1"/>
      <c r="G151" s="1"/>
      <c r="H151" s="1"/>
      <c r="I151" s="1"/>
    </row>
    <row r="152" spans="1:9" ht="15" customHeight="1" x14ac:dyDescent="0.2">
      <c r="A152" s="1">
        <v>317</v>
      </c>
      <c r="B152" s="1" t="s">
        <v>1466</v>
      </c>
      <c r="C152" s="1">
        <v>6</v>
      </c>
      <c r="D152" s="1"/>
      <c r="E152" s="1"/>
      <c r="F152" s="1"/>
      <c r="G152" s="1"/>
      <c r="H152" s="1"/>
      <c r="I152" s="1"/>
    </row>
    <row r="153" spans="1:9" ht="15" customHeight="1" x14ac:dyDescent="0.2">
      <c r="A153" s="1">
        <v>319</v>
      </c>
      <c r="B153" s="1" t="s">
        <v>1467</v>
      </c>
      <c r="C153" s="1">
        <v>1</v>
      </c>
      <c r="D153" s="1">
        <v>3</v>
      </c>
      <c r="E153" s="1">
        <v>2</v>
      </c>
      <c r="F153" s="1"/>
      <c r="G153" s="1"/>
      <c r="H153" s="1"/>
      <c r="I153" s="1"/>
    </row>
    <row r="154" spans="1:9" ht="15" customHeight="1" x14ac:dyDescent="0.2">
      <c r="A154" s="1">
        <v>323</v>
      </c>
      <c r="B154" s="1" t="s">
        <v>163</v>
      </c>
      <c r="C154" s="1"/>
      <c r="D154" s="1"/>
      <c r="E154" s="1"/>
      <c r="F154" s="1"/>
      <c r="G154" s="1"/>
      <c r="H154" s="1"/>
      <c r="I154" s="1"/>
    </row>
    <row r="155" spans="1:9" ht="15" customHeight="1" x14ac:dyDescent="0.2">
      <c r="A155" s="1">
        <v>324</v>
      </c>
      <c r="B155" s="1" t="s">
        <v>1468</v>
      </c>
      <c r="C155" s="1">
        <v>1</v>
      </c>
      <c r="D155" s="1"/>
      <c r="E155" s="1"/>
      <c r="F155" s="1"/>
      <c r="G155" s="1"/>
      <c r="H155" s="1"/>
      <c r="I155" s="1"/>
    </row>
    <row r="156" spans="1:9" ht="15" customHeight="1" x14ac:dyDescent="0.2">
      <c r="A156" s="1">
        <v>325</v>
      </c>
      <c r="B156" s="1" t="s">
        <v>233</v>
      </c>
      <c r="C156" s="1">
        <v>1</v>
      </c>
      <c r="D156" s="1"/>
      <c r="E156" s="1"/>
      <c r="F156" s="1"/>
      <c r="G156" s="1"/>
      <c r="H156" s="1"/>
      <c r="I156" s="1"/>
    </row>
    <row r="157" spans="1:9" ht="15" customHeight="1" x14ac:dyDescent="0.2">
      <c r="A157" s="1">
        <v>327</v>
      </c>
      <c r="B157" s="1" t="s">
        <v>1469</v>
      </c>
      <c r="C157" s="1">
        <v>4</v>
      </c>
      <c r="D157" s="1">
        <v>1</v>
      </c>
      <c r="E157" s="1">
        <v>3</v>
      </c>
      <c r="F157" s="1"/>
      <c r="G157" s="1"/>
      <c r="H157" s="1"/>
      <c r="I157" s="1"/>
    </row>
    <row r="158" spans="1:9" ht="15" customHeight="1" x14ac:dyDescent="0.2">
      <c r="A158" s="1">
        <v>328</v>
      </c>
      <c r="B158" s="1" t="s">
        <v>1470</v>
      </c>
      <c r="C158" s="1">
        <v>1</v>
      </c>
      <c r="D158" s="1">
        <v>3</v>
      </c>
      <c r="E158" s="1"/>
      <c r="F158" s="1"/>
      <c r="G158" s="1"/>
      <c r="H158" s="1"/>
      <c r="I158" s="1"/>
    </row>
    <row r="159" spans="1:9" ht="15" customHeight="1" x14ac:dyDescent="0.2">
      <c r="A159" s="1">
        <v>329</v>
      </c>
      <c r="B159" s="1" t="s">
        <v>1471</v>
      </c>
      <c r="C159" s="1">
        <v>1</v>
      </c>
      <c r="D159" s="1">
        <v>3</v>
      </c>
      <c r="E159" s="1">
        <v>2</v>
      </c>
      <c r="F159" s="1"/>
      <c r="G159" s="1"/>
      <c r="H159" s="1"/>
      <c r="I159" s="1"/>
    </row>
    <row r="160" spans="1:9" ht="15" customHeight="1" x14ac:dyDescent="0.2">
      <c r="A160" s="8">
        <v>331</v>
      </c>
      <c r="B160" s="1" t="s">
        <v>1524</v>
      </c>
      <c r="C160" s="1"/>
      <c r="D160" s="1"/>
      <c r="E160" s="1"/>
      <c r="F160" s="1"/>
      <c r="G160" s="1"/>
      <c r="H160" s="1"/>
      <c r="I160" s="1"/>
    </row>
    <row r="161" spans="1:9" ht="15" customHeight="1" x14ac:dyDescent="0.2">
      <c r="A161" s="8">
        <v>332</v>
      </c>
      <c r="B161" s="1" t="s">
        <v>1525</v>
      </c>
      <c r="C161" s="1">
        <v>1</v>
      </c>
      <c r="D161" s="1">
        <v>2</v>
      </c>
      <c r="E161" s="1"/>
      <c r="F161" s="1"/>
      <c r="G161" s="1"/>
      <c r="H161" s="1"/>
      <c r="I161" s="1"/>
    </row>
    <row r="162" spans="1:9" ht="15" customHeight="1" x14ac:dyDescent="0.2">
      <c r="A162" s="8">
        <v>334</v>
      </c>
      <c r="B162" s="1" t="s">
        <v>1526</v>
      </c>
      <c r="C162" s="1">
        <v>4</v>
      </c>
      <c r="D162" s="1"/>
      <c r="E162" s="1"/>
      <c r="F162" s="1"/>
      <c r="G162" s="1"/>
      <c r="H162" s="1"/>
      <c r="I162" s="1"/>
    </row>
    <row r="163" spans="1:9" ht="15" customHeight="1" x14ac:dyDescent="0.2">
      <c r="A163" s="8">
        <v>336</v>
      </c>
      <c r="B163" s="1" t="s">
        <v>1516</v>
      </c>
      <c r="C163" s="1"/>
      <c r="D163" s="1"/>
      <c r="E163" s="1"/>
      <c r="F163" s="1"/>
      <c r="G163" s="1"/>
      <c r="H163" s="1"/>
      <c r="I163" s="1"/>
    </row>
    <row r="164" spans="1:9" ht="15" customHeight="1" x14ac:dyDescent="0.2">
      <c r="A164" s="8">
        <v>337</v>
      </c>
      <c r="B164" s="1" t="s">
        <v>1527</v>
      </c>
      <c r="C164" s="1">
        <v>3</v>
      </c>
      <c r="D164" s="1"/>
      <c r="E164" s="1"/>
      <c r="F164" s="1"/>
      <c r="G164" s="1"/>
      <c r="H164" s="1"/>
      <c r="I164" s="1"/>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L164"/>
  <sheetViews>
    <sheetView topLeftCell="C1" zoomScale="141" zoomScaleNormal="141" workbookViewId="0">
      <selection activeCell="C162" sqref="C162"/>
    </sheetView>
  </sheetViews>
  <sheetFormatPr baseColWidth="10" defaultColWidth="8.83203125" defaultRowHeight="15" x14ac:dyDescent="0.2"/>
  <cols>
    <col min="1" max="1" width="11.83203125" bestFit="1" customWidth="1"/>
    <col min="2" max="2" width="64.5" customWidth="1"/>
    <col min="3" max="3" width="93.83203125" customWidth="1"/>
  </cols>
  <sheetData>
    <row r="1" spans="1:12" ht="45" x14ac:dyDescent="0.2">
      <c r="A1" s="38" t="s">
        <v>0</v>
      </c>
      <c r="B1" s="38" t="s">
        <v>1556</v>
      </c>
      <c r="C1" s="38" t="s">
        <v>1557</v>
      </c>
    </row>
    <row r="2" spans="1:12" ht="30" x14ac:dyDescent="0.2">
      <c r="A2" s="38">
        <v>2</v>
      </c>
      <c r="B2" s="38" t="s">
        <v>58</v>
      </c>
      <c r="C2" s="38" t="s">
        <v>59</v>
      </c>
      <c r="E2" s="44" t="s">
        <v>1558</v>
      </c>
      <c r="F2" s="44"/>
      <c r="G2" s="44"/>
      <c r="H2" s="44"/>
    </row>
    <row r="3" spans="1:12" ht="30" x14ac:dyDescent="0.2">
      <c r="A3" s="38">
        <v>5</v>
      </c>
      <c r="B3" s="38" t="s">
        <v>70</v>
      </c>
      <c r="C3" s="38" t="s">
        <v>71</v>
      </c>
      <c r="E3" s="44" t="s">
        <v>1559</v>
      </c>
      <c r="F3" s="44"/>
      <c r="G3" s="44"/>
      <c r="H3" s="44"/>
    </row>
    <row r="4" spans="1:12" x14ac:dyDescent="0.2">
      <c r="A4" s="38">
        <v>6</v>
      </c>
      <c r="B4" s="38" t="s">
        <v>80</v>
      </c>
      <c r="C4" s="38" t="s">
        <v>81</v>
      </c>
    </row>
    <row r="5" spans="1:12" x14ac:dyDescent="0.2">
      <c r="A5" s="38">
        <v>11</v>
      </c>
      <c r="B5" s="38" t="s">
        <v>91</v>
      </c>
      <c r="C5" s="38" t="s">
        <v>92</v>
      </c>
      <c r="E5" s="149" t="s">
        <v>2177</v>
      </c>
      <c r="F5" s="150" t="s">
        <v>47</v>
      </c>
      <c r="G5" s="150" t="s">
        <v>46</v>
      </c>
      <c r="H5" s="150"/>
      <c r="I5" s="150" t="s">
        <v>2184</v>
      </c>
      <c r="K5" s="150" t="s">
        <v>2186</v>
      </c>
    </row>
    <row r="6" spans="1:12" x14ac:dyDescent="0.2">
      <c r="A6" s="38">
        <v>18</v>
      </c>
      <c r="B6" s="38" t="s">
        <v>98</v>
      </c>
      <c r="C6" s="38" t="s">
        <v>99</v>
      </c>
      <c r="E6" t="s">
        <v>2178</v>
      </c>
      <c r="F6">
        <v>19</v>
      </c>
      <c r="G6">
        <v>2</v>
      </c>
      <c r="H6" t="s">
        <v>2183</v>
      </c>
      <c r="K6" t="s">
        <v>47</v>
      </c>
      <c r="L6" t="s">
        <v>2187</v>
      </c>
    </row>
    <row r="7" spans="1:12" x14ac:dyDescent="0.2">
      <c r="A7" s="38">
        <v>21</v>
      </c>
      <c r="B7" s="38" t="s">
        <v>47</v>
      </c>
      <c r="C7" s="38" t="s">
        <v>46</v>
      </c>
      <c r="E7" t="s">
        <v>2179</v>
      </c>
      <c r="G7">
        <v>6</v>
      </c>
      <c r="I7">
        <v>7</v>
      </c>
      <c r="L7" t="s">
        <v>2188</v>
      </c>
    </row>
    <row r="8" spans="1:12" ht="30" x14ac:dyDescent="0.2">
      <c r="A8" s="38">
        <v>22</v>
      </c>
      <c r="B8" s="38" t="s">
        <v>111</v>
      </c>
      <c r="C8" s="38" t="s">
        <v>112</v>
      </c>
      <c r="E8" t="s">
        <v>2181</v>
      </c>
      <c r="F8">
        <f>131-SUM(F9,F10)</f>
        <v>116</v>
      </c>
      <c r="L8" t="s">
        <v>2189</v>
      </c>
    </row>
    <row r="9" spans="1:12" ht="45" x14ac:dyDescent="0.2">
      <c r="A9" s="38">
        <v>26</v>
      </c>
      <c r="B9" s="38" t="s">
        <v>121</v>
      </c>
      <c r="C9" s="38" t="s">
        <v>122</v>
      </c>
      <c r="E9" t="s">
        <v>2182</v>
      </c>
      <c r="F9">
        <v>9</v>
      </c>
      <c r="L9" t="s">
        <v>2190</v>
      </c>
    </row>
    <row r="10" spans="1:12" x14ac:dyDescent="0.2">
      <c r="A10" s="38">
        <v>30</v>
      </c>
      <c r="B10" s="38" t="s">
        <v>131</v>
      </c>
      <c r="C10" s="38" t="s">
        <v>132</v>
      </c>
      <c r="E10" t="s">
        <v>2185</v>
      </c>
      <c r="F10">
        <v>6</v>
      </c>
      <c r="L10" t="s">
        <v>2191</v>
      </c>
    </row>
    <row r="11" spans="1:12" ht="30" x14ac:dyDescent="0.2">
      <c r="A11" s="38">
        <v>31</v>
      </c>
      <c r="B11" s="38" t="s">
        <v>141</v>
      </c>
      <c r="C11" s="38" t="s">
        <v>142</v>
      </c>
      <c r="L11" t="s">
        <v>2192</v>
      </c>
    </row>
    <row r="12" spans="1:12" x14ac:dyDescent="0.2">
      <c r="A12" s="38">
        <v>28</v>
      </c>
      <c r="B12" s="38" t="s">
        <v>153</v>
      </c>
      <c r="C12" s="38" t="s">
        <v>154</v>
      </c>
      <c r="E12" t="s">
        <v>2204</v>
      </c>
      <c r="F12">
        <f>SUM(F6,F8,F9,F10,G6,G7,I7)</f>
        <v>165</v>
      </c>
      <c r="K12" t="s">
        <v>46</v>
      </c>
      <c r="L12" t="s">
        <v>2193</v>
      </c>
    </row>
    <row r="13" spans="1:12" x14ac:dyDescent="0.2">
      <c r="A13" s="38">
        <v>32</v>
      </c>
      <c r="B13" s="38" t="s">
        <v>163</v>
      </c>
      <c r="C13" s="38" t="s">
        <v>164</v>
      </c>
      <c r="E13" s="149" t="s">
        <v>2177</v>
      </c>
      <c r="F13" s="149" t="s">
        <v>47</v>
      </c>
      <c r="G13" s="149" t="s">
        <v>46</v>
      </c>
      <c r="H13" s="149"/>
      <c r="I13" s="149" t="s">
        <v>2184</v>
      </c>
      <c r="L13" t="s">
        <v>2194</v>
      </c>
    </row>
    <row r="14" spans="1:12" x14ac:dyDescent="0.2">
      <c r="A14" s="38">
        <v>34</v>
      </c>
      <c r="B14" s="38" t="s">
        <v>174</v>
      </c>
      <c r="C14" s="38" t="s">
        <v>175</v>
      </c>
      <c r="E14" t="s">
        <v>2178</v>
      </c>
      <c r="F14">
        <f>(F6/$F$12)</f>
        <v>0.11515151515151516</v>
      </c>
      <c r="G14">
        <f>(G6/$F$12)</f>
        <v>1.2121212121212121E-2</v>
      </c>
      <c r="I14" s="152">
        <v>0.115151515</v>
      </c>
      <c r="L14" t="s">
        <v>2195</v>
      </c>
    </row>
    <row r="15" spans="1:12" ht="45" x14ac:dyDescent="0.2">
      <c r="A15" s="38">
        <v>35</v>
      </c>
      <c r="B15" s="38" t="s">
        <v>185</v>
      </c>
      <c r="C15" s="38" t="s">
        <v>186</v>
      </c>
      <c r="E15" t="s">
        <v>2179</v>
      </c>
      <c r="G15">
        <f>(G7/$F$12)</f>
        <v>3.6363636363636362E-2</v>
      </c>
      <c r="I15">
        <f>(I7/$F$12)</f>
        <v>4.2424242424242427E-2</v>
      </c>
      <c r="L15" s="151" t="s">
        <v>2196</v>
      </c>
    </row>
    <row r="16" spans="1:12" x14ac:dyDescent="0.2">
      <c r="A16" s="38">
        <v>36</v>
      </c>
      <c r="B16" s="38" t="s">
        <v>196</v>
      </c>
      <c r="C16" s="38" t="s">
        <v>197</v>
      </c>
      <c r="E16" t="s">
        <v>2181</v>
      </c>
      <c r="F16">
        <f>(F8/$F$12)</f>
        <v>0.70303030303030301</v>
      </c>
      <c r="L16" t="s">
        <v>2197</v>
      </c>
    </row>
    <row r="17" spans="1:11" ht="30" x14ac:dyDescent="0.2">
      <c r="A17" s="38">
        <v>38</v>
      </c>
      <c r="B17" s="38" t="s">
        <v>205</v>
      </c>
      <c r="C17" s="38" t="s">
        <v>206</v>
      </c>
      <c r="E17" t="s">
        <v>2182</v>
      </c>
      <c r="F17">
        <f>(F9/$F$12)</f>
        <v>5.4545454545454543E-2</v>
      </c>
    </row>
    <row r="18" spans="1:11" ht="45" x14ac:dyDescent="0.2">
      <c r="A18" s="38">
        <v>40</v>
      </c>
      <c r="B18" s="38" t="s">
        <v>215</v>
      </c>
      <c r="C18" s="38" t="s">
        <v>216</v>
      </c>
      <c r="E18" t="s">
        <v>2185</v>
      </c>
      <c r="F18">
        <f>(F10/$F$12)</f>
        <v>3.6363636363636362E-2</v>
      </c>
    </row>
    <row r="19" spans="1:11" x14ac:dyDescent="0.2">
      <c r="A19" s="38">
        <v>41</v>
      </c>
      <c r="B19" s="38" t="s">
        <v>224</v>
      </c>
      <c r="C19" s="38" t="s">
        <v>225</v>
      </c>
    </row>
    <row r="20" spans="1:11" ht="30" x14ac:dyDescent="0.2">
      <c r="A20" s="38">
        <v>42</v>
      </c>
      <c r="B20" s="38" t="s">
        <v>234</v>
      </c>
      <c r="C20" s="38" t="s">
        <v>235</v>
      </c>
      <c r="E20" s="149" t="s">
        <v>2180</v>
      </c>
      <c r="F20" s="150" t="s">
        <v>47</v>
      </c>
      <c r="G20" s="150" t="s">
        <v>46</v>
      </c>
      <c r="H20" s="150" t="s">
        <v>2184</v>
      </c>
      <c r="I20" s="149" t="s">
        <v>2198</v>
      </c>
      <c r="K20" s="150" t="s">
        <v>2186</v>
      </c>
    </row>
    <row r="21" spans="1:11" x14ac:dyDescent="0.2">
      <c r="A21" s="38">
        <v>44</v>
      </c>
      <c r="B21" s="38" t="s">
        <v>243</v>
      </c>
      <c r="C21" s="38" t="s">
        <v>244</v>
      </c>
      <c r="E21" t="s">
        <v>2178</v>
      </c>
      <c r="F21">
        <v>15</v>
      </c>
      <c r="G21">
        <v>6</v>
      </c>
      <c r="I21">
        <v>10</v>
      </c>
      <c r="K21" t="s">
        <v>2199</v>
      </c>
    </row>
    <row r="22" spans="1:11" x14ac:dyDescent="0.2">
      <c r="A22" s="38">
        <v>46</v>
      </c>
      <c r="B22" s="38" t="s">
        <v>254</v>
      </c>
      <c r="C22" s="38" t="s">
        <v>255</v>
      </c>
      <c r="E22" t="s">
        <v>2179</v>
      </c>
      <c r="G22">
        <v>3</v>
      </c>
      <c r="K22" t="s">
        <v>2200</v>
      </c>
    </row>
    <row r="23" spans="1:11" ht="45" x14ac:dyDescent="0.2">
      <c r="A23" s="38">
        <v>47</v>
      </c>
      <c r="B23" s="38" t="s">
        <v>265</v>
      </c>
      <c r="C23" s="38" t="s">
        <v>266</v>
      </c>
      <c r="E23" t="s">
        <v>2181</v>
      </c>
      <c r="F23">
        <v>123</v>
      </c>
      <c r="G23">
        <v>6</v>
      </c>
      <c r="H23">
        <v>3</v>
      </c>
      <c r="K23" t="s">
        <v>2201</v>
      </c>
    </row>
    <row r="24" spans="1:11" x14ac:dyDescent="0.2">
      <c r="A24" s="38">
        <v>49</v>
      </c>
      <c r="B24" s="38" t="s">
        <v>274</v>
      </c>
      <c r="C24" s="38" t="s">
        <v>275</v>
      </c>
      <c r="E24" t="s">
        <v>2204</v>
      </c>
      <c r="F24">
        <f>SUM(F21,G21,G22,G23,F23,H23,I21)</f>
        <v>166</v>
      </c>
      <c r="K24" t="s">
        <v>2202</v>
      </c>
    </row>
    <row r="25" spans="1:11" ht="75" x14ac:dyDescent="0.2">
      <c r="A25" s="38">
        <v>50</v>
      </c>
      <c r="B25" s="38" t="s">
        <v>283</v>
      </c>
      <c r="C25" s="38" t="s">
        <v>284</v>
      </c>
      <c r="E25" s="149" t="s">
        <v>2180</v>
      </c>
      <c r="F25" s="149" t="s">
        <v>47</v>
      </c>
      <c r="G25" s="149" t="s">
        <v>46</v>
      </c>
      <c r="H25" s="149" t="s">
        <v>2184</v>
      </c>
      <c r="I25" s="149" t="s">
        <v>2198</v>
      </c>
      <c r="K25" t="s">
        <v>2203</v>
      </c>
    </row>
    <row r="26" spans="1:11" x14ac:dyDescent="0.2">
      <c r="A26" s="38">
        <v>51</v>
      </c>
      <c r="B26" s="38" t="s">
        <v>163</v>
      </c>
      <c r="C26" s="38" t="s">
        <v>163</v>
      </c>
      <c r="E26" t="s">
        <v>2178</v>
      </c>
      <c r="F26">
        <f>F21/$F$24</f>
        <v>9.036144578313253E-2</v>
      </c>
      <c r="G26">
        <f>G21/$F$24</f>
        <v>3.614457831325301E-2</v>
      </c>
      <c r="I26">
        <f>I21/$F$24</f>
        <v>6.0240963855421686E-2</v>
      </c>
    </row>
    <row r="27" spans="1:11" ht="30" x14ac:dyDescent="0.2">
      <c r="A27" s="38">
        <v>53</v>
      </c>
      <c r="B27" s="38" t="s">
        <v>298</v>
      </c>
      <c r="C27" s="38" t="s">
        <v>299</v>
      </c>
      <c r="E27" t="s">
        <v>2179</v>
      </c>
      <c r="G27">
        <f>G22/$F$24</f>
        <v>1.8072289156626505E-2</v>
      </c>
    </row>
    <row r="28" spans="1:11" x14ac:dyDescent="0.2">
      <c r="A28" s="38">
        <v>55</v>
      </c>
      <c r="B28" s="38" t="s">
        <v>308</v>
      </c>
      <c r="C28" s="38" t="s">
        <v>309</v>
      </c>
      <c r="E28" t="s">
        <v>2181</v>
      </c>
      <c r="F28">
        <f>F23/$F$24</f>
        <v>0.74096385542168675</v>
      </c>
      <c r="G28">
        <f>G23/$F$24</f>
        <v>3.614457831325301E-2</v>
      </c>
      <c r="H28">
        <f>H23/$F$24</f>
        <v>1.8072289156626505E-2</v>
      </c>
    </row>
    <row r="29" spans="1:11" ht="60" x14ac:dyDescent="0.2">
      <c r="A29" s="38">
        <v>60</v>
      </c>
      <c r="B29" s="38" t="s">
        <v>318</v>
      </c>
      <c r="C29" s="38" t="s">
        <v>319</v>
      </c>
      <c r="H29" t="s">
        <v>1560</v>
      </c>
    </row>
    <row r="30" spans="1:11" x14ac:dyDescent="0.2">
      <c r="A30" s="38">
        <v>61</v>
      </c>
      <c r="B30" s="38" t="s">
        <v>329</v>
      </c>
      <c r="C30" s="38" t="s">
        <v>330</v>
      </c>
    </row>
    <row r="31" spans="1:11" x14ac:dyDescent="0.2">
      <c r="A31" s="38">
        <v>62</v>
      </c>
      <c r="B31" s="38" t="s">
        <v>339</v>
      </c>
      <c r="C31" s="38" t="s">
        <v>340</v>
      </c>
    </row>
    <row r="32" spans="1:11" ht="30" x14ac:dyDescent="0.2">
      <c r="A32" s="38">
        <v>65</v>
      </c>
      <c r="B32" s="38" t="s">
        <v>349</v>
      </c>
      <c r="C32" s="38" t="s">
        <v>350</v>
      </c>
    </row>
    <row r="33" spans="1:3" ht="45" x14ac:dyDescent="0.2">
      <c r="A33" s="38">
        <v>70</v>
      </c>
      <c r="B33" s="38" t="s">
        <v>357</v>
      </c>
      <c r="C33" s="38" t="s">
        <v>358</v>
      </c>
    </row>
    <row r="34" spans="1:3" ht="30" x14ac:dyDescent="0.2">
      <c r="A34" s="38">
        <v>71</v>
      </c>
      <c r="B34" s="38" t="s">
        <v>368</v>
      </c>
      <c r="C34" s="38" t="s">
        <v>369</v>
      </c>
    </row>
    <row r="35" spans="1:3" ht="30" x14ac:dyDescent="0.2">
      <c r="A35" s="38">
        <v>72</v>
      </c>
      <c r="B35" s="38" t="s">
        <v>377</v>
      </c>
      <c r="C35" s="38" t="s">
        <v>378</v>
      </c>
    </row>
    <row r="36" spans="1:3" x14ac:dyDescent="0.2">
      <c r="A36" s="38">
        <v>74</v>
      </c>
      <c r="B36" s="38" t="s">
        <v>47</v>
      </c>
      <c r="C36" s="38" t="s">
        <v>47</v>
      </c>
    </row>
    <row r="37" spans="1:3" ht="30" x14ac:dyDescent="0.2">
      <c r="A37" s="38">
        <v>75</v>
      </c>
      <c r="B37" s="38" t="s">
        <v>397</v>
      </c>
      <c r="C37" s="38" t="s">
        <v>398</v>
      </c>
    </row>
    <row r="38" spans="1:3" x14ac:dyDescent="0.2">
      <c r="A38" s="38">
        <v>76</v>
      </c>
      <c r="B38" s="38" t="s">
        <v>407</v>
      </c>
      <c r="C38" s="38" t="s">
        <v>408</v>
      </c>
    </row>
    <row r="39" spans="1:3" ht="45" x14ac:dyDescent="0.2">
      <c r="A39" s="38">
        <v>78</v>
      </c>
      <c r="B39" s="38" t="s">
        <v>413</v>
      </c>
      <c r="C39" s="38" t="s">
        <v>414</v>
      </c>
    </row>
    <row r="40" spans="1:3" x14ac:dyDescent="0.2">
      <c r="A40" s="38">
        <v>79</v>
      </c>
      <c r="B40" s="38" t="s">
        <v>163</v>
      </c>
      <c r="C40" s="38" t="s">
        <v>425</v>
      </c>
    </row>
    <row r="41" spans="1:3" x14ac:dyDescent="0.2">
      <c r="A41" s="38">
        <v>80</v>
      </c>
      <c r="B41" s="38" t="s">
        <v>432</v>
      </c>
      <c r="C41" s="38" t="s">
        <v>433</v>
      </c>
    </row>
    <row r="42" spans="1:3" ht="30" x14ac:dyDescent="0.2">
      <c r="A42" s="38">
        <v>87</v>
      </c>
      <c r="B42" s="38" t="s">
        <v>442</v>
      </c>
      <c r="C42" s="38" t="s">
        <v>443</v>
      </c>
    </row>
    <row r="43" spans="1:3" x14ac:dyDescent="0.2">
      <c r="A43" s="38">
        <v>89</v>
      </c>
      <c r="B43" s="38" t="s">
        <v>454</v>
      </c>
      <c r="C43" s="38" t="s">
        <v>455</v>
      </c>
    </row>
    <row r="44" spans="1:3" x14ac:dyDescent="0.2">
      <c r="A44" s="38">
        <v>90</v>
      </c>
      <c r="B44" s="38" t="s">
        <v>464</v>
      </c>
      <c r="C44" s="38" t="s">
        <v>465</v>
      </c>
    </row>
    <row r="45" spans="1:3" x14ac:dyDescent="0.2">
      <c r="A45" s="38">
        <v>91</v>
      </c>
      <c r="B45" s="38" t="s">
        <v>471</v>
      </c>
      <c r="C45" s="38" t="s">
        <v>472</v>
      </c>
    </row>
    <row r="46" spans="1:3" ht="30" x14ac:dyDescent="0.2">
      <c r="A46" s="38">
        <v>92</v>
      </c>
      <c r="B46" s="38" t="s">
        <v>479</v>
      </c>
      <c r="C46" s="38" t="s">
        <v>480</v>
      </c>
    </row>
    <row r="47" spans="1:3" ht="45" x14ac:dyDescent="0.2">
      <c r="A47" s="38">
        <v>93</v>
      </c>
      <c r="B47" s="38" t="s">
        <v>489</v>
      </c>
      <c r="C47" s="38" t="s">
        <v>490</v>
      </c>
    </row>
    <row r="48" spans="1:3" ht="45" x14ac:dyDescent="0.2">
      <c r="A48" s="38">
        <v>95</v>
      </c>
      <c r="B48" s="38" t="s">
        <v>500</v>
      </c>
      <c r="C48" s="38" t="s">
        <v>501</v>
      </c>
    </row>
    <row r="49" spans="1:3" x14ac:dyDescent="0.2">
      <c r="A49" s="38">
        <v>96</v>
      </c>
      <c r="B49" s="38" t="s">
        <v>510</v>
      </c>
      <c r="C49" s="38" t="s">
        <v>511</v>
      </c>
    </row>
    <row r="50" spans="1:3" ht="75" x14ac:dyDescent="0.2">
      <c r="A50" s="38">
        <v>100</v>
      </c>
      <c r="B50" s="38" t="s">
        <v>519</v>
      </c>
      <c r="C50" s="38" t="s">
        <v>520</v>
      </c>
    </row>
    <row r="51" spans="1:3" ht="30" x14ac:dyDescent="0.2">
      <c r="A51" s="38">
        <v>104</v>
      </c>
      <c r="B51" s="38" t="s">
        <v>526</v>
      </c>
      <c r="C51" s="38" t="s">
        <v>527</v>
      </c>
    </row>
    <row r="52" spans="1:3" x14ac:dyDescent="0.2">
      <c r="A52" s="38">
        <v>107</v>
      </c>
      <c r="B52" s="38" t="s">
        <v>535</v>
      </c>
      <c r="C52" s="38" t="s">
        <v>536</v>
      </c>
    </row>
    <row r="53" spans="1:3" x14ac:dyDescent="0.2">
      <c r="A53" s="38">
        <v>109</v>
      </c>
      <c r="B53" s="38" t="s">
        <v>546</v>
      </c>
      <c r="C53" s="38" t="s">
        <v>547</v>
      </c>
    </row>
    <row r="54" spans="1:3" x14ac:dyDescent="0.2">
      <c r="A54" s="38">
        <v>110</v>
      </c>
      <c r="B54" s="38" t="s">
        <v>555</v>
      </c>
      <c r="C54" s="38" t="s">
        <v>163</v>
      </c>
    </row>
    <row r="55" spans="1:3" ht="60" x14ac:dyDescent="0.2">
      <c r="A55" s="38">
        <v>112</v>
      </c>
      <c r="B55" s="38" t="s">
        <v>563</v>
      </c>
      <c r="C55" s="38" t="s">
        <v>564</v>
      </c>
    </row>
    <row r="56" spans="1:3" x14ac:dyDescent="0.2">
      <c r="A56" s="38">
        <v>118</v>
      </c>
      <c r="B56" s="38" t="s">
        <v>573</v>
      </c>
      <c r="C56" s="38" t="s">
        <v>574</v>
      </c>
    </row>
    <row r="57" spans="1:3" ht="30" x14ac:dyDescent="0.2">
      <c r="A57" s="38">
        <v>119</v>
      </c>
      <c r="B57" s="38" t="s">
        <v>579</v>
      </c>
      <c r="C57" s="38" t="s">
        <v>580</v>
      </c>
    </row>
    <row r="58" spans="1:3" x14ac:dyDescent="0.2">
      <c r="A58" s="38">
        <v>120</v>
      </c>
      <c r="B58" s="38" t="s">
        <v>163</v>
      </c>
      <c r="C58" s="38" t="s">
        <v>163</v>
      </c>
    </row>
    <row r="59" spans="1:3" x14ac:dyDescent="0.2">
      <c r="A59" s="38">
        <v>121</v>
      </c>
      <c r="B59" s="38" t="s">
        <v>595</v>
      </c>
      <c r="C59" s="38" t="s">
        <v>596</v>
      </c>
    </row>
    <row r="60" spans="1:3" x14ac:dyDescent="0.2">
      <c r="A60" s="38">
        <v>122</v>
      </c>
      <c r="B60" s="38" t="s">
        <v>163</v>
      </c>
      <c r="C60" s="38" t="s">
        <v>602</v>
      </c>
    </row>
    <row r="61" spans="1:3" ht="75" x14ac:dyDescent="0.2">
      <c r="A61" s="38">
        <v>127</v>
      </c>
      <c r="B61" s="38" t="s">
        <v>612</v>
      </c>
      <c r="C61" s="38" t="s">
        <v>613</v>
      </c>
    </row>
    <row r="62" spans="1:3" ht="30" x14ac:dyDescent="0.2">
      <c r="A62" s="38">
        <v>128</v>
      </c>
      <c r="B62" s="38" t="s">
        <v>619</v>
      </c>
      <c r="C62" s="38" t="s">
        <v>620</v>
      </c>
    </row>
    <row r="63" spans="1:3" ht="90" x14ac:dyDescent="0.2">
      <c r="A63" s="38">
        <v>132</v>
      </c>
      <c r="B63" s="38" t="s">
        <v>628</v>
      </c>
      <c r="C63" s="38" t="s">
        <v>629</v>
      </c>
    </row>
    <row r="64" spans="1:3" x14ac:dyDescent="0.2">
      <c r="A64" s="38">
        <v>135</v>
      </c>
      <c r="B64" s="38" t="s">
        <v>638</v>
      </c>
      <c r="C64" s="38" t="s">
        <v>639</v>
      </c>
    </row>
    <row r="65" spans="1:3" ht="45" x14ac:dyDescent="0.2">
      <c r="A65" s="38">
        <v>136</v>
      </c>
      <c r="B65" s="38" t="s">
        <v>647</v>
      </c>
      <c r="C65" s="38" t="s">
        <v>648</v>
      </c>
    </row>
    <row r="66" spans="1:3" x14ac:dyDescent="0.2">
      <c r="A66" s="38">
        <v>138</v>
      </c>
      <c r="B66" s="38" t="s">
        <v>654</v>
      </c>
      <c r="C66" s="38" t="s">
        <v>655</v>
      </c>
    </row>
    <row r="67" spans="1:3" ht="30" x14ac:dyDescent="0.2">
      <c r="A67" s="38">
        <v>139</v>
      </c>
      <c r="B67" s="38" t="s">
        <v>665</v>
      </c>
      <c r="C67" s="38" t="s">
        <v>666</v>
      </c>
    </row>
    <row r="68" spans="1:3" x14ac:dyDescent="0.2">
      <c r="A68" s="38">
        <v>140</v>
      </c>
      <c r="B68" s="38" t="s">
        <v>675</v>
      </c>
      <c r="C68" s="38" t="s">
        <v>676</v>
      </c>
    </row>
    <row r="69" spans="1:3" x14ac:dyDescent="0.2">
      <c r="A69" s="38">
        <v>148</v>
      </c>
      <c r="B69" s="38" t="s">
        <v>684</v>
      </c>
      <c r="C69" s="38" t="s">
        <v>685</v>
      </c>
    </row>
    <row r="70" spans="1:3" x14ac:dyDescent="0.2">
      <c r="A70" s="38">
        <v>149</v>
      </c>
      <c r="B70" s="38" t="s">
        <v>690</v>
      </c>
      <c r="C70" s="38" t="s">
        <v>691</v>
      </c>
    </row>
    <row r="71" spans="1:3" x14ac:dyDescent="0.2">
      <c r="A71" s="38">
        <v>150</v>
      </c>
      <c r="B71" s="38" t="s">
        <v>699</v>
      </c>
      <c r="C71" s="38" t="s">
        <v>700</v>
      </c>
    </row>
    <row r="72" spans="1:3" ht="30" x14ac:dyDescent="0.2">
      <c r="A72" s="38">
        <v>151</v>
      </c>
      <c r="B72" s="38" t="s">
        <v>711</v>
      </c>
      <c r="C72" s="38" t="s">
        <v>712</v>
      </c>
    </row>
    <row r="73" spans="1:3" ht="45" x14ac:dyDescent="0.2">
      <c r="A73" s="38">
        <v>152</v>
      </c>
      <c r="B73" s="38" t="s">
        <v>720</v>
      </c>
      <c r="C73" s="38" t="s">
        <v>721</v>
      </c>
    </row>
    <row r="74" spans="1:3" ht="30" x14ac:dyDescent="0.2">
      <c r="A74" s="38">
        <v>153</v>
      </c>
      <c r="B74" s="38" t="s">
        <v>729</v>
      </c>
      <c r="C74" s="38" t="s">
        <v>730</v>
      </c>
    </row>
    <row r="75" spans="1:3" ht="30" x14ac:dyDescent="0.2">
      <c r="A75" s="38">
        <v>157</v>
      </c>
      <c r="B75" s="38" t="s">
        <v>739</v>
      </c>
      <c r="C75" s="38" t="s">
        <v>740</v>
      </c>
    </row>
    <row r="76" spans="1:3" x14ac:dyDescent="0.2">
      <c r="A76" s="38">
        <v>156</v>
      </c>
      <c r="B76" s="38" t="s">
        <v>750</v>
      </c>
      <c r="C76" s="38" t="s">
        <v>699</v>
      </c>
    </row>
    <row r="77" spans="1:3" ht="30" x14ac:dyDescent="0.2">
      <c r="A77" s="38">
        <v>162</v>
      </c>
      <c r="B77" s="38" t="s">
        <v>760</v>
      </c>
      <c r="C77" s="38" t="s">
        <v>761</v>
      </c>
    </row>
    <row r="78" spans="1:3" x14ac:dyDescent="0.2">
      <c r="A78" s="38">
        <v>164</v>
      </c>
      <c r="B78" s="38" t="s">
        <v>163</v>
      </c>
      <c r="C78" s="38" t="s">
        <v>163</v>
      </c>
    </row>
    <row r="79" spans="1:3" ht="45" x14ac:dyDescent="0.2">
      <c r="A79" s="38">
        <v>166</v>
      </c>
      <c r="B79" s="38" t="s">
        <v>772</v>
      </c>
      <c r="C79" s="38" t="s">
        <v>773</v>
      </c>
    </row>
    <row r="80" spans="1:3" x14ac:dyDescent="0.2">
      <c r="A80" s="38">
        <v>170</v>
      </c>
      <c r="B80" s="38" t="s">
        <v>782</v>
      </c>
      <c r="C80" s="38" t="s">
        <v>783</v>
      </c>
    </row>
    <row r="81" spans="1:3" ht="60" x14ac:dyDescent="0.2">
      <c r="A81" s="38">
        <v>173</v>
      </c>
      <c r="B81" s="38" t="s">
        <v>794</v>
      </c>
      <c r="C81" s="38" t="s">
        <v>795</v>
      </c>
    </row>
    <row r="82" spans="1:3" x14ac:dyDescent="0.2">
      <c r="A82" s="38">
        <v>175</v>
      </c>
      <c r="B82" s="38" t="s">
        <v>803</v>
      </c>
      <c r="C82" s="38" t="s">
        <v>804</v>
      </c>
    </row>
    <row r="83" spans="1:3" ht="45" x14ac:dyDescent="0.2">
      <c r="A83" s="38">
        <v>178</v>
      </c>
      <c r="B83" s="38" t="s">
        <v>812</v>
      </c>
      <c r="C83" s="38" t="s">
        <v>813</v>
      </c>
    </row>
    <row r="84" spans="1:3" ht="30" x14ac:dyDescent="0.2">
      <c r="A84" s="38">
        <v>183</v>
      </c>
      <c r="B84" s="38" t="s">
        <v>821</v>
      </c>
      <c r="C84" s="38" t="s">
        <v>822</v>
      </c>
    </row>
    <row r="85" spans="1:3" ht="30" x14ac:dyDescent="0.2">
      <c r="A85" s="38">
        <v>185</v>
      </c>
      <c r="B85" s="38" t="s">
        <v>831</v>
      </c>
      <c r="C85" s="38" t="s">
        <v>832</v>
      </c>
    </row>
    <row r="86" spans="1:3" x14ac:dyDescent="0.2">
      <c r="A86" s="38">
        <v>186</v>
      </c>
      <c r="B86" s="38" t="s">
        <v>838</v>
      </c>
      <c r="C86" s="38" t="s">
        <v>839</v>
      </c>
    </row>
    <row r="87" spans="1:3" x14ac:dyDescent="0.2">
      <c r="A87" s="38">
        <v>189</v>
      </c>
      <c r="B87" s="38" t="s">
        <v>845</v>
      </c>
      <c r="C87" s="38" t="s">
        <v>845</v>
      </c>
    </row>
    <row r="88" spans="1:3" ht="30" x14ac:dyDescent="0.2">
      <c r="A88" s="38">
        <v>190</v>
      </c>
      <c r="B88" s="38" t="s">
        <v>853</v>
      </c>
      <c r="C88" s="38" t="s">
        <v>854</v>
      </c>
    </row>
    <row r="89" spans="1:3" x14ac:dyDescent="0.2">
      <c r="A89" s="38">
        <v>192</v>
      </c>
      <c r="B89" s="38" t="s">
        <v>865</v>
      </c>
      <c r="C89" s="38" t="s">
        <v>866</v>
      </c>
    </row>
    <row r="90" spans="1:3" x14ac:dyDescent="0.2">
      <c r="A90" s="38">
        <v>193</v>
      </c>
      <c r="B90" s="38" t="s">
        <v>873</v>
      </c>
      <c r="C90" s="38" t="s">
        <v>874</v>
      </c>
    </row>
    <row r="91" spans="1:3" x14ac:dyDescent="0.2">
      <c r="A91" s="38">
        <v>196</v>
      </c>
      <c r="B91" s="38" t="s">
        <v>878</v>
      </c>
      <c r="C91" s="38" t="s">
        <v>879</v>
      </c>
    </row>
    <row r="92" spans="1:3" ht="30" x14ac:dyDescent="0.2">
      <c r="A92" s="38">
        <v>197</v>
      </c>
      <c r="B92" s="38" t="s">
        <v>889</v>
      </c>
      <c r="C92" s="38" t="s">
        <v>890</v>
      </c>
    </row>
    <row r="93" spans="1:3" ht="30" x14ac:dyDescent="0.2">
      <c r="A93" s="38">
        <v>200</v>
      </c>
      <c r="B93" s="38" t="s">
        <v>153</v>
      </c>
      <c r="C93" s="38" t="s">
        <v>894</v>
      </c>
    </row>
    <row r="94" spans="1:3" ht="30" x14ac:dyDescent="0.2">
      <c r="A94" s="38">
        <v>203</v>
      </c>
      <c r="B94" s="38" t="s">
        <v>901</v>
      </c>
      <c r="C94" s="38" t="s">
        <v>902</v>
      </c>
    </row>
    <row r="95" spans="1:3" x14ac:dyDescent="0.2">
      <c r="A95" s="38">
        <v>204</v>
      </c>
      <c r="B95" s="38" t="s">
        <v>911</v>
      </c>
      <c r="C95" s="38" t="s">
        <v>912</v>
      </c>
    </row>
    <row r="96" spans="1:3" x14ac:dyDescent="0.2">
      <c r="A96" s="38">
        <v>207</v>
      </c>
      <c r="B96" s="38" t="s">
        <v>917</v>
      </c>
      <c r="C96" s="38" t="s">
        <v>918</v>
      </c>
    </row>
    <row r="97" spans="1:3" ht="45" x14ac:dyDescent="0.2">
      <c r="A97" s="38">
        <v>208</v>
      </c>
      <c r="B97" s="38" t="s">
        <v>925</v>
      </c>
      <c r="C97" s="38" t="s">
        <v>926</v>
      </c>
    </row>
    <row r="98" spans="1:3" ht="90" x14ac:dyDescent="0.2">
      <c r="A98" s="38">
        <v>210</v>
      </c>
      <c r="B98" s="38" t="s">
        <v>934</v>
      </c>
      <c r="C98" s="38" t="s">
        <v>935</v>
      </c>
    </row>
    <row r="99" spans="1:3" ht="105" x14ac:dyDescent="0.2">
      <c r="A99" s="38">
        <v>212</v>
      </c>
      <c r="B99" s="38" t="s">
        <v>944</v>
      </c>
      <c r="C99" s="38" t="s">
        <v>945</v>
      </c>
    </row>
    <row r="100" spans="1:3" x14ac:dyDescent="0.2">
      <c r="A100" s="38">
        <v>215</v>
      </c>
      <c r="B100" s="38" t="s">
        <v>954</v>
      </c>
      <c r="C100" s="38" t="s">
        <v>955</v>
      </c>
    </row>
    <row r="101" spans="1:3" x14ac:dyDescent="0.2">
      <c r="A101" s="38">
        <v>217</v>
      </c>
      <c r="B101" s="38" t="s">
        <v>961</v>
      </c>
      <c r="C101" s="38" t="s">
        <v>962</v>
      </c>
    </row>
    <row r="102" spans="1:3" x14ac:dyDescent="0.2">
      <c r="A102" s="38">
        <v>219</v>
      </c>
      <c r="B102" s="38" t="s">
        <v>970</v>
      </c>
      <c r="C102" s="38" t="s">
        <v>971</v>
      </c>
    </row>
    <row r="103" spans="1:3" ht="30" x14ac:dyDescent="0.2">
      <c r="A103" s="38">
        <v>221</v>
      </c>
      <c r="B103" s="38" t="s">
        <v>978</v>
      </c>
      <c r="C103" s="38" t="s">
        <v>979</v>
      </c>
    </row>
    <row r="104" spans="1:3" ht="45" x14ac:dyDescent="0.2">
      <c r="A104" s="38">
        <v>222</v>
      </c>
      <c r="B104" s="38" t="s">
        <v>985</v>
      </c>
      <c r="C104" s="38" t="s">
        <v>986</v>
      </c>
    </row>
    <row r="105" spans="1:3" x14ac:dyDescent="0.2">
      <c r="A105" s="38">
        <v>223</v>
      </c>
      <c r="B105" s="38" t="s">
        <v>699</v>
      </c>
      <c r="C105" s="38" t="s">
        <v>699</v>
      </c>
    </row>
    <row r="106" spans="1:3" x14ac:dyDescent="0.2">
      <c r="A106" s="38">
        <v>226</v>
      </c>
      <c r="B106" s="38" t="s">
        <v>999</v>
      </c>
      <c r="C106" s="38" t="s">
        <v>1000</v>
      </c>
    </row>
    <row r="107" spans="1:3" x14ac:dyDescent="0.2">
      <c r="A107" s="38">
        <v>231</v>
      </c>
      <c r="B107" s="38" t="s">
        <v>1009</v>
      </c>
      <c r="C107" s="38" t="s">
        <v>1010</v>
      </c>
    </row>
    <row r="108" spans="1:3" x14ac:dyDescent="0.2">
      <c r="A108" s="38">
        <v>232</v>
      </c>
      <c r="B108" s="38" t="s">
        <v>1018</v>
      </c>
      <c r="C108" s="38" t="s">
        <v>1019</v>
      </c>
    </row>
    <row r="109" spans="1:3" x14ac:dyDescent="0.2">
      <c r="A109" s="38">
        <v>233</v>
      </c>
      <c r="B109" s="38" t="s">
        <v>1027</v>
      </c>
      <c r="C109" s="38" t="s">
        <v>1028</v>
      </c>
    </row>
    <row r="110" spans="1:3" x14ac:dyDescent="0.2">
      <c r="A110" s="38">
        <v>236</v>
      </c>
      <c r="B110" s="38" t="s">
        <v>1036</v>
      </c>
      <c r="C110" s="38" t="s">
        <v>1037</v>
      </c>
    </row>
    <row r="111" spans="1:3" x14ac:dyDescent="0.2">
      <c r="A111" s="38">
        <v>238</v>
      </c>
      <c r="B111" s="38" t="s">
        <v>1047</v>
      </c>
      <c r="C111" s="38" t="s">
        <v>1048</v>
      </c>
    </row>
    <row r="112" spans="1:3" x14ac:dyDescent="0.2">
      <c r="A112" s="38">
        <v>241</v>
      </c>
      <c r="B112" s="38" t="s">
        <v>163</v>
      </c>
      <c r="C112" s="38" t="s">
        <v>163</v>
      </c>
    </row>
    <row r="113" spans="1:3" x14ac:dyDescent="0.2">
      <c r="A113" s="38">
        <v>242</v>
      </c>
      <c r="B113" s="38" t="s">
        <v>1060</v>
      </c>
      <c r="C113" s="38" t="s">
        <v>1061</v>
      </c>
    </row>
    <row r="114" spans="1:3" ht="30" x14ac:dyDescent="0.2">
      <c r="A114" s="38">
        <v>245</v>
      </c>
      <c r="B114" s="38" t="s">
        <v>1069</v>
      </c>
      <c r="C114" s="38" t="s">
        <v>1070</v>
      </c>
    </row>
    <row r="115" spans="1:3" ht="30" x14ac:dyDescent="0.2">
      <c r="A115" s="38">
        <v>247</v>
      </c>
      <c r="B115" s="38" t="s">
        <v>1078</v>
      </c>
      <c r="C115" s="38" t="s">
        <v>1079</v>
      </c>
    </row>
    <row r="116" spans="1:3" ht="30" x14ac:dyDescent="0.2">
      <c r="A116" s="38">
        <v>249</v>
      </c>
      <c r="B116" s="38" t="s">
        <v>1088</v>
      </c>
      <c r="C116" s="38" t="s">
        <v>1089</v>
      </c>
    </row>
    <row r="117" spans="1:3" ht="30" x14ac:dyDescent="0.2">
      <c r="A117" s="38">
        <v>250</v>
      </c>
      <c r="B117" s="38" t="s">
        <v>1096</v>
      </c>
      <c r="C117" s="38" t="s">
        <v>1097</v>
      </c>
    </row>
    <row r="118" spans="1:3" x14ac:dyDescent="0.2">
      <c r="A118" s="38">
        <v>254</v>
      </c>
      <c r="B118" s="38" t="s">
        <v>163</v>
      </c>
      <c r="C118" s="38" t="s">
        <v>1106</v>
      </c>
    </row>
    <row r="119" spans="1:3" ht="30" x14ac:dyDescent="0.2">
      <c r="A119" s="38">
        <v>256</v>
      </c>
      <c r="B119" s="38" t="s">
        <v>1114</v>
      </c>
      <c r="C119" s="38" t="s">
        <v>1115</v>
      </c>
    </row>
    <row r="120" spans="1:3" ht="75" x14ac:dyDescent="0.2">
      <c r="A120" s="38">
        <v>257</v>
      </c>
      <c r="B120" s="38" t="s">
        <v>1125</v>
      </c>
      <c r="C120" s="38" t="s">
        <v>1126</v>
      </c>
    </row>
    <row r="121" spans="1:3" x14ac:dyDescent="0.2">
      <c r="A121" s="38">
        <v>260</v>
      </c>
      <c r="B121" s="38" t="s">
        <v>1135</v>
      </c>
      <c r="C121" s="38" t="s">
        <v>1136</v>
      </c>
    </row>
    <row r="122" spans="1:3" x14ac:dyDescent="0.2">
      <c r="A122" s="38">
        <v>262</v>
      </c>
      <c r="B122" s="38" t="s">
        <v>1144</v>
      </c>
      <c r="C122" s="38" t="s">
        <v>1145</v>
      </c>
    </row>
    <row r="123" spans="1:3" ht="30" x14ac:dyDescent="0.2">
      <c r="A123" s="38">
        <v>263</v>
      </c>
      <c r="B123" s="38" t="s">
        <v>1155</v>
      </c>
      <c r="C123" s="38" t="s">
        <v>1156</v>
      </c>
    </row>
    <row r="124" spans="1:3" x14ac:dyDescent="0.2">
      <c r="A124" s="38">
        <v>272</v>
      </c>
      <c r="B124" s="38" t="s">
        <v>1164</v>
      </c>
      <c r="C124" s="38" t="s">
        <v>1165</v>
      </c>
    </row>
    <row r="125" spans="1:3" x14ac:dyDescent="0.2">
      <c r="A125" s="38">
        <v>273</v>
      </c>
      <c r="B125" s="38" t="s">
        <v>1174</v>
      </c>
      <c r="C125" s="38" t="s">
        <v>1174</v>
      </c>
    </row>
    <row r="126" spans="1:3" ht="30" x14ac:dyDescent="0.2">
      <c r="A126" s="38">
        <v>280</v>
      </c>
      <c r="B126" s="38" t="s">
        <v>1183</v>
      </c>
      <c r="C126" s="38" t="s">
        <v>1184</v>
      </c>
    </row>
    <row r="127" spans="1:3" ht="30" x14ac:dyDescent="0.2">
      <c r="A127" s="38">
        <v>282</v>
      </c>
      <c r="B127" s="38" t="s">
        <v>1193</v>
      </c>
      <c r="C127" s="38" t="s">
        <v>1194</v>
      </c>
    </row>
    <row r="128" spans="1:3" ht="30" x14ac:dyDescent="0.2">
      <c r="A128" s="38">
        <v>286</v>
      </c>
      <c r="B128" s="38" t="s">
        <v>1203</v>
      </c>
      <c r="C128" s="38" t="s">
        <v>1204</v>
      </c>
    </row>
    <row r="129" spans="1:3" x14ac:dyDescent="0.2">
      <c r="A129" s="38">
        <v>287</v>
      </c>
      <c r="B129" s="38" t="s">
        <v>163</v>
      </c>
      <c r="C129" s="38" t="s">
        <v>163</v>
      </c>
    </row>
    <row r="130" spans="1:3" ht="60" x14ac:dyDescent="0.2">
      <c r="A130" s="38">
        <v>288</v>
      </c>
      <c r="B130" s="38" t="s">
        <v>1222</v>
      </c>
      <c r="C130" s="38" t="s">
        <v>1223</v>
      </c>
    </row>
    <row r="131" spans="1:3" x14ac:dyDescent="0.2">
      <c r="A131" s="38">
        <v>289</v>
      </c>
      <c r="B131" s="38" t="s">
        <v>163</v>
      </c>
      <c r="C131" s="38" t="s">
        <v>163</v>
      </c>
    </row>
    <row r="132" spans="1:3" ht="30" x14ac:dyDescent="0.2">
      <c r="A132" s="38">
        <v>290</v>
      </c>
      <c r="B132" s="38" t="s">
        <v>1236</v>
      </c>
      <c r="C132" s="38" t="s">
        <v>1237</v>
      </c>
    </row>
    <row r="133" spans="1:3" ht="30" x14ac:dyDescent="0.2">
      <c r="A133" s="38">
        <v>291</v>
      </c>
      <c r="B133" s="38" t="s">
        <v>1245</v>
      </c>
      <c r="C133" s="38" t="s">
        <v>1246</v>
      </c>
    </row>
    <row r="134" spans="1:3" x14ac:dyDescent="0.2">
      <c r="A134" s="38">
        <v>293</v>
      </c>
      <c r="B134" s="38" t="s">
        <v>1255</v>
      </c>
      <c r="C134" s="38" t="s">
        <v>163</v>
      </c>
    </row>
    <row r="135" spans="1:3" ht="30" x14ac:dyDescent="0.2">
      <c r="A135" s="38">
        <v>294</v>
      </c>
      <c r="B135" s="38" t="s">
        <v>1263</v>
      </c>
      <c r="C135" s="38" t="s">
        <v>1264</v>
      </c>
    </row>
    <row r="136" spans="1:3" x14ac:dyDescent="0.2">
      <c r="A136" s="38">
        <v>295</v>
      </c>
      <c r="B136" s="38" t="s">
        <v>1273</v>
      </c>
      <c r="C136" s="38" t="s">
        <v>1274</v>
      </c>
    </row>
    <row r="137" spans="1:3" ht="30" x14ac:dyDescent="0.2">
      <c r="A137" s="38">
        <v>297</v>
      </c>
      <c r="B137" s="38" t="s">
        <v>1283</v>
      </c>
      <c r="C137" s="38" t="s">
        <v>1284</v>
      </c>
    </row>
    <row r="138" spans="1:3" ht="30" x14ac:dyDescent="0.2">
      <c r="A138" s="38">
        <v>298</v>
      </c>
      <c r="B138" s="38" t="s">
        <v>1291</v>
      </c>
      <c r="C138" s="38" t="s">
        <v>1292</v>
      </c>
    </row>
    <row r="139" spans="1:3" ht="30" x14ac:dyDescent="0.2">
      <c r="A139" s="38">
        <v>300</v>
      </c>
      <c r="B139" s="38" t="s">
        <v>1298</v>
      </c>
      <c r="C139" s="38" t="s">
        <v>1299</v>
      </c>
    </row>
    <row r="140" spans="1:3" ht="30" x14ac:dyDescent="0.2">
      <c r="A140" s="38">
        <v>301</v>
      </c>
      <c r="B140" s="38" t="s">
        <v>1305</v>
      </c>
      <c r="C140" s="38" t="s">
        <v>1306</v>
      </c>
    </row>
    <row r="141" spans="1:3" ht="30" x14ac:dyDescent="0.2">
      <c r="A141" s="38">
        <v>302</v>
      </c>
      <c r="B141" s="38" t="s">
        <v>1314</v>
      </c>
      <c r="C141" s="38" t="s">
        <v>1315</v>
      </c>
    </row>
    <row r="142" spans="1:3" x14ac:dyDescent="0.2">
      <c r="A142" s="38">
        <v>303</v>
      </c>
      <c r="B142" s="38" t="s">
        <v>1321</v>
      </c>
      <c r="C142" s="38" t="s">
        <v>1322</v>
      </c>
    </row>
    <row r="143" spans="1:3" ht="75" x14ac:dyDescent="0.2">
      <c r="A143" s="38">
        <v>304</v>
      </c>
      <c r="B143" s="38" t="s">
        <v>1330</v>
      </c>
      <c r="C143" s="38" t="s">
        <v>1331</v>
      </c>
    </row>
    <row r="144" spans="1:3" x14ac:dyDescent="0.2">
      <c r="A144" s="38">
        <v>305</v>
      </c>
      <c r="B144" s="38" t="s">
        <v>1340</v>
      </c>
      <c r="C144" s="38" t="s">
        <v>699</v>
      </c>
    </row>
    <row r="145" spans="1:3" x14ac:dyDescent="0.2">
      <c r="A145" s="38">
        <v>307</v>
      </c>
      <c r="B145" s="38" t="s">
        <v>1346</v>
      </c>
      <c r="C145" s="38" t="s">
        <v>163</v>
      </c>
    </row>
    <row r="146" spans="1:3" ht="30" x14ac:dyDescent="0.2">
      <c r="A146" s="38">
        <v>308</v>
      </c>
      <c r="B146" s="38" t="s">
        <v>1498</v>
      </c>
      <c r="C146" s="38" t="s">
        <v>1356</v>
      </c>
    </row>
    <row r="147" spans="1:3" ht="30" x14ac:dyDescent="0.2">
      <c r="A147" s="1">
        <v>310</v>
      </c>
      <c r="B147" s="1" t="s">
        <v>1472</v>
      </c>
      <c r="C147" s="1" t="s">
        <v>1483</v>
      </c>
    </row>
    <row r="148" spans="1:3" ht="30" x14ac:dyDescent="0.2">
      <c r="A148" s="1">
        <v>312</v>
      </c>
      <c r="B148" s="1" t="s">
        <v>1473</v>
      </c>
      <c r="C148" s="1" t="s">
        <v>1484</v>
      </c>
    </row>
    <row r="149" spans="1:3" ht="75" x14ac:dyDescent="0.2">
      <c r="A149" s="1">
        <v>314</v>
      </c>
      <c r="B149" s="1" t="s">
        <v>1474</v>
      </c>
      <c r="C149" s="1" t="s">
        <v>1485</v>
      </c>
    </row>
    <row r="150" spans="1:3" x14ac:dyDescent="0.2">
      <c r="A150" s="1">
        <v>315</v>
      </c>
      <c r="B150" s="1" t="s">
        <v>1475</v>
      </c>
      <c r="C150" s="1" t="s">
        <v>1486</v>
      </c>
    </row>
    <row r="151" spans="1:3" x14ac:dyDescent="0.2">
      <c r="A151" s="1">
        <v>316</v>
      </c>
      <c r="B151" s="1" t="s">
        <v>1476</v>
      </c>
      <c r="C151" s="1" t="s">
        <v>1487</v>
      </c>
    </row>
    <row r="152" spans="1:3" ht="30" x14ac:dyDescent="0.2">
      <c r="A152" s="1">
        <v>317</v>
      </c>
      <c r="B152" s="1" t="s">
        <v>47</v>
      </c>
      <c r="C152" s="1" t="s">
        <v>1488</v>
      </c>
    </row>
    <row r="153" spans="1:3" x14ac:dyDescent="0.2">
      <c r="A153" s="1">
        <v>319</v>
      </c>
      <c r="B153" s="1" t="s">
        <v>1477</v>
      </c>
      <c r="C153" s="1" t="s">
        <v>699</v>
      </c>
    </row>
    <row r="154" spans="1:3" x14ac:dyDescent="0.2">
      <c r="A154" s="1">
        <v>323</v>
      </c>
      <c r="B154" s="1" t="s">
        <v>163</v>
      </c>
      <c r="C154" s="1" t="s">
        <v>163</v>
      </c>
    </row>
    <row r="155" spans="1:3" x14ac:dyDescent="0.2">
      <c r="A155" s="1">
        <v>324</v>
      </c>
      <c r="B155" s="1" t="s">
        <v>1478</v>
      </c>
      <c r="C155" s="1" t="s">
        <v>1489</v>
      </c>
    </row>
    <row r="156" spans="1:3" ht="30" x14ac:dyDescent="0.2">
      <c r="A156" s="1">
        <v>325</v>
      </c>
      <c r="B156" s="1" t="s">
        <v>1479</v>
      </c>
      <c r="C156" s="1" t="s">
        <v>47</v>
      </c>
    </row>
    <row r="157" spans="1:3" ht="30" x14ac:dyDescent="0.2">
      <c r="A157" s="1">
        <v>327</v>
      </c>
      <c r="B157" s="1" t="s">
        <v>1480</v>
      </c>
      <c r="C157" s="1" t="s">
        <v>1490</v>
      </c>
    </row>
    <row r="158" spans="1:3" x14ac:dyDescent="0.2">
      <c r="A158" s="1">
        <v>328</v>
      </c>
      <c r="B158" s="1" t="s">
        <v>1481</v>
      </c>
      <c r="C158" s="1" t="s">
        <v>1491</v>
      </c>
    </row>
    <row r="159" spans="1:3" x14ac:dyDescent="0.2">
      <c r="A159" s="1">
        <v>329</v>
      </c>
      <c r="B159" s="1" t="s">
        <v>1482</v>
      </c>
      <c r="C159" s="1" t="s">
        <v>1492</v>
      </c>
    </row>
    <row r="160" spans="1:3" ht="45" x14ac:dyDescent="0.2">
      <c r="A160" s="8">
        <v>331</v>
      </c>
      <c r="B160" s="1" t="s">
        <v>1528</v>
      </c>
      <c r="C160" s="1" t="s">
        <v>1531</v>
      </c>
    </row>
    <row r="161" spans="1:3" ht="30" x14ac:dyDescent="0.2">
      <c r="A161" s="8">
        <v>332</v>
      </c>
      <c r="B161" s="1" t="s">
        <v>1529</v>
      </c>
      <c r="C161" s="1" t="s">
        <v>1532</v>
      </c>
    </row>
    <row r="162" spans="1:3" ht="60" x14ac:dyDescent="0.2">
      <c r="A162" s="8">
        <v>334</v>
      </c>
      <c r="B162" s="1" t="s">
        <v>1530</v>
      </c>
      <c r="C162" s="1" t="s">
        <v>1533</v>
      </c>
    </row>
    <row r="163" spans="1:3" x14ac:dyDescent="0.2">
      <c r="A163" s="8">
        <v>336</v>
      </c>
      <c r="B163" s="1" t="s">
        <v>1516</v>
      </c>
      <c r="C163" s="1" t="s">
        <v>1534</v>
      </c>
    </row>
    <row r="164" spans="1:3" x14ac:dyDescent="0.2">
      <c r="A164" s="8">
        <v>337</v>
      </c>
      <c r="B164" s="1" t="s">
        <v>699</v>
      </c>
      <c r="C164" s="1" t="s">
        <v>1535</v>
      </c>
    </row>
  </sheetData>
  <pageMargins left="0.7" right="0.7" top="0.75" bottom="0.75" header="0.3" footer="0.3"/>
  <pageSetup paperSize="9" scale="15" fitToWidth="0" fitToHeight="0" orientation="portrait" verticalDpi="0"/>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E66"/>
  <sheetViews>
    <sheetView workbookViewId="0">
      <selection activeCell="P36" sqref="P36"/>
    </sheetView>
  </sheetViews>
  <sheetFormatPr baseColWidth="10" defaultRowHeight="15" x14ac:dyDescent="0.2"/>
  <sheetData>
    <row r="1" spans="1:5" x14ac:dyDescent="0.2">
      <c r="A1" t="s">
        <v>2205</v>
      </c>
      <c r="B1" t="s">
        <v>2206</v>
      </c>
      <c r="C1" s="153">
        <v>0</v>
      </c>
      <c r="E1" t="s">
        <v>2207</v>
      </c>
    </row>
    <row r="2" spans="1:5" x14ac:dyDescent="0.2">
      <c r="A2">
        <v>0</v>
      </c>
      <c r="B2">
        <v>1980</v>
      </c>
      <c r="C2">
        <v>0</v>
      </c>
    </row>
    <row r="3" spans="1:5" x14ac:dyDescent="0.2">
      <c r="A3">
        <v>0</v>
      </c>
      <c r="B3">
        <v>1981</v>
      </c>
      <c r="C3">
        <v>0</v>
      </c>
    </row>
    <row r="4" spans="1:5" x14ac:dyDescent="0.2">
      <c r="A4">
        <v>2</v>
      </c>
      <c r="B4">
        <v>1982</v>
      </c>
      <c r="C4">
        <v>0.67900000000000005</v>
      </c>
    </row>
    <row r="5" spans="1:5" x14ac:dyDescent="0.2">
      <c r="A5">
        <v>4</v>
      </c>
      <c r="B5">
        <v>1983</v>
      </c>
      <c r="C5">
        <v>1.298</v>
      </c>
    </row>
    <row r="6" spans="1:5" x14ac:dyDescent="0.2">
      <c r="A6">
        <v>3</v>
      </c>
      <c r="B6">
        <v>1984</v>
      </c>
      <c r="C6">
        <v>0.94599999999999995</v>
      </c>
    </row>
    <row r="7" spans="1:5" x14ac:dyDescent="0.2">
      <c r="A7">
        <v>1</v>
      </c>
      <c r="B7">
        <v>1985</v>
      </c>
      <c r="C7">
        <v>0.29899999999999999</v>
      </c>
    </row>
    <row r="8" spans="1:5" x14ac:dyDescent="0.2">
      <c r="A8">
        <v>1</v>
      </c>
      <c r="B8">
        <v>1986</v>
      </c>
      <c r="C8">
        <v>0.28699999999999998</v>
      </c>
    </row>
    <row r="9" spans="1:5" x14ac:dyDescent="0.2">
      <c r="A9">
        <v>1</v>
      </c>
      <c r="B9">
        <v>1987</v>
      </c>
      <c r="C9">
        <v>0.27300000000000002</v>
      </c>
    </row>
    <row r="10" spans="1:5" x14ac:dyDescent="0.2">
      <c r="A10">
        <v>0</v>
      </c>
      <c r="B10">
        <v>1988</v>
      </c>
      <c r="C10">
        <v>0</v>
      </c>
    </row>
    <row r="11" spans="1:5" x14ac:dyDescent="0.2">
      <c r="A11">
        <v>0</v>
      </c>
      <c r="B11">
        <v>1989</v>
      </c>
      <c r="C11">
        <v>0</v>
      </c>
    </row>
    <row r="12" spans="1:5" x14ac:dyDescent="0.2">
      <c r="A12">
        <v>1</v>
      </c>
      <c r="B12">
        <v>1990</v>
      </c>
      <c r="C12">
        <v>0.245</v>
      </c>
    </row>
    <row r="13" spans="1:5" x14ac:dyDescent="0.2">
      <c r="A13">
        <v>5</v>
      </c>
      <c r="B13">
        <v>1991</v>
      </c>
      <c r="C13">
        <v>1.2190000000000001</v>
      </c>
    </row>
    <row r="14" spans="1:5" x14ac:dyDescent="0.2">
      <c r="A14">
        <v>5</v>
      </c>
      <c r="B14">
        <v>1992</v>
      </c>
      <c r="C14">
        <v>1.2030000000000001</v>
      </c>
    </row>
    <row r="15" spans="1:5" x14ac:dyDescent="0.2">
      <c r="A15">
        <v>4</v>
      </c>
      <c r="B15">
        <v>1993</v>
      </c>
      <c r="C15">
        <v>0.94299999999999995</v>
      </c>
    </row>
    <row r="16" spans="1:5" x14ac:dyDescent="0.2">
      <c r="A16">
        <v>2</v>
      </c>
      <c r="B16">
        <v>1994</v>
      </c>
      <c r="C16">
        <v>0.46</v>
      </c>
    </row>
    <row r="17" spans="1:3" x14ac:dyDescent="0.2">
      <c r="A17">
        <v>4</v>
      </c>
      <c r="B17">
        <v>1995</v>
      </c>
      <c r="C17">
        <v>0.89600000000000002</v>
      </c>
    </row>
    <row r="18" spans="1:3" x14ac:dyDescent="0.2">
      <c r="A18">
        <v>8</v>
      </c>
      <c r="B18">
        <v>1996</v>
      </c>
      <c r="C18">
        <v>1.754</v>
      </c>
    </row>
    <row r="19" spans="1:3" x14ac:dyDescent="0.2">
      <c r="A19">
        <v>7</v>
      </c>
      <c r="B19">
        <v>1997</v>
      </c>
      <c r="C19">
        <v>1.544</v>
      </c>
    </row>
    <row r="20" spans="1:3" x14ac:dyDescent="0.2">
      <c r="A20">
        <v>14</v>
      </c>
      <c r="B20">
        <v>1998</v>
      </c>
      <c r="C20">
        <v>2.9729999999999999</v>
      </c>
    </row>
    <row r="21" spans="1:3" x14ac:dyDescent="0.2">
      <c r="A21">
        <v>22</v>
      </c>
      <c r="B21">
        <v>1999</v>
      </c>
      <c r="C21">
        <v>4.4829999999999997</v>
      </c>
    </row>
    <row r="22" spans="1:3" x14ac:dyDescent="0.2">
      <c r="A22">
        <v>26</v>
      </c>
      <c r="B22">
        <v>2000</v>
      </c>
      <c r="C22">
        <v>4.9039999999999999</v>
      </c>
    </row>
    <row r="23" spans="1:3" x14ac:dyDescent="0.2">
      <c r="A23">
        <v>29</v>
      </c>
      <c r="B23">
        <v>2001</v>
      </c>
      <c r="C23">
        <v>5.3259999999999996</v>
      </c>
    </row>
    <row r="24" spans="1:3" x14ac:dyDescent="0.2">
      <c r="A24">
        <v>44</v>
      </c>
      <c r="B24">
        <v>2002</v>
      </c>
      <c r="C24">
        <v>7.8280000000000003</v>
      </c>
    </row>
    <row r="25" spans="1:3" x14ac:dyDescent="0.2">
      <c r="A25">
        <v>59</v>
      </c>
      <c r="B25">
        <v>2003</v>
      </c>
      <c r="C25">
        <v>9.9670000000000005</v>
      </c>
    </row>
    <row r="26" spans="1:3" x14ac:dyDescent="0.2">
      <c r="A26">
        <v>84</v>
      </c>
      <c r="B26">
        <v>2004</v>
      </c>
      <c r="C26">
        <v>13.188000000000001</v>
      </c>
    </row>
    <row r="27" spans="1:3" x14ac:dyDescent="0.2">
      <c r="A27">
        <v>107</v>
      </c>
      <c r="B27">
        <v>2005</v>
      </c>
      <c r="C27">
        <v>15.342000000000001</v>
      </c>
    </row>
    <row r="28" spans="1:3" x14ac:dyDescent="0.2">
      <c r="A28">
        <v>137</v>
      </c>
      <c r="B28">
        <v>2006</v>
      </c>
      <c r="C28">
        <v>18.414000000000001</v>
      </c>
    </row>
    <row r="29" spans="1:3" x14ac:dyDescent="0.2">
      <c r="A29">
        <v>193</v>
      </c>
      <c r="B29">
        <v>2007</v>
      </c>
      <c r="C29">
        <v>24.67</v>
      </c>
    </row>
    <row r="30" spans="1:3" x14ac:dyDescent="0.2">
      <c r="A30">
        <v>228</v>
      </c>
      <c r="B30">
        <v>2008</v>
      </c>
      <c r="C30">
        <v>27.42</v>
      </c>
    </row>
    <row r="31" spans="1:3" x14ac:dyDescent="0.2">
      <c r="A31">
        <v>316</v>
      </c>
      <c r="B31">
        <v>2009</v>
      </c>
      <c r="C31">
        <v>36.244</v>
      </c>
    </row>
    <row r="32" spans="1:3" x14ac:dyDescent="0.2">
      <c r="A32">
        <v>396</v>
      </c>
      <c r="B32">
        <v>2010</v>
      </c>
      <c r="C32">
        <v>42.345999999999997</v>
      </c>
    </row>
    <row r="33" spans="1:3" x14ac:dyDescent="0.2">
      <c r="A33">
        <v>462</v>
      </c>
      <c r="B33">
        <v>2011</v>
      </c>
      <c r="C33">
        <v>45.7</v>
      </c>
    </row>
    <row r="34" spans="1:3" x14ac:dyDescent="0.2">
      <c r="A34">
        <v>571</v>
      </c>
      <c r="B34">
        <v>2012</v>
      </c>
      <c r="C34">
        <v>53.121000000000002</v>
      </c>
    </row>
    <row r="35" spans="1:3" x14ac:dyDescent="0.2">
      <c r="A35">
        <v>690</v>
      </c>
      <c r="B35">
        <v>2013</v>
      </c>
      <c r="C35">
        <v>60.84</v>
      </c>
    </row>
    <row r="37" spans="1:3" x14ac:dyDescent="0.2">
      <c r="A37">
        <v>1</v>
      </c>
      <c r="B37">
        <v>1979</v>
      </c>
      <c r="C37">
        <v>0.35599999999999998</v>
      </c>
    </row>
    <row r="38" spans="1:3" x14ac:dyDescent="0.2">
      <c r="A38">
        <v>0</v>
      </c>
      <c r="B38">
        <v>1978</v>
      </c>
      <c r="C38">
        <v>0</v>
      </c>
    </row>
    <row r="39" spans="1:3" x14ac:dyDescent="0.2">
      <c r="A39">
        <v>0</v>
      </c>
      <c r="B39">
        <v>1977</v>
      </c>
      <c r="C39">
        <v>0</v>
      </c>
    </row>
    <row r="40" spans="1:3" x14ac:dyDescent="0.2">
      <c r="A40">
        <v>0</v>
      </c>
      <c r="B40">
        <v>1976</v>
      </c>
      <c r="C40">
        <v>0</v>
      </c>
    </row>
    <row r="41" spans="1:3" x14ac:dyDescent="0.2">
      <c r="A41">
        <v>2</v>
      </c>
      <c r="B41">
        <v>1975</v>
      </c>
      <c r="C41">
        <v>0.80500000000000005</v>
      </c>
    </row>
    <row r="42" spans="1:3" x14ac:dyDescent="0.2">
      <c r="A42">
        <v>0</v>
      </c>
      <c r="B42">
        <v>1974</v>
      </c>
      <c r="C42">
        <v>0</v>
      </c>
    </row>
    <row r="43" spans="1:3" x14ac:dyDescent="0.2">
      <c r="A43">
        <v>0</v>
      </c>
      <c r="B43">
        <v>1973</v>
      </c>
      <c r="C43">
        <v>0</v>
      </c>
    </row>
    <row r="44" spans="1:3" x14ac:dyDescent="0.2">
      <c r="A44">
        <v>0</v>
      </c>
      <c r="B44">
        <v>1972</v>
      </c>
      <c r="C44">
        <v>0</v>
      </c>
    </row>
    <row r="45" spans="1:3" x14ac:dyDescent="0.2">
      <c r="A45">
        <v>0</v>
      </c>
      <c r="B45">
        <v>1971</v>
      </c>
      <c r="C45">
        <v>0</v>
      </c>
    </row>
    <row r="46" spans="1:3" x14ac:dyDescent="0.2">
      <c r="A46">
        <v>0</v>
      </c>
      <c r="B46">
        <v>1970</v>
      </c>
      <c r="C46">
        <v>0</v>
      </c>
    </row>
    <row r="47" spans="1:3" x14ac:dyDescent="0.2">
      <c r="A47">
        <v>0</v>
      </c>
      <c r="B47">
        <v>1969</v>
      </c>
      <c r="C47">
        <v>0</v>
      </c>
    </row>
    <row r="48" spans="1:3" x14ac:dyDescent="0.2">
      <c r="A48">
        <v>0</v>
      </c>
      <c r="B48">
        <v>1968</v>
      </c>
      <c r="C48">
        <v>0</v>
      </c>
    </row>
    <row r="49" spans="1:3" x14ac:dyDescent="0.2">
      <c r="A49">
        <v>1</v>
      </c>
      <c r="B49">
        <v>1967</v>
      </c>
      <c r="C49">
        <v>0.52200000000000002</v>
      </c>
    </row>
    <row r="50" spans="1:3" x14ac:dyDescent="0.2">
      <c r="A50">
        <v>0</v>
      </c>
      <c r="B50">
        <v>1966</v>
      </c>
      <c r="C50">
        <v>0</v>
      </c>
    </row>
    <row r="51" spans="1:3" x14ac:dyDescent="0.2">
      <c r="A51">
        <v>0</v>
      </c>
      <c r="B51">
        <v>1965</v>
      </c>
      <c r="C51">
        <v>0</v>
      </c>
    </row>
    <row r="52" spans="1:3" x14ac:dyDescent="0.2">
      <c r="A52">
        <v>0</v>
      </c>
      <c r="B52">
        <v>1964</v>
      </c>
      <c r="C52">
        <v>0</v>
      </c>
    </row>
    <row r="53" spans="1:3" x14ac:dyDescent="0.2">
      <c r="A53">
        <v>0</v>
      </c>
      <c r="B53">
        <v>1963</v>
      </c>
      <c r="C53">
        <v>0</v>
      </c>
    </row>
    <row r="54" spans="1:3" x14ac:dyDescent="0.2">
      <c r="A54">
        <v>0</v>
      </c>
      <c r="B54">
        <v>1962</v>
      </c>
      <c r="C54">
        <v>0</v>
      </c>
    </row>
    <row r="55" spans="1:3" x14ac:dyDescent="0.2">
      <c r="A55">
        <v>0</v>
      </c>
      <c r="B55">
        <v>1961</v>
      </c>
      <c r="C55">
        <v>0</v>
      </c>
    </row>
    <row r="56" spans="1:3" x14ac:dyDescent="0.2">
      <c r="A56">
        <v>0</v>
      </c>
      <c r="B56">
        <v>1960</v>
      </c>
      <c r="C56">
        <v>0</v>
      </c>
    </row>
    <row r="57" spans="1:3" x14ac:dyDescent="0.2">
      <c r="A57">
        <v>0</v>
      </c>
      <c r="B57">
        <v>1959</v>
      </c>
      <c r="C57">
        <v>0</v>
      </c>
    </row>
    <row r="58" spans="1:3" x14ac:dyDescent="0.2">
      <c r="A58">
        <v>0</v>
      </c>
      <c r="B58">
        <v>1958</v>
      </c>
      <c r="C58">
        <v>0</v>
      </c>
    </row>
    <row r="59" spans="1:3" x14ac:dyDescent="0.2">
      <c r="A59">
        <v>0</v>
      </c>
      <c r="B59">
        <v>1957</v>
      </c>
      <c r="C59">
        <v>0</v>
      </c>
    </row>
    <row r="60" spans="1:3" x14ac:dyDescent="0.2">
      <c r="A60">
        <v>0</v>
      </c>
      <c r="B60">
        <v>1956</v>
      </c>
      <c r="C60">
        <v>0</v>
      </c>
    </row>
    <row r="61" spans="1:3" x14ac:dyDescent="0.2">
      <c r="A61">
        <v>0</v>
      </c>
      <c r="B61">
        <v>1955</v>
      </c>
      <c r="C61">
        <v>0</v>
      </c>
    </row>
    <row r="62" spans="1:3" x14ac:dyDescent="0.2">
      <c r="A62">
        <v>0</v>
      </c>
      <c r="B62">
        <v>1954</v>
      </c>
      <c r="C62">
        <v>0</v>
      </c>
    </row>
    <row r="63" spans="1:3" x14ac:dyDescent="0.2">
      <c r="A63">
        <v>0</v>
      </c>
      <c r="B63">
        <v>1953</v>
      </c>
      <c r="C63">
        <v>0</v>
      </c>
    </row>
    <row r="64" spans="1:3" x14ac:dyDescent="0.2">
      <c r="A64">
        <v>0</v>
      </c>
      <c r="B64">
        <v>1952</v>
      </c>
      <c r="C64">
        <v>0</v>
      </c>
    </row>
    <row r="65" spans="1:3" x14ac:dyDescent="0.2">
      <c r="A65">
        <v>0</v>
      </c>
      <c r="B65">
        <v>1951</v>
      </c>
      <c r="C65">
        <v>0</v>
      </c>
    </row>
    <row r="66" spans="1:3" x14ac:dyDescent="0.2">
      <c r="A66">
        <v>0</v>
      </c>
      <c r="B66">
        <v>1950</v>
      </c>
      <c r="C66">
        <v>0</v>
      </c>
    </row>
  </sheetData>
  <sortState ref="A2:C35">
    <sortCondition ref="B2:B35"/>
  </sortState>
  <pageMargins left="0.75" right="0.75" top="1" bottom="1" header="0.5" footer="0.5"/>
  <pageSetup paperSize="9"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164"/>
  <sheetViews>
    <sheetView workbookViewId="0">
      <selection activeCell="E8" sqref="E8"/>
    </sheetView>
  </sheetViews>
  <sheetFormatPr baseColWidth="10" defaultColWidth="8.83203125" defaultRowHeight="15" x14ac:dyDescent="0.2"/>
  <cols>
    <col min="1" max="1" width="12.83203125" customWidth="1"/>
    <col min="4" max="4" width="10" bestFit="1" customWidth="1"/>
  </cols>
  <sheetData>
    <row r="1" spans="1:5" x14ac:dyDescent="0.2">
      <c r="A1" s="6" t="s">
        <v>0</v>
      </c>
      <c r="B1" s="6" t="s">
        <v>2</v>
      </c>
    </row>
    <row r="2" spans="1:5" x14ac:dyDescent="0.2">
      <c r="A2" s="6">
        <v>2</v>
      </c>
      <c r="B2" s="6">
        <v>35</v>
      </c>
      <c r="D2" s="22" t="s">
        <v>1373</v>
      </c>
      <c r="E2" s="28">
        <f>COUNTA(A2:A164)</f>
        <v>163</v>
      </c>
    </row>
    <row r="3" spans="1:5" x14ac:dyDescent="0.2">
      <c r="A3" s="6">
        <v>5</v>
      </c>
      <c r="B3" s="6">
        <v>35</v>
      </c>
      <c r="D3" s="11" t="s">
        <v>1369</v>
      </c>
      <c r="E3" s="26">
        <f>AVERAGE($B$2:$B$164)</f>
        <v>36.057324840764331</v>
      </c>
    </row>
    <row r="4" spans="1:5" x14ac:dyDescent="0.2">
      <c r="A4" s="6">
        <v>6</v>
      </c>
      <c r="B4" s="6">
        <v>47</v>
      </c>
      <c r="D4" s="11" t="s">
        <v>1370</v>
      </c>
      <c r="E4" s="26">
        <f>_xlfn.STDEV.S(B2:B164)</f>
        <v>9.2571815768281294</v>
      </c>
    </row>
    <row r="5" spans="1:5" x14ac:dyDescent="0.2">
      <c r="A5" s="6">
        <v>11</v>
      </c>
      <c r="B5" s="6">
        <v>33</v>
      </c>
      <c r="D5" s="17" t="s">
        <v>56</v>
      </c>
      <c r="E5" s="39">
        <f>COUNTBLANK(B2:B164)</f>
        <v>6</v>
      </c>
    </row>
    <row r="6" spans="1:5" x14ac:dyDescent="0.2">
      <c r="A6" s="6">
        <v>18</v>
      </c>
      <c r="B6" s="6">
        <v>37</v>
      </c>
      <c r="E6" s="26">
        <f>MIN($B$2:$B$164)</f>
        <v>23</v>
      </c>
    </row>
    <row r="7" spans="1:5" x14ac:dyDescent="0.2">
      <c r="A7" s="6">
        <v>21</v>
      </c>
      <c r="B7" s="6">
        <v>27</v>
      </c>
      <c r="E7" s="26">
        <f>MAX($B$2:$B$164)</f>
        <v>72</v>
      </c>
    </row>
    <row r="8" spans="1:5" x14ac:dyDescent="0.2">
      <c r="A8" s="6">
        <v>22</v>
      </c>
      <c r="B8" s="6">
        <v>34</v>
      </c>
    </row>
    <row r="9" spans="1:5" x14ac:dyDescent="0.2">
      <c r="A9" s="6">
        <v>26</v>
      </c>
      <c r="B9" s="6">
        <v>47</v>
      </c>
    </row>
    <row r="10" spans="1:5" x14ac:dyDescent="0.2">
      <c r="A10" s="6">
        <v>30</v>
      </c>
      <c r="B10" s="6">
        <v>30</v>
      </c>
    </row>
    <row r="11" spans="1:5" x14ac:dyDescent="0.2">
      <c r="A11" s="6">
        <v>31</v>
      </c>
      <c r="B11" s="6">
        <v>32</v>
      </c>
    </row>
    <row r="12" spans="1:5" x14ac:dyDescent="0.2">
      <c r="A12" s="6">
        <v>28</v>
      </c>
      <c r="B12" s="6">
        <v>27</v>
      </c>
    </row>
    <row r="13" spans="1:5" x14ac:dyDescent="0.2">
      <c r="A13" s="6">
        <v>32</v>
      </c>
      <c r="B13" s="6">
        <v>37</v>
      </c>
    </row>
    <row r="14" spans="1:5" x14ac:dyDescent="0.2">
      <c r="A14" s="6">
        <v>34</v>
      </c>
      <c r="B14" s="6">
        <v>31</v>
      </c>
    </row>
    <row r="15" spans="1:5" x14ac:dyDescent="0.2">
      <c r="A15" s="6">
        <v>35</v>
      </c>
      <c r="B15" s="6">
        <v>37</v>
      </c>
    </row>
    <row r="16" spans="1:5" x14ac:dyDescent="0.2">
      <c r="A16" s="6">
        <v>36</v>
      </c>
      <c r="B16" s="6">
        <v>28</v>
      </c>
    </row>
    <row r="17" spans="1:2" x14ac:dyDescent="0.2">
      <c r="A17" s="6">
        <v>38</v>
      </c>
      <c r="B17" s="6">
        <v>34</v>
      </c>
    </row>
    <row r="18" spans="1:2" x14ac:dyDescent="0.2">
      <c r="A18" s="6">
        <v>40</v>
      </c>
      <c r="B18" s="6">
        <v>26</v>
      </c>
    </row>
    <row r="19" spans="1:2" x14ac:dyDescent="0.2">
      <c r="A19" s="6">
        <v>41</v>
      </c>
      <c r="B19" s="6">
        <v>36</v>
      </c>
    </row>
    <row r="20" spans="1:2" x14ac:dyDescent="0.2">
      <c r="A20" s="6">
        <v>42</v>
      </c>
      <c r="B20" s="6">
        <v>42</v>
      </c>
    </row>
    <row r="21" spans="1:2" x14ac:dyDescent="0.2">
      <c r="A21" s="6">
        <v>44</v>
      </c>
      <c r="B21" s="6">
        <v>27</v>
      </c>
    </row>
    <row r="22" spans="1:2" x14ac:dyDescent="0.2">
      <c r="A22" s="6">
        <v>46</v>
      </c>
      <c r="B22" s="6">
        <v>30</v>
      </c>
    </row>
    <row r="23" spans="1:2" x14ac:dyDescent="0.2">
      <c r="A23" s="6">
        <v>47</v>
      </c>
      <c r="B23" s="6">
        <v>38</v>
      </c>
    </row>
    <row r="24" spans="1:2" x14ac:dyDescent="0.2">
      <c r="A24" s="6">
        <v>49</v>
      </c>
      <c r="B24" s="6">
        <v>32</v>
      </c>
    </row>
    <row r="25" spans="1:2" x14ac:dyDescent="0.2">
      <c r="A25" s="6">
        <v>50</v>
      </c>
      <c r="B25" s="6">
        <v>33</v>
      </c>
    </row>
    <row r="26" spans="1:2" x14ac:dyDescent="0.2">
      <c r="A26" s="6">
        <v>51</v>
      </c>
      <c r="B26" s="6">
        <v>32</v>
      </c>
    </row>
    <row r="27" spans="1:2" x14ac:dyDescent="0.2">
      <c r="A27" s="6">
        <v>53</v>
      </c>
      <c r="B27" s="6">
        <v>40</v>
      </c>
    </row>
    <row r="28" spans="1:2" x14ac:dyDescent="0.2">
      <c r="A28" s="6">
        <v>55</v>
      </c>
      <c r="B28" s="6">
        <v>54</v>
      </c>
    </row>
    <row r="29" spans="1:2" x14ac:dyDescent="0.2">
      <c r="A29" s="6">
        <v>60</v>
      </c>
      <c r="B29" s="6">
        <v>30</v>
      </c>
    </row>
    <row r="30" spans="1:2" x14ac:dyDescent="0.2">
      <c r="A30" s="6">
        <v>61</v>
      </c>
      <c r="B30" s="6">
        <v>37</v>
      </c>
    </row>
    <row r="31" spans="1:2" x14ac:dyDescent="0.2">
      <c r="A31" s="6">
        <v>62</v>
      </c>
      <c r="B31" s="6">
        <v>37</v>
      </c>
    </row>
    <row r="32" spans="1:2" x14ac:dyDescent="0.2">
      <c r="A32" s="6">
        <v>65</v>
      </c>
      <c r="B32" s="6">
        <v>29</v>
      </c>
    </row>
    <row r="33" spans="1:2" x14ac:dyDescent="0.2">
      <c r="A33" s="6">
        <v>70</v>
      </c>
      <c r="B33" s="6">
        <v>28</v>
      </c>
    </row>
    <row r="34" spans="1:2" x14ac:dyDescent="0.2">
      <c r="A34" s="6">
        <v>71</v>
      </c>
      <c r="B34" s="6">
        <v>37</v>
      </c>
    </row>
    <row r="35" spans="1:2" x14ac:dyDescent="0.2">
      <c r="A35" s="6">
        <v>72</v>
      </c>
      <c r="B35" s="6">
        <v>29</v>
      </c>
    </row>
    <row r="36" spans="1:2" x14ac:dyDescent="0.2">
      <c r="A36" s="6">
        <v>74</v>
      </c>
      <c r="B36" s="6">
        <v>41</v>
      </c>
    </row>
    <row r="37" spans="1:2" x14ac:dyDescent="0.2">
      <c r="A37" s="6">
        <v>75</v>
      </c>
      <c r="B37" s="6">
        <v>48</v>
      </c>
    </row>
    <row r="38" spans="1:2" x14ac:dyDescent="0.2">
      <c r="A38" s="6">
        <v>76</v>
      </c>
      <c r="B38" s="6">
        <v>41</v>
      </c>
    </row>
    <row r="39" spans="1:2" x14ac:dyDescent="0.2">
      <c r="A39" s="6">
        <v>78</v>
      </c>
      <c r="B39" s="6">
        <v>37</v>
      </c>
    </row>
    <row r="40" spans="1:2" x14ac:dyDescent="0.2">
      <c r="A40" s="6">
        <v>79</v>
      </c>
      <c r="B40" s="6">
        <v>36</v>
      </c>
    </row>
    <row r="41" spans="1:2" x14ac:dyDescent="0.2">
      <c r="A41" s="6">
        <v>80</v>
      </c>
      <c r="B41" s="6">
        <v>48</v>
      </c>
    </row>
    <row r="42" spans="1:2" x14ac:dyDescent="0.2">
      <c r="A42" s="6">
        <v>87</v>
      </c>
      <c r="B42" s="6">
        <v>60</v>
      </c>
    </row>
    <row r="43" spans="1:2" x14ac:dyDescent="0.2">
      <c r="A43" s="6">
        <v>89</v>
      </c>
      <c r="B43" s="6">
        <v>27</v>
      </c>
    </row>
    <row r="44" spans="1:2" x14ac:dyDescent="0.2">
      <c r="A44" s="6">
        <v>90</v>
      </c>
      <c r="B44" s="6"/>
    </row>
    <row r="45" spans="1:2" x14ac:dyDescent="0.2">
      <c r="A45" s="6">
        <v>91</v>
      </c>
      <c r="B45" s="6">
        <v>37</v>
      </c>
    </row>
    <row r="46" spans="1:2" x14ac:dyDescent="0.2">
      <c r="A46" s="6">
        <v>92</v>
      </c>
      <c r="B46" s="6">
        <v>31</v>
      </c>
    </row>
    <row r="47" spans="1:2" x14ac:dyDescent="0.2">
      <c r="A47" s="6">
        <v>93</v>
      </c>
      <c r="B47" s="6">
        <v>36</v>
      </c>
    </row>
    <row r="48" spans="1:2" x14ac:dyDescent="0.2">
      <c r="A48" s="6">
        <v>95</v>
      </c>
      <c r="B48" s="6">
        <v>54</v>
      </c>
    </row>
    <row r="49" spans="1:2" x14ac:dyDescent="0.2">
      <c r="A49" s="6">
        <v>96</v>
      </c>
      <c r="B49" s="6">
        <v>26</v>
      </c>
    </row>
    <row r="50" spans="1:2" x14ac:dyDescent="0.2">
      <c r="A50" s="6">
        <v>100</v>
      </c>
      <c r="B50" s="6">
        <v>26</v>
      </c>
    </row>
    <row r="51" spans="1:2" x14ac:dyDescent="0.2">
      <c r="A51" s="6">
        <v>104</v>
      </c>
      <c r="B51" s="6">
        <v>27</v>
      </c>
    </row>
    <row r="52" spans="1:2" x14ac:dyDescent="0.2">
      <c r="A52" s="6">
        <v>107</v>
      </c>
      <c r="B52" s="6">
        <v>28</v>
      </c>
    </row>
    <row r="53" spans="1:2" x14ac:dyDescent="0.2">
      <c r="A53" s="6">
        <v>109</v>
      </c>
      <c r="B53" s="6">
        <v>53</v>
      </c>
    </row>
    <row r="54" spans="1:2" x14ac:dyDescent="0.2">
      <c r="A54" s="6">
        <v>110</v>
      </c>
      <c r="B54" s="6">
        <v>35</v>
      </c>
    </row>
    <row r="55" spans="1:2" x14ac:dyDescent="0.2">
      <c r="A55" s="6">
        <v>112</v>
      </c>
      <c r="B55" s="6">
        <v>32</v>
      </c>
    </row>
    <row r="56" spans="1:2" x14ac:dyDescent="0.2">
      <c r="A56" s="6">
        <v>118</v>
      </c>
      <c r="B56" s="6">
        <v>30</v>
      </c>
    </row>
    <row r="57" spans="1:2" x14ac:dyDescent="0.2">
      <c r="A57" s="6">
        <v>119</v>
      </c>
      <c r="B57" s="6">
        <v>38</v>
      </c>
    </row>
    <row r="58" spans="1:2" x14ac:dyDescent="0.2">
      <c r="A58" s="6">
        <v>120</v>
      </c>
      <c r="B58" s="6">
        <v>33</v>
      </c>
    </row>
    <row r="59" spans="1:2" x14ac:dyDescent="0.2">
      <c r="A59" s="6">
        <v>121</v>
      </c>
      <c r="B59" s="6">
        <v>33</v>
      </c>
    </row>
    <row r="60" spans="1:2" x14ac:dyDescent="0.2">
      <c r="A60" s="6">
        <v>122</v>
      </c>
      <c r="B60" s="6">
        <v>36</v>
      </c>
    </row>
    <row r="61" spans="1:2" x14ac:dyDescent="0.2">
      <c r="A61" s="6">
        <v>127</v>
      </c>
      <c r="B61" s="6">
        <v>48</v>
      </c>
    </row>
    <row r="62" spans="1:2" x14ac:dyDescent="0.2">
      <c r="A62" s="6">
        <v>128</v>
      </c>
      <c r="B62" s="6">
        <v>28</v>
      </c>
    </row>
    <row r="63" spans="1:2" x14ac:dyDescent="0.2">
      <c r="A63" s="6">
        <v>132</v>
      </c>
      <c r="B63" s="6">
        <v>28</v>
      </c>
    </row>
    <row r="64" spans="1:2" x14ac:dyDescent="0.2">
      <c r="A64" s="6">
        <v>135</v>
      </c>
      <c r="B64" s="6">
        <v>37</v>
      </c>
    </row>
    <row r="65" spans="1:2" x14ac:dyDescent="0.2">
      <c r="A65" s="6">
        <v>136</v>
      </c>
      <c r="B65" s="6"/>
    </row>
    <row r="66" spans="1:2" x14ac:dyDescent="0.2">
      <c r="A66" s="6">
        <v>138</v>
      </c>
      <c r="B66" s="6">
        <v>33</v>
      </c>
    </row>
    <row r="67" spans="1:2" x14ac:dyDescent="0.2">
      <c r="A67" s="6">
        <v>139</v>
      </c>
      <c r="B67" s="6">
        <v>60</v>
      </c>
    </row>
    <row r="68" spans="1:2" x14ac:dyDescent="0.2">
      <c r="A68" s="6">
        <v>140</v>
      </c>
      <c r="B68" s="6">
        <v>28</v>
      </c>
    </row>
    <row r="69" spans="1:2" x14ac:dyDescent="0.2">
      <c r="A69" s="6">
        <v>148</v>
      </c>
      <c r="B69" s="6">
        <v>37</v>
      </c>
    </row>
    <row r="70" spans="1:2" x14ac:dyDescent="0.2">
      <c r="A70" s="6">
        <v>149</v>
      </c>
      <c r="B70" s="6">
        <v>32</v>
      </c>
    </row>
    <row r="71" spans="1:2" x14ac:dyDescent="0.2">
      <c r="A71" s="6">
        <v>150</v>
      </c>
      <c r="B71" s="6">
        <v>32</v>
      </c>
    </row>
    <row r="72" spans="1:2" x14ac:dyDescent="0.2">
      <c r="A72" s="6">
        <v>151</v>
      </c>
      <c r="B72" s="6"/>
    </row>
    <row r="73" spans="1:2" x14ac:dyDescent="0.2">
      <c r="A73" s="6">
        <v>152</v>
      </c>
      <c r="B73" s="6">
        <v>30</v>
      </c>
    </row>
    <row r="74" spans="1:2" x14ac:dyDescent="0.2">
      <c r="A74" s="6">
        <v>153</v>
      </c>
      <c r="B74" s="6">
        <v>32</v>
      </c>
    </row>
    <row r="75" spans="1:2" x14ac:dyDescent="0.2">
      <c r="A75" s="6">
        <v>157</v>
      </c>
      <c r="B75" s="6">
        <v>25</v>
      </c>
    </row>
    <row r="76" spans="1:2" x14ac:dyDescent="0.2">
      <c r="A76" s="6">
        <v>156</v>
      </c>
      <c r="B76" s="6">
        <v>64</v>
      </c>
    </row>
    <row r="77" spans="1:2" x14ac:dyDescent="0.2">
      <c r="A77" s="6">
        <v>162</v>
      </c>
      <c r="B77" s="6"/>
    </row>
    <row r="78" spans="1:2" x14ac:dyDescent="0.2">
      <c r="A78" s="6">
        <v>164</v>
      </c>
      <c r="B78" s="6">
        <v>32</v>
      </c>
    </row>
    <row r="79" spans="1:2" x14ac:dyDescent="0.2">
      <c r="A79" s="6">
        <v>166</v>
      </c>
      <c r="B79" s="6">
        <v>27</v>
      </c>
    </row>
    <row r="80" spans="1:2" x14ac:dyDescent="0.2">
      <c r="A80" s="6">
        <v>170</v>
      </c>
      <c r="B80" s="6">
        <v>50</v>
      </c>
    </row>
    <row r="81" spans="1:2" x14ac:dyDescent="0.2">
      <c r="A81" s="6">
        <v>173</v>
      </c>
      <c r="B81" s="6">
        <v>35</v>
      </c>
    </row>
    <row r="82" spans="1:2" x14ac:dyDescent="0.2">
      <c r="A82" s="6">
        <v>175</v>
      </c>
      <c r="B82" s="6">
        <v>34</v>
      </c>
    </row>
    <row r="83" spans="1:2" x14ac:dyDescent="0.2">
      <c r="A83" s="6">
        <v>178</v>
      </c>
      <c r="B83" s="6">
        <v>35</v>
      </c>
    </row>
    <row r="84" spans="1:2" x14ac:dyDescent="0.2">
      <c r="A84" s="6">
        <v>183</v>
      </c>
      <c r="B84" s="6">
        <v>26</v>
      </c>
    </row>
    <row r="85" spans="1:2" x14ac:dyDescent="0.2">
      <c r="A85" s="6">
        <v>185</v>
      </c>
      <c r="B85" s="6">
        <v>33</v>
      </c>
    </row>
    <row r="86" spans="1:2" x14ac:dyDescent="0.2">
      <c r="A86" s="6">
        <v>186</v>
      </c>
      <c r="B86" s="6">
        <v>23</v>
      </c>
    </row>
    <row r="87" spans="1:2" x14ac:dyDescent="0.2">
      <c r="A87" s="6">
        <v>189</v>
      </c>
      <c r="B87" s="6">
        <v>28</v>
      </c>
    </row>
    <row r="88" spans="1:2" x14ac:dyDescent="0.2">
      <c r="A88" s="6">
        <v>190</v>
      </c>
      <c r="B88" s="6">
        <v>27</v>
      </c>
    </row>
    <row r="89" spans="1:2" x14ac:dyDescent="0.2">
      <c r="A89" s="6">
        <v>192</v>
      </c>
      <c r="B89" s="6">
        <v>30</v>
      </c>
    </row>
    <row r="90" spans="1:2" x14ac:dyDescent="0.2">
      <c r="A90" s="6">
        <v>193</v>
      </c>
      <c r="B90" s="6">
        <v>36</v>
      </c>
    </row>
    <row r="91" spans="1:2" x14ac:dyDescent="0.2">
      <c r="A91" s="6">
        <v>196</v>
      </c>
      <c r="B91" s="6">
        <v>38</v>
      </c>
    </row>
    <row r="92" spans="1:2" x14ac:dyDescent="0.2">
      <c r="A92" s="6">
        <v>197</v>
      </c>
      <c r="B92" s="6">
        <v>39</v>
      </c>
    </row>
    <row r="93" spans="1:2" x14ac:dyDescent="0.2">
      <c r="A93" s="6">
        <v>200</v>
      </c>
      <c r="B93" s="6">
        <v>37</v>
      </c>
    </row>
    <row r="94" spans="1:2" x14ac:dyDescent="0.2">
      <c r="A94" s="6">
        <v>203</v>
      </c>
      <c r="B94" s="6">
        <v>32</v>
      </c>
    </row>
    <row r="95" spans="1:2" x14ac:dyDescent="0.2">
      <c r="A95" s="6">
        <v>204</v>
      </c>
      <c r="B95" s="6">
        <v>28</v>
      </c>
    </row>
    <row r="96" spans="1:2" x14ac:dyDescent="0.2">
      <c r="A96" s="6">
        <v>207</v>
      </c>
      <c r="B96" s="6">
        <v>40</v>
      </c>
    </row>
    <row r="97" spans="1:2" x14ac:dyDescent="0.2">
      <c r="A97" s="6">
        <v>208</v>
      </c>
      <c r="B97" s="6">
        <v>32</v>
      </c>
    </row>
    <row r="98" spans="1:2" x14ac:dyDescent="0.2">
      <c r="A98" s="6">
        <v>210</v>
      </c>
      <c r="B98" s="6">
        <v>42</v>
      </c>
    </row>
    <row r="99" spans="1:2" x14ac:dyDescent="0.2">
      <c r="A99" s="6">
        <v>212</v>
      </c>
      <c r="B99" s="6">
        <v>30</v>
      </c>
    </row>
    <row r="100" spans="1:2" x14ac:dyDescent="0.2">
      <c r="A100" s="6">
        <v>215</v>
      </c>
      <c r="B100" s="6">
        <v>33</v>
      </c>
    </row>
    <row r="101" spans="1:2" x14ac:dyDescent="0.2">
      <c r="A101" s="6">
        <v>217</v>
      </c>
      <c r="B101" s="6">
        <v>72</v>
      </c>
    </row>
    <row r="102" spans="1:2" x14ac:dyDescent="0.2">
      <c r="A102" s="6">
        <v>219</v>
      </c>
      <c r="B102" s="6">
        <v>31</v>
      </c>
    </row>
    <row r="103" spans="1:2" x14ac:dyDescent="0.2">
      <c r="A103" s="6">
        <v>221</v>
      </c>
      <c r="B103" s="6">
        <v>44</v>
      </c>
    </row>
    <row r="104" spans="1:2" x14ac:dyDescent="0.2">
      <c r="A104" s="6">
        <v>222</v>
      </c>
      <c r="B104" s="6">
        <v>34</v>
      </c>
    </row>
    <row r="105" spans="1:2" x14ac:dyDescent="0.2">
      <c r="A105" s="6">
        <v>223</v>
      </c>
      <c r="B105" s="6"/>
    </row>
    <row r="106" spans="1:2" x14ac:dyDescent="0.2">
      <c r="A106" s="6">
        <v>226</v>
      </c>
      <c r="B106" s="6">
        <v>40</v>
      </c>
    </row>
    <row r="107" spans="1:2" x14ac:dyDescent="0.2">
      <c r="A107" s="6">
        <v>231</v>
      </c>
      <c r="B107" s="6">
        <v>34</v>
      </c>
    </row>
    <row r="108" spans="1:2" x14ac:dyDescent="0.2">
      <c r="A108" s="6">
        <v>232</v>
      </c>
      <c r="B108" s="6">
        <v>51</v>
      </c>
    </row>
    <row r="109" spans="1:2" x14ac:dyDescent="0.2">
      <c r="A109" s="6">
        <v>233</v>
      </c>
      <c r="B109" s="6">
        <v>29</v>
      </c>
    </row>
    <row r="110" spans="1:2" x14ac:dyDescent="0.2">
      <c r="A110" s="6">
        <v>236</v>
      </c>
      <c r="B110" s="6">
        <v>41</v>
      </c>
    </row>
    <row r="111" spans="1:2" x14ac:dyDescent="0.2">
      <c r="A111" s="6">
        <v>238</v>
      </c>
      <c r="B111" s="6">
        <v>42</v>
      </c>
    </row>
    <row r="112" spans="1:2" x14ac:dyDescent="0.2">
      <c r="A112" s="6">
        <v>241</v>
      </c>
      <c r="B112" s="6">
        <v>58</v>
      </c>
    </row>
    <row r="113" spans="1:2" x14ac:dyDescent="0.2">
      <c r="A113" s="6">
        <v>242</v>
      </c>
      <c r="B113" s="6">
        <v>26</v>
      </c>
    </row>
    <row r="114" spans="1:2" x14ac:dyDescent="0.2">
      <c r="A114" s="6">
        <v>245</v>
      </c>
      <c r="B114" s="6">
        <v>33</v>
      </c>
    </row>
    <row r="115" spans="1:2" x14ac:dyDescent="0.2">
      <c r="A115" s="6">
        <v>247</v>
      </c>
      <c r="B115" s="6">
        <v>33</v>
      </c>
    </row>
    <row r="116" spans="1:2" x14ac:dyDescent="0.2">
      <c r="A116" s="6">
        <v>249</v>
      </c>
      <c r="B116" s="6">
        <v>35</v>
      </c>
    </row>
    <row r="117" spans="1:2" x14ac:dyDescent="0.2">
      <c r="A117" s="6">
        <v>250</v>
      </c>
      <c r="B117" s="6">
        <v>45</v>
      </c>
    </row>
    <row r="118" spans="1:2" x14ac:dyDescent="0.2">
      <c r="A118" s="6">
        <v>254</v>
      </c>
      <c r="B118" s="6">
        <v>59</v>
      </c>
    </row>
    <row r="119" spans="1:2" x14ac:dyDescent="0.2">
      <c r="A119" s="6">
        <v>256</v>
      </c>
      <c r="B119" s="6">
        <v>27</v>
      </c>
    </row>
    <row r="120" spans="1:2" x14ac:dyDescent="0.2">
      <c r="A120" s="6">
        <v>257</v>
      </c>
      <c r="B120" s="6">
        <v>29</v>
      </c>
    </row>
    <row r="121" spans="1:2" x14ac:dyDescent="0.2">
      <c r="A121" s="6">
        <v>260</v>
      </c>
      <c r="B121" s="6">
        <v>38</v>
      </c>
    </row>
    <row r="122" spans="1:2" x14ac:dyDescent="0.2">
      <c r="A122" s="6">
        <v>262</v>
      </c>
      <c r="B122" s="6">
        <v>27</v>
      </c>
    </row>
    <row r="123" spans="1:2" x14ac:dyDescent="0.2">
      <c r="A123" s="6">
        <v>263</v>
      </c>
      <c r="B123" s="6">
        <v>42</v>
      </c>
    </row>
    <row r="124" spans="1:2" x14ac:dyDescent="0.2">
      <c r="A124" s="6">
        <v>272</v>
      </c>
      <c r="B124" s="6">
        <v>47</v>
      </c>
    </row>
    <row r="125" spans="1:2" x14ac:dyDescent="0.2">
      <c r="A125" s="6">
        <v>273</v>
      </c>
      <c r="B125" s="6">
        <v>40</v>
      </c>
    </row>
    <row r="126" spans="1:2" x14ac:dyDescent="0.2">
      <c r="A126" s="6">
        <v>280</v>
      </c>
      <c r="B126" s="6">
        <v>31</v>
      </c>
    </row>
    <row r="127" spans="1:2" x14ac:dyDescent="0.2">
      <c r="A127" s="6">
        <v>282</v>
      </c>
      <c r="B127" s="6">
        <v>39</v>
      </c>
    </row>
    <row r="128" spans="1:2" x14ac:dyDescent="0.2">
      <c r="A128" s="6">
        <v>286</v>
      </c>
      <c r="B128" s="6">
        <v>33</v>
      </c>
    </row>
    <row r="129" spans="1:2" x14ac:dyDescent="0.2">
      <c r="A129" s="6">
        <v>287</v>
      </c>
      <c r="B129" s="6">
        <v>39</v>
      </c>
    </row>
    <row r="130" spans="1:2" x14ac:dyDescent="0.2">
      <c r="A130" s="6">
        <v>288</v>
      </c>
      <c r="B130" s="6">
        <v>38</v>
      </c>
    </row>
    <row r="131" spans="1:2" x14ac:dyDescent="0.2">
      <c r="A131" s="6">
        <v>289</v>
      </c>
      <c r="B131" s="6">
        <v>33</v>
      </c>
    </row>
    <row r="132" spans="1:2" x14ac:dyDescent="0.2">
      <c r="A132" s="6">
        <v>290</v>
      </c>
      <c r="B132" s="6">
        <v>29</v>
      </c>
    </row>
    <row r="133" spans="1:2" x14ac:dyDescent="0.2">
      <c r="A133" s="6">
        <v>291</v>
      </c>
      <c r="B133" s="6">
        <v>24</v>
      </c>
    </row>
    <row r="134" spans="1:2" x14ac:dyDescent="0.2">
      <c r="A134" s="6">
        <v>293</v>
      </c>
      <c r="B134" s="6">
        <v>42</v>
      </c>
    </row>
    <row r="135" spans="1:2" x14ac:dyDescent="0.2">
      <c r="A135" s="6">
        <v>294</v>
      </c>
      <c r="B135" s="6">
        <v>69</v>
      </c>
    </row>
    <row r="136" spans="1:2" x14ac:dyDescent="0.2">
      <c r="A136" s="6">
        <v>295</v>
      </c>
      <c r="B136" s="6">
        <v>23</v>
      </c>
    </row>
    <row r="137" spans="1:2" x14ac:dyDescent="0.2">
      <c r="A137" s="6">
        <v>297</v>
      </c>
      <c r="B137" s="6">
        <v>31</v>
      </c>
    </row>
    <row r="138" spans="1:2" x14ac:dyDescent="0.2">
      <c r="A138" s="6">
        <v>298</v>
      </c>
      <c r="B138" s="6">
        <v>37</v>
      </c>
    </row>
    <row r="139" spans="1:2" x14ac:dyDescent="0.2">
      <c r="A139" s="6">
        <v>300</v>
      </c>
      <c r="B139" s="6">
        <v>26</v>
      </c>
    </row>
    <row r="140" spans="1:2" x14ac:dyDescent="0.2">
      <c r="A140" s="6">
        <v>301</v>
      </c>
      <c r="B140" s="6">
        <v>37</v>
      </c>
    </row>
    <row r="141" spans="1:2" x14ac:dyDescent="0.2">
      <c r="A141" s="6">
        <v>302</v>
      </c>
      <c r="B141" s="6">
        <v>37</v>
      </c>
    </row>
    <row r="142" spans="1:2" x14ac:dyDescent="0.2">
      <c r="A142" s="6">
        <v>303</v>
      </c>
      <c r="B142" s="6">
        <v>34</v>
      </c>
    </row>
    <row r="143" spans="1:2" x14ac:dyDescent="0.2">
      <c r="A143" s="6">
        <v>304</v>
      </c>
      <c r="B143" s="6">
        <v>29</v>
      </c>
    </row>
    <row r="144" spans="1:2" x14ac:dyDescent="0.2">
      <c r="A144" s="6">
        <v>305</v>
      </c>
      <c r="B144" s="6">
        <v>36</v>
      </c>
    </row>
    <row r="145" spans="1:2" x14ac:dyDescent="0.2">
      <c r="A145" s="6">
        <v>307</v>
      </c>
      <c r="B145" s="6">
        <v>61</v>
      </c>
    </row>
    <row r="146" spans="1:2" x14ac:dyDescent="0.2">
      <c r="A146" s="6">
        <v>308</v>
      </c>
      <c r="B146" s="6">
        <v>33</v>
      </c>
    </row>
    <row r="147" spans="1:2" x14ac:dyDescent="0.2">
      <c r="A147" s="8">
        <v>310</v>
      </c>
      <c r="B147" s="8">
        <v>25</v>
      </c>
    </row>
    <row r="148" spans="1:2" x14ac:dyDescent="0.2">
      <c r="A148" s="8">
        <v>312</v>
      </c>
      <c r="B148" s="8"/>
    </row>
    <row r="149" spans="1:2" x14ac:dyDescent="0.2">
      <c r="A149" s="8">
        <v>314</v>
      </c>
      <c r="B149" s="8">
        <v>40</v>
      </c>
    </row>
    <row r="150" spans="1:2" x14ac:dyDescent="0.2">
      <c r="A150" s="8">
        <v>315</v>
      </c>
      <c r="B150" s="8">
        <v>31</v>
      </c>
    </row>
    <row r="151" spans="1:2" x14ac:dyDescent="0.2">
      <c r="A151" s="8">
        <v>316</v>
      </c>
      <c r="B151" s="8">
        <v>44</v>
      </c>
    </row>
    <row r="152" spans="1:2" x14ac:dyDescent="0.2">
      <c r="A152" s="8">
        <v>317</v>
      </c>
      <c r="B152" s="8">
        <v>23</v>
      </c>
    </row>
    <row r="153" spans="1:2" x14ac:dyDescent="0.2">
      <c r="A153" s="8">
        <v>319</v>
      </c>
      <c r="B153" s="8">
        <v>27</v>
      </c>
    </row>
    <row r="154" spans="1:2" x14ac:dyDescent="0.2">
      <c r="A154" s="8">
        <v>323</v>
      </c>
      <c r="B154" s="8">
        <v>46</v>
      </c>
    </row>
    <row r="155" spans="1:2" x14ac:dyDescent="0.2">
      <c r="A155" s="8">
        <v>324</v>
      </c>
      <c r="B155" s="8">
        <v>37</v>
      </c>
    </row>
    <row r="156" spans="1:2" x14ac:dyDescent="0.2">
      <c r="A156" s="8">
        <v>325</v>
      </c>
      <c r="B156" s="8">
        <v>29</v>
      </c>
    </row>
    <row r="157" spans="1:2" x14ac:dyDescent="0.2">
      <c r="A157" s="8">
        <v>327</v>
      </c>
      <c r="B157" s="8">
        <v>27</v>
      </c>
    </row>
    <row r="158" spans="1:2" x14ac:dyDescent="0.2">
      <c r="A158" s="8">
        <v>328</v>
      </c>
      <c r="B158" s="8">
        <v>35</v>
      </c>
    </row>
    <row r="159" spans="1:2" x14ac:dyDescent="0.2">
      <c r="A159" s="8">
        <v>329</v>
      </c>
      <c r="B159" s="8">
        <v>54</v>
      </c>
    </row>
    <row r="160" spans="1:2" x14ac:dyDescent="0.2">
      <c r="A160" s="8">
        <v>331</v>
      </c>
      <c r="B160" s="1">
        <v>28</v>
      </c>
    </row>
    <row r="161" spans="1:2" x14ac:dyDescent="0.2">
      <c r="A161" s="8">
        <v>332</v>
      </c>
      <c r="B161" s="1">
        <v>34</v>
      </c>
    </row>
    <row r="162" spans="1:2" x14ac:dyDescent="0.2">
      <c r="A162" s="8">
        <v>334</v>
      </c>
      <c r="B162" s="1">
        <v>49</v>
      </c>
    </row>
    <row r="163" spans="1:2" x14ac:dyDescent="0.2">
      <c r="A163" s="8">
        <v>336</v>
      </c>
      <c r="B163" s="1">
        <v>31</v>
      </c>
    </row>
    <row r="164" spans="1:2" x14ac:dyDescent="0.2">
      <c r="A164" s="8">
        <v>337</v>
      </c>
      <c r="B164" s="1">
        <v>41</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4"/>
  <sheetViews>
    <sheetView topLeftCell="B1" workbookViewId="0">
      <selection activeCell="F3" sqref="F3:F10"/>
    </sheetView>
  </sheetViews>
  <sheetFormatPr baseColWidth="10" defaultColWidth="8.83203125" defaultRowHeight="15" x14ac:dyDescent="0.2"/>
  <cols>
    <col min="1" max="1" width="12.83203125" style="8" customWidth="1"/>
    <col min="2" max="2" width="40.6640625" style="8" bestFit="1" customWidth="1"/>
    <col min="4" max="4" width="43" customWidth="1"/>
  </cols>
  <sheetData>
    <row r="1" spans="1:6" x14ac:dyDescent="0.2">
      <c r="A1" s="1" t="s">
        <v>0</v>
      </c>
      <c r="B1" s="1" t="s">
        <v>1357</v>
      </c>
    </row>
    <row r="2" spans="1:6" x14ac:dyDescent="0.2">
      <c r="A2">
        <v>2</v>
      </c>
      <c r="B2" t="s">
        <v>1359</v>
      </c>
      <c r="D2" s="22" t="s">
        <v>1373</v>
      </c>
      <c r="E2" s="23">
        <f>COUNTA(B2:B164)</f>
        <v>163</v>
      </c>
      <c r="F2" s="24" t="s">
        <v>1375</v>
      </c>
    </row>
    <row r="3" spans="1:6" x14ac:dyDescent="0.2">
      <c r="A3">
        <v>5</v>
      </c>
      <c r="B3" t="s">
        <v>1494</v>
      </c>
      <c r="D3" s="12" t="s">
        <v>1371</v>
      </c>
      <c r="E3" s="16">
        <f>COUNTIF(B:B,"Undergraduate")</f>
        <v>0</v>
      </c>
      <c r="F3" s="14">
        <v>0</v>
      </c>
    </row>
    <row r="4" spans="1:6" x14ac:dyDescent="0.2">
      <c r="A4">
        <v>6</v>
      </c>
      <c r="B4" t="s">
        <v>1362</v>
      </c>
      <c r="D4" s="11" t="s">
        <v>1367</v>
      </c>
      <c r="E4" s="16">
        <f>COUNTIF(B:B,"Postgraduate (MSc)")</f>
        <v>2</v>
      </c>
      <c r="F4" s="19">
        <f>E4/$E$2*100</f>
        <v>1.2269938650306749</v>
      </c>
    </row>
    <row r="5" spans="1:6" x14ac:dyDescent="0.2">
      <c r="A5">
        <v>11</v>
      </c>
      <c r="B5" t="s">
        <v>1359</v>
      </c>
      <c r="D5" s="11" t="s">
        <v>1363</v>
      </c>
      <c r="E5" s="16">
        <f>COUNTIF(B:B,"Postgraduate (PhD)")</f>
        <v>40</v>
      </c>
      <c r="F5" s="19">
        <f t="shared" ref="F5:F10" si="0">E5/$E$2*100</f>
        <v>24.539877300613497</v>
      </c>
    </row>
    <row r="6" spans="1:6" x14ac:dyDescent="0.2">
      <c r="A6">
        <v>18</v>
      </c>
      <c r="B6" t="s">
        <v>1359</v>
      </c>
      <c r="D6" s="12" t="s">
        <v>1361</v>
      </c>
      <c r="E6" s="16">
        <f>COUNTIF(B:B,"Post-doctoral researcher")</f>
        <v>43</v>
      </c>
      <c r="F6" s="19">
        <f t="shared" si="0"/>
        <v>26.380368098159508</v>
      </c>
    </row>
    <row r="7" spans="1:6" x14ac:dyDescent="0.2">
      <c r="A7">
        <v>21</v>
      </c>
      <c r="B7" t="s">
        <v>1495</v>
      </c>
      <c r="D7" s="12" t="s">
        <v>1359</v>
      </c>
      <c r="E7" s="16">
        <f>COUNTIF(B:B,"Lecturer/Assistant Professor")</f>
        <v>40</v>
      </c>
      <c r="F7" s="19">
        <f t="shared" si="0"/>
        <v>24.539877300613497</v>
      </c>
    </row>
    <row r="8" spans="1:6" x14ac:dyDescent="0.2">
      <c r="A8">
        <v>22</v>
      </c>
      <c r="B8" t="s">
        <v>1494</v>
      </c>
      <c r="D8" s="12" t="s">
        <v>1366</v>
      </c>
      <c r="E8" s="16">
        <f>COUNTIF(B:B,"Reader/Senior Lecturer/Associate Professor")</f>
        <v>18</v>
      </c>
      <c r="F8" s="19">
        <f t="shared" si="0"/>
        <v>11.042944785276074</v>
      </c>
    </row>
    <row r="9" spans="1:6" x14ac:dyDescent="0.2">
      <c r="A9">
        <v>26</v>
      </c>
      <c r="B9" t="s">
        <v>1362</v>
      </c>
      <c r="D9" s="12" t="s">
        <v>1362</v>
      </c>
      <c r="E9" s="16">
        <f>COUNTIF(B:B,"Professor")</f>
        <v>15</v>
      </c>
      <c r="F9" s="19">
        <f t="shared" si="0"/>
        <v>9.2024539877300615</v>
      </c>
    </row>
    <row r="10" spans="1:6" x14ac:dyDescent="0.2">
      <c r="A10">
        <v>30</v>
      </c>
      <c r="B10" t="s">
        <v>1359</v>
      </c>
      <c r="D10" s="13" t="s">
        <v>1372</v>
      </c>
      <c r="E10" s="25">
        <f>E2-E3-E4-E5-E6-E7-E8-E9</f>
        <v>5</v>
      </c>
      <c r="F10" s="21">
        <f t="shared" si="0"/>
        <v>3.0674846625766872</v>
      </c>
    </row>
    <row r="11" spans="1:6" x14ac:dyDescent="0.2">
      <c r="A11">
        <v>31</v>
      </c>
      <c r="B11" t="s">
        <v>1494</v>
      </c>
    </row>
    <row r="12" spans="1:6" x14ac:dyDescent="0.2">
      <c r="A12">
        <v>28</v>
      </c>
      <c r="B12" t="s">
        <v>1495</v>
      </c>
    </row>
    <row r="13" spans="1:6" x14ac:dyDescent="0.2">
      <c r="A13">
        <v>32</v>
      </c>
      <c r="B13" t="s">
        <v>1359</v>
      </c>
    </row>
    <row r="14" spans="1:6" x14ac:dyDescent="0.2">
      <c r="A14">
        <v>34</v>
      </c>
      <c r="B14" t="b">
        <v>0</v>
      </c>
    </row>
    <row r="15" spans="1:6" x14ac:dyDescent="0.2">
      <c r="A15">
        <v>35</v>
      </c>
      <c r="B15" t="s">
        <v>1359</v>
      </c>
    </row>
    <row r="16" spans="1:6" x14ac:dyDescent="0.2">
      <c r="A16">
        <v>36</v>
      </c>
      <c r="B16" t="s">
        <v>1495</v>
      </c>
    </row>
    <row r="17" spans="1:2" x14ac:dyDescent="0.2">
      <c r="A17">
        <v>38</v>
      </c>
      <c r="B17" t="s">
        <v>1494</v>
      </c>
    </row>
    <row r="18" spans="1:2" x14ac:dyDescent="0.2">
      <c r="A18">
        <v>40</v>
      </c>
      <c r="B18" t="s">
        <v>1495</v>
      </c>
    </row>
    <row r="19" spans="1:2" x14ac:dyDescent="0.2">
      <c r="A19">
        <v>41</v>
      </c>
      <c r="B19" t="s">
        <v>1494</v>
      </c>
    </row>
    <row r="20" spans="1:2" x14ac:dyDescent="0.2">
      <c r="A20">
        <v>42</v>
      </c>
      <c r="B20" t="s">
        <v>1362</v>
      </c>
    </row>
    <row r="21" spans="1:2" x14ac:dyDescent="0.2">
      <c r="A21">
        <v>44</v>
      </c>
      <c r="B21" t="s">
        <v>1495</v>
      </c>
    </row>
    <row r="22" spans="1:2" x14ac:dyDescent="0.2">
      <c r="A22">
        <v>46</v>
      </c>
      <c r="B22" t="s">
        <v>1494</v>
      </c>
    </row>
    <row r="23" spans="1:2" x14ac:dyDescent="0.2">
      <c r="A23">
        <v>47</v>
      </c>
      <c r="B23" t="s">
        <v>1366</v>
      </c>
    </row>
    <row r="24" spans="1:2" x14ac:dyDescent="0.2">
      <c r="A24">
        <v>49</v>
      </c>
      <c r="B24" t="s">
        <v>1359</v>
      </c>
    </row>
    <row r="25" spans="1:2" x14ac:dyDescent="0.2">
      <c r="A25">
        <v>50</v>
      </c>
      <c r="B25" t="s">
        <v>1495</v>
      </c>
    </row>
    <row r="26" spans="1:2" x14ac:dyDescent="0.2">
      <c r="A26">
        <v>51</v>
      </c>
      <c r="B26" t="s">
        <v>1496</v>
      </c>
    </row>
    <row r="27" spans="1:2" x14ac:dyDescent="0.2">
      <c r="A27">
        <v>53</v>
      </c>
      <c r="B27" t="s">
        <v>1359</v>
      </c>
    </row>
    <row r="28" spans="1:2" x14ac:dyDescent="0.2">
      <c r="A28">
        <v>55</v>
      </c>
      <c r="B28" t="s">
        <v>1366</v>
      </c>
    </row>
    <row r="29" spans="1:2" x14ac:dyDescent="0.2">
      <c r="A29">
        <v>60</v>
      </c>
      <c r="B29" t="s">
        <v>1494</v>
      </c>
    </row>
    <row r="30" spans="1:2" x14ac:dyDescent="0.2">
      <c r="A30">
        <v>61</v>
      </c>
      <c r="B30" t="s">
        <v>1366</v>
      </c>
    </row>
    <row r="31" spans="1:2" x14ac:dyDescent="0.2">
      <c r="A31">
        <v>62</v>
      </c>
      <c r="B31" t="s">
        <v>1366</v>
      </c>
    </row>
    <row r="32" spans="1:2" x14ac:dyDescent="0.2">
      <c r="A32">
        <v>65</v>
      </c>
      <c r="B32" t="s">
        <v>1494</v>
      </c>
    </row>
    <row r="33" spans="1:2" x14ac:dyDescent="0.2">
      <c r="A33">
        <v>70</v>
      </c>
      <c r="B33" t="s">
        <v>1494</v>
      </c>
    </row>
    <row r="34" spans="1:2" x14ac:dyDescent="0.2">
      <c r="A34">
        <v>71</v>
      </c>
      <c r="B34" t="s">
        <v>1366</v>
      </c>
    </row>
    <row r="35" spans="1:2" x14ac:dyDescent="0.2">
      <c r="A35">
        <v>72</v>
      </c>
      <c r="B35" t="s">
        <v>1494</v>
      </c>
    </row>
    <row r="36" spans="1:2" x14ac:dyDescent="0.2">
      <c r="A36">
        <v>74</v>
      </c>
      <c r="B36" t="s">
        <v>1366</v>
      </c>
    </row>
    <row r="37" spans="1:2" x14ac:dyDescent="0.2">
      <c r="A37">
        <v>75</v>
      </c>
      <c r="B37" t="s">
        <v>1366</v>
      </c>
    </row>
    <row r="38" spans="1:2" x14ac:dyDescent="0.2">
      <c r="A38">
        <v>76</v>
      </c>
      <c r="B38" t="s">
        <v>1359</v>
      </c>
    </row>
    <row r="39" spans="1:2" x14ac:dyDescent="0.2">
      <c r="A39">
        <v>78</v>
      </c>
      <c r="B39" t="s">
        <v>1494</v>
      </c>
    </row>
    <row r="40" spans="1:2" x14ac:dyDescent="0.2">
      <c r="A40">
        <v>79</v>
      </c>
      <c r="B40" t="s">
        <v>1359</v>
      </c>
    </row>
    <row r="41" spans="1:2" x14ac:dyDescent="0.2">
      <c r="A41">
        <v>80</v>
      </c>
      <c r="B41" t="s">
        <v>1362</v>
      </c>
    </row>
    <row r="42" spans="1:2" x14ac:dyDescent="0.2">
      <c r="A42">
        <v>87</v>
      </c>
      <c r="B42" t="s">
        <v>1362</v>
      </c>
    </row>
    <row r="43" spans="1:2" x14ac:dyDescent="0.2">
      <c r="A43">
        <v>89</v>
      </c>
      <c r="B43" t="s">
        <v>1495</v>
      </c>
    </row>
    <row r="44" spans="1:2" x14ac:dyDescent="0.2">
      <c r="A44">
        <v>90</v>
      </c>
      <c r="B44" t="s">
        <v>1362</v>
      </c>
    </row>
    <row r="45" spans="1:2" x14ac:dyDescent="0.2">
      <c r="A45">
        <v>91</v>
      </c>
      <c r="B45" t="s">
        <v>1359</v>
      </c>
    </row>
    <row r="46" spans="1:2" x14ac:dyDescent="0.2">
      <c r="A46">
        <v>92</v>
      </c>
      <c r="B46" t="s">
        <v>1494</v>
      </c>
    </row>
    <row r="47" spans="1:2" x14ac:dyDescent="0.2">
      <c r="A47">
        <v>93</v>
      </c>
      <c r="B47" t="s">
        <v>1494</v>
      </c>
    </row>
    <row r="48" spans="1:2" x14ac:dyDescent="0.2">
      <c r="A48">
        <v>95</v>
      </c>
      <c r="B48" t="s">
        <v>1366</v>
      </c>
    </row>
    <row r="49" spans="1:2" x14ac:dyDescent="0.2">
      <c r="A49">
        <v>96</v>
      </c>
      <c r="B49" t="s">
        <v>1495</v>
      </c>
    </row>
    <row r="50" spans="1:2" x14ac:dyDescent="0.2">
      <c r="A50">
        <v>100</v>
      </c>
      <c r="B50" t="s">
        <v>1495</v>
      </c>
    </row>
    <row r="51" spans="1:2" x14ac:dyDescent="0.2">
      <c r="A51">
        <v>104</v>
      </c>
      <c r="B51" t="s">
        <v>1495</v>
      </c>
    </row>
    <row r="52" spans="1:2" x14ac:dyDescent="0.2">
      <c r="A52">
        <v>107</v>
      </c>
      <c r="B52" t="s">
        <v>1494</v>
      </c>
    </row>
    <row r="53" spans="1:2" x14ac:dyDescent="0.2">
      <c r="A53">
        <v>109</v>
      </c>
      <c r="B53" t="s">
        <v>1362</v>
      </c>
    </row>
    <row r="54" spans="1:2" x14ac:dyDescent="0.2">
      <c r="A54">
        <v>110</v>
      </c>
      <c r="B54" t="s">
        <v>1494</v>
      </c>
    </row>
    <row r="55" spans="1:2" x14ac:dyDescent="0.2">
      <c r="A55">
        <v>112</v>
      </c>
      <c r="B55" t="s">
        <v>1494</v>
      </c>
    </row>
    <row r="56" spans="1:2" x14ac:dyDescent="0.2">
      <c r="A56">
        <v>118</v>
      </c>
      <c r="B56" t="s">
        <v>1494</v>
      </c>
    </row>
    <row r="57" spans="1:2" x14ac:dyDescent="0.2">
      <c r="A57">
        <v>119</v>
      </c>
      <c r="B57" t="s">
        <v>1494</v>
      </c>
    </row>
    <row r="58" spans="1:2" x14ac:dyDescent="0.2">
      <c r="A58">
        <v>120</v>
      </c>
      <c r="B58" t="s">
        <v>1366</v>
      </c>
    </row>
    <row r="59" spans="1:2" x14ac:dyDescent="0.2">
      <c r="A59">
        <v>121</v>
      </c>
      <c r="B59" t="s">
        <v>1366</v>
      </c>
    </row>
    <row r="60" spans="1:2" x14ac:dyDescent="0.2">
      <c r="A60">
        <v>122</v>
      </c>
      <c r="B60" t="s">
        <v>1359</v>
      </c>
    </row>
    <row r="61" spans="1:2" x14ac:dyDescent="0.2">
      <c r="A61">
        <v>127</v>
      </c>
      <c r="B61" t="s">
        <v>1366</v>
      </c>
    </row>
    <row r="62" spans="1:2" x14ac:dyDescent="0.2">
      <c r="A62">
        <v>128</v>
      </c>
      <c r="B62" t="s">
        <v>1495</v>
      </c>
    </row>
    <row r="63" spans="1:2" x14ac:dyDescent="0.2">
      <c r="A63">
        <v>132</v>
      </c>
      <c r="B63" t="s">
        <v>1495</v>
      </c>
    </row>
    <row r="64" spans="1:2" x14ac:dyDescent="0.2">
      <c r="A64">
        <v>135</v>
      </c>
      <c r="B64" t="s">
        <v>1359</v>
      </c>
    </row>
    <row r="65" spans="1:2" x14ac:dyDescent="0.2">
      <c r="A65">
        <v>136</v>
      </c>
      <c r="B65" t="s">
        <v>1359</v>
      </c>
    </row>
    <row r="66" spans="1:2" x14ac:dyDescent="0.2">
      <c r="A66">
        <v>138</v>
      </c>
      <c r="B66" t="s">
        <v>1494</v>
      </c>
    </row>
    <row r="67" spans="1:2" x14ac:dyDescent="0.2">
      <c r="A67">
        <v>139</v>
      </c>
      <c r="B67" t="s">
        <v>1362</v>
      </c>
    </row>
    <row r="68" spans="1:2" x14ac:dyDescent="0.2">
      <c r="A68">
        <v>140</v>
      </c>
      <c r="B68" t="s">
        <v>1494</v>
      </c>
    </row>
    <row r="69" spans="1:2" x14ac:dyDescent="0.2">
      <c r="A69">
        <v>148</v>
      </c>
      <c r="B69" t="s">
        <v>1494</v>
      </c>
    </row>
    <row r="70" spans="1:2" x14ac:dyDescent="0.2">
      <c r="A70">
        <v>149</v>
      </c>
      <c r="B70" t="s">
        <v>1494</v>
      </c>
    </row>
    <row r="71" spans="1:2" x14ac:dyDescent="0.2">
      <c r="A71">
        <v>150</v>
      </c>
      <c r="B71" t="s">
        <v>1359</v>
      </c>
    </row>
    <row r="72" spans="1:2" x14ac:dyDescent="0.2">
      <c r="A72">
        <v>151</v>
      </c>
      <c r="B72" t="s">
        <v>1359</v>
      </c>
    </row>
    <row r="73" spans="1:2" x14ac:dyDescent="0.2">
      <c r="A73">
        <v>152</v>
      </c>
      <c r="B73" t="s">
        <v>1495</v>
      </c>
    </row>
    <row r="74" spans="1:2" x14ac:dyDescent="0.2">
      <c r="A74">
        <v>153</v>
      </c>
      <c r="B74" t="s">
        <v>1359</v>
      </c>
    </row>
    <row r="75" spans="1:2" x14ac:dyDescent="0.2">
      <c r="A75">
        <v>157</v>
      </c>
      <c r="B75" t="s">
        <v>1495</v>
      </c>
    </row>
    <row r="76" spans="1:2" x14ac:dyDescent="0.2">
      <c r="A76">
        <v>156</v>
      </c>
      <c r="B76" t="s">
        <v>1366</v>
      </c>
    </row>
    <row r="77" spans="1:2" x14ac:dyDescent="0.2">
      <c r="A77">
        <v>162</v>
      </c>
      <c r="B77" t="s">
        <v>1362</v>
      </c>
    </row>
    <row r="78" spans="1:2" x14ac:dyDescent="0.2">
      <c r="A78">
        <v>164</v>
      </c>
      <c r="B78" t="s">
        <v>1359</v>
      </c>
    </row>
    <row r="79" spans="1:2" x14ac:dyDescent="0.2">
      <c r="A79">
        <v>166</v>
      </c>
      <c r="B79" t="s">
        <v>1495</v>
      </c>
    </row>
    <row r="80" spans="1:2" x14ac:dyDescent="0.2">
      <c r="A80">
        <v>170</v>
      </c>
      <c r="B80" t="s">
        <v>1359</v>
      </c>
    </row>
    <row r="81" spans="1:2" x14ac:dyDescent="0.2">
      <c r="A81">
        <v>173</v>
      </c>
      <c r="B81" t="s">
        <v>1359</v>
      </c>
    </row>
    <row r="82" spans="1:2" x14ac:dyDescent="0.2">
      <c r="A82">
        <v>175</v>
      </c>
      <c r="B82" t="s">
        <v>1494</v>
      </c>
    </row>
    <row r="83" spans="1:2" x14ac:dyDescent="0.2">
      <c r="A83">
        <v>178</v>
      </c>
      <c r="B83" t="s">
        <v>1494</v>
      </c>
    </row>
    <row r="84" spans="1:2" x14ac:dyDescent="0.2">
      <c r="A84">
        <v>183</v>
      </c>
      <c r="B84" t="s">
        <v>1495</v>
      </c>
    </row>
    <row r="85" spans="1:2" x14ac:dyDescent="0.2">
      <c r="A85">
        <v>185</v>
      </c>
      <c r="B85" t="s">
        <v>1495</v>
      </c>
    </row>
    <row r="86" spans="1:2" x14ac:dyDescent="0.2">
      <c r="A86">
        <v>186</v>
      </c>
      <c r="B86" t="s">
        <v>1495</v>
      </c>
    </row>
    <row r="87" spans="1:2" x14ac:dyDescent="0.2">
      <c r="A87">
        <v>189</v>
      </c>
      <c r="B87" t="s">
        <v>1495</v>
      </c>
    </row>
    <row r="88" spans="1:2" x14ac:dyDescent="0.2">
      <c r="A88">
        <v>190</v>
      </c>
      <c r="B88" t="s">
        <v>1495</v>
      </c>
    </row>
    <row r="89" spans="1:2" x14ac:dyDescent="0.2">
      <c r="A89">
        <v>192</v>
      </c>
      <c r="B89" t="s">
        <v>1359</v>
      </c>
    </row>
    <row r="90" spans="1:2" x14ac:dyDescent="0.2">
      <c r="A90">
        <v>193</v>
      </c>
      <c r="B90" t="s">
        <v>1494</v>
      </c>
    </row>
    <row r="91" spans="1:2" x14ac:dyDescent="0.2">
      <c r="A91">
        <v>196</v>
      </c>
      <c r="B91" t="s">
        <v>1359</v>
      </c>
    </row>
    <row r="92" spans="1:2" x14ac:dyDescent="0.2">
      <c r="A92">
        <v>197</v>
      </c>
      <c r="B92" t="s">
        <v>1359</v>
      </c>
    </row>
    <row r="93" spans="1:2" x14ac:dyDescent="0.2">
      <c r="A93">
        <v>200</v>
      </c>
      <c r="B93" t="s">
        <v>1359</v>
      </c>
    </row>
    <row r="94" spans="1:2" x14ac:dyDescent="0.2">
      <c r="A94">
        <v>203</v>
      </c>
      <c r="B94" t="s">
        <v>1494</v>
      </c>
    </row>
    <row r="95" spans="1:2" x14ac:dyDescent="0.2">
      <c r="A95">
        <v>204</v>
      </c>
      <c r="B95" t="s">
        <v>1495</v>
      </c>
    </row>
    <row r="96" spans="1:2" x14ac:dyDescent="0.2">
      <c r="A96">
        <v>207</v>
      </c>
      <c r="B96" t="s">
        <v>1359</v>
      </c>
    </row>
    <row r="97" spans="1:2" x14ac:dyDescent="0.2">
      <c r="A97">
        <v>208</v>
      </c>
      <c r="B97" t="s">
        <v>1494</v>
      </c>
    </row>
    <row r="98" spans="1:2" x14ac:dyDescent="0.2">
      <c r="A98">
        <v>210</v>
      </c>
      <c r="B98" t="s">
        <v>1366</v>
      </c>
    </row>
    <row r="99" spans="1:2" x14ac:dyDescent="0.2">
      <c r="A99">
        <v>212</v>
      </c>
      <c r="B99" t="s">
        <v>1494</v>
      </c>
    </row>
    <row r="100" spans="1:2" x14ac:dyDescent="0.2">
      <c r="A100">
        <v>215</v>
      </c>
      <c r="B100" t="s">
        <v>1359</v>
      </c>
    </row>
    <row r="101" spans="1:2" x14ac:dyDescent="0.2">
      <c r="A101">
        <v>217</v>
      </c>
      <c r="B101" t="s">
        <v>1362</v>
      </c>
    </row>
    <row r="102" spans="1:2" x14ac:dyDescent="0.2">
      <c r="A102">
        <v>219</v>
      </c>
      <c r="B102" t="s">
        <v>1496</v>
      </c>
    </row>
    <row r="103" spans="1:2" x14ac:dyDescent="0.2">
      <c r="A103">
        <v>221</v>
      </c>
      <c r="B103" t="s">
        <v>1359</v>
      </c>
    </row>
    <row r="104" spans="1:2" x14ac:dyDescent="0.2">
      <c r="A104">
        <v>222</v>
      </c>
      <c r="B104" t="s">
        <v>1495</v>
      </c>
    </row>
    <row r="105" spans="1:2" x14ac:dyDescent="0.2">
      <c r="A105">
        <v>223</v>
      </c>
      <c r="B105" t="s">
        <v>1366</v>
      </c>
    </row>
    <row r="106" spans="1:2" x14ac:dyDescent="0.2">
      <c r="A106">
        <v>226</v>
      </c>
      <c r="B106" t="s">
        <v>1359</v>
      </c>
    </row>
    <row r="107" spans="1:2" x14ac:dyDescent="0.2">
      <c r="A107">
        <v>231</v>
      </c>
      <c r="B107" t="s">
        <v>1495</v>
      </c>
    </row>
    <row r="108" spans="1:2" x14ac:dyDescent="0.2">
      <c r="A108">
        <v>232</v>
      </c>
      <c r="B108" t="s">
        <v>1366</v>
      </c>
    </row>
    <row r="109" spans="1:2" x14ac:dyDescent="0.2">
      <c r="A109">
        <v>233</v>
      </c>
      <c r="B109" t="s">
        <v>1495</v>
      </c>
    </row>
    <row r="110" spans="1:2" x14ac:dyDescent="0.2">
      <c r="A110">
        <v>236</v>
      </c>
      <c r="B110" t="s">
        <v>1359</v>
      </c>
    </row>
    <row r="111" spans="1:2" x14ac:dyDescent="0.2">
      <c r="A111">
        <v>238</v>
      </c>
      <c r="B111" t="s">
        <v>1494</v>
      </c>
    </row>
    <row r="112" spans="1:2" x14ac:dyDescent="0.2">
      <c r="A112">
        <v>241</v>
      </c>
      <c r="B112" t="s">
        <v>1362</v>
      </c>
    </row>
    <row r="113" spans="1:2" x14ac:dyDescent="0.2">
      <c r="A113">
        <v>242</v>
      </c>
      <c r="B113" t="s">
        <v>1495</v>
      </c>
    </row>
    <row r="114" spans="1:2" x14ac:dyDescent="0.2">
      <c r="A114">
        <v>245</v>
      </c>
      <c r="B114" t="s">
        <v>1494</v>
      </c>
    </row>
    <row r="115" spans="1:2" x14ac:dyDescent="0.2">
      <c r="A115">
        <v>247</v>
      </c>
      <c r="B115" t="s">
        <v>1494</v>
      </c>
    </row>
    <row r="116" spans="1:2" x14ac:dyDescent="0.2">
      <c r="A116">
        <v>249</v>
      </c>
      <c r="B116" t="s">
        <v>1359</v>
      </c>
    </row>
    <row r="117" spans="1:2" x14ac:dyDescent="0.2">
      <c r="A117">
        <v>250</v>
      </c>
      <c r="B117" t="s">
        <v>1359</v>
      </c>
    </row>
    <row r="118" spans="1:2" x14ac:dyDescent="0.2">
      <c r="A118">
        <v>254</v>
      </c>
      <c r="B118" t="b">
        <v>0</v>
      </c>
    </row>
    <row r="119" spans="1:2" x14ac:dyDescent="0.2">
      <c r="A119">
        <v>256</v>
      </c>
      <c r="B119" t="s">
        <v>1495</v>
      </c>
    </row>
    <row r="120" spans="1:2" x14ac:dyDescent="0.2">
      <c r="A120">
        <v>257</v>
      </c>
      <c r="B120" t="s">
        <v>1494</v>
      </c>
    </row>
    <row r="121" spans="1:2" x14ac:dyDescent="0.2">
      <c r="A121">
        <v>260</v>
      </c>
      <c r="B121" t="s">
        <v>1494</v>
      </c>
    </row>
    <row r="122" spans="1:2" x14ac:dyDescent="0.2">
      <c r="A122">
        <v>262</v>
      </c>
      <c r="B122" t="s">
        <v>1495</v>
      </c>
    </row>
    <row r="123" spans="1:2" x14ac:dyDescent="0.2">
      <c r="A123">
        <v>263</v>
      </c>
      <c r="B123" t="b">
        <v>0</v>
      </c>
    </row>
    <row r="124" spans="1:2" x14ac:dyDescent="0.2">
      <c r="A124">
        <v>272</v>
      </c>
      <c r="B124" t="s">
        <v>1362</v>
      </c>
    </row>
    <row r="125" spans="1:2" x14ac:dyDescent="0.2">
      <c r="A125">
        <v>273</v>
      </c>
      <c r="B125" t="s">
        <v>1362</v>
      </c>
    </row>
    <row r="126" spans="1:2" x14ac:dyDescent="0.2">
      <c r="A126">
        <v>280</v>
      </c>
      <c r="B126" t="s">
        <v>1494</v>
      </c>
    </row>
    <row r="127" spans="1:2" x14ac:dyDescent="0.2">
      <c r="A127">
        <v>282</v>
      </c>
      <c r="B127" t="s">
        <v>1366</v>
      </c>
    </row>
    <row r="128" spans="1:2" x14ac:dyDescent="0.2">
      <c r="A128">
        <v>286</v>
      </c>
      <c r="B128" t="s">
        <v>1495</v>
      </c>
    </row>
    <row r="129" spans="1:2" x14ac:dyDescent="0.2">
      <c r="A129">
        <v>287</v>
      </c>
      <c r="B129" t="s">
        <v>1359</v>
      </c>
    </row>
    <row r="130" spans="1:2" x14ac:dyDescent="0.2">
      <c r="A130">
        <v>288</v>
      </c>
      <c r="B130" t="s">
        <v>1359</v>
      </c>
    </row>
    <row r="131" spans="1:2" x14ac:dyDescent="0.2">
      <c r="A131">
        <v>289</v>
      </c>
      <c r="B131" t="s">
        <v>1494</v>
      </c>
    </row>
    <row r="132" spans="1:2" x14ac:dyDescent="0.2">
      <c r="A132">
        <v>290</v>
      </c>
      <c r="B132" t="s">
        <v>1359</v>
      </c>
    </row>
    <row r="133" spans="1:2" x14ac:dyDescent="0.2">
      <c r="A133">
        <v>291</v>
      </c>
      <c r="B133" t="s">
        <v>1495</v>
      </c>
    </row>
    <row r="134" spans="1:2" x14ac:dyDescent="0.2">
      <c r="A134">
        <v>293</v>
      </c>
      <c r="B134" t="s">
        <v>1359</v>
      </c>
    </row>
    <row r="135" spans="1:2" x14ac:dyDescent="0.2">
      <c r="A135">
        <v>294</v>
      </c>
      <c r="B135" t="b">
        <v>0</v>
      </c>
    </row>
    <row r="136" spans="1:2" x14ac:dyDescent="0.2">
      <c r="A136">
        <v>295</v>
      </c>
      <c r="B136" t="s">
        <v>1495</v>
      </c>
    </row>
    <row r="137" spans="1:2" x14ac:dyDescent="0.2">
      <c r="A137">
        <v>297</v>
      </c>
      <c r="B137" t="s">
        <v>1494</v>
      </c>
    </row>
    <row r="138" spans="1:2" x14ac:dyDescent="0.2">
      <c r="A138">
        <v>298</v>
      </c>
      <c r="B138" t="s">
        <v>1494</v>
      </c>
    </row>
    <row r="139" spans="1:2" x14ac:dyDescent="0.2">
      <c r="A139">
        <v>300</v>
      </c>
      <c r="B139" t="s">
        <v>1495</v>
      </c>
    </row>
    <row r="140" spans="1:2" x14ac:dyDescent="0.2">
      <c r="A140">
        <v>301</v>
      </c>
      <c r="B140" t="s">
        <v>1495</v>
      </c>
    </row>
    <row r="141" spans="1:2" x14ac:dyDescent="0.2">
      <c r="A141">
        <v>302</v>
      </c>
      <c r="B141" t="s">
        <v>1494</v>
      </c>
    </row>
    <row r="142" spans="1:2" x14ac:dyDescent="0.2">
      <c r="A142">
        <v>303</v>
      </c>
      <c r="B142" t="s">
        <v>1359</v>
      </c>
    </row>
    <row r="143" spans="1:2" x14ac:dyDescent="0.2">
      <c r="A143">
        <v>304</v>
      </c>
      <c r="B143" t="s">
        <v>1495</v>
      </c>
    </row>
    <row r="144" spans="1:2" x14ac:dyDescent="0.2">
      <c r="A144">
        <v>305</v>
      </c>
      <c r="B144" t="s">
        <v>1366</v>
      </c>
    </row>
    <row r="145" spans="1:7" x14ac:dyDescent="0.2">
      <c r="A145">
        <v>307</v>
      </c>
      <c r="B145" t="s">
        <v>1362</v>
      </c>
    </row>
    <row r="146" spans="1:7" x14ac:dyDescent="0.2">
      <c r="A146">
        <v>308</v>
      </c>
      <c r="B146" t="s">
        <v>1359</v>
      </c>
    </row>
    <row r="147" spans="1:7" x14ac:dyDescent="0.2">
      <c r="A147">
        <v>310</v>
      </c>
      <c r="B147" t="s">
        <v>1495</v>
      </c>
    </row>
    <row r="148" spans="1:7" x14ac:dyDescent="0.2">
      <c r="A148">
        <v>312</v>
      </c>
      <c r="B148" t="s">
        <v>1359</v>
      </c>
    </row>
    <row r="149" spans="1:7" x14ac:dyDescent="0.2">
      <c r="A149">
        <v>314</v>
      </c>
      <c r="B149" t="s">
        <v>1495</v>
      </c>
    </row>
    <row r="150" spans="1:7" x14ac:dyDescent="0.2">
      <c r="A150">
        <v>315</v>
      </c>
      <c r="B150" t="s">
        <v>1494</v>
      </c>
    </row>
    <row r="151" spans="1:7" x14ac:dyDescent="0.2">
      <c r="A151">
        <v>316</v>
      </c>
      <c r="B151" t="s">
        <v>1359</v>
      </c>
    </row>
    <row r="152" spans="1:7" x14ac:dyDescent="0.2">
      <c r="A152">
        <v>317</v>
      </c>
      <c r="B152" t="s">
        <v>1495</v>
      </c>
    </row>
    <row r="153" spans="1:7" x14ac:dyDescent="0.2">
      <c r="A153">
        <v>319</v>
      </c>
      <c r="B153" t="s">
        <v>1495</v>
      </c>
    </row>
    <row r="154" spans="1:7" x14ac:dyDescent="0.2">
      <c r="A154">
        <v>323</v>
      </c>
      <c r="B154" s="2" t="s">
        <v>1389</v>
      </c>
    </row>
    <row r="155" spans="1:7" x14ac:dyDescent="0.2">
      <c r="A155">
        <v>324</v>
      </c>
      <c r="B155" t="s">
        <v>1366</v>
      </c>
    </row>
    <row r="156" spans="1:7" x14ac:dyDescent="0.2">
      <c r="A156">
        <v>325</v>
      </c>
      <c r="B156" t="s">
        <v>1495</v>
      </c>
    </row>
    <row r="157" spans="1:7" x14ac:dyDescent="0.2">
      <c r="A157">
        <v>327</v>
      </c>
      <c r="B157" t="s">
        <v>1495</v>
      </c>
    </row>
    <row r="158" spans="1:7" x14ac:dyDescent="0.2">
      <c r="A158">
        <v>328</v>
      </c>
      <c r="B158" t="s">
        <v>1494</v>
      </c>
      <c r="F158" s="8"/>
      <c r="G158" s="8"/>
    </row>
    <row r="159" spans="1:7" x14ac:dyDescent="0.2">
      <c r="A159">
        <v>329</v>
      </c>
      <c r="B159" t="s">
        <v>1495</v>
      </c>
      <c r="F159" s="8"/>
      <c r="G159" s="8"/>
    </row>
    <row r="160" spans="1:7" x14ac:dyDescent="0.2">
      <c r="A160" s="9">
        <v>331</v>
      </c>
      <c r="B160" s="9" t="s">
        <v>1494</v>
      </c>
    </row>
    <row r="161" spans="1:2" x14ac:dyDescent="0.2">
      <c r="A161" s="9">
        <v>332</v>
      </c>
      <c r="B161" s="9" t="s">
        <v>1494</v>
      </c>
    </row>
    <row r="162" spans="1:2" x14ac:dyDescent="0.2">
      <c r="A162" s="9">
        <v>334</v>
      </c>
      <c r="B162" s="9" t="s">
        <v>1359</v>
      </c>
    </row>
    <row r="163" spans="1:2" x14ac:dyDescent="0.2">
      <c r="A163" s="9">
        <v>336</v>
      </c>
      <c r="B163" s="9" t="s">
        <v>1494</v>
      </c>
    </row>
    <row r="164" spans="1:2" x14ac:dyDescent="0.2">
      <c r="A164" s="9">
        <v>337</v>
      </c>
      <c r="B164" s="9" t="s">
        <v>1362</v>
      </c>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O164"/>
  <sheetViews>
    <sheetView workbookViewId="0">
      <selection activeCell="G3" sqref="G3:G7"/>
    </sheetView>
  </sheetViews>
  <sheetFormatPr baseColWidth="10" defaultColWidth="8.83203125" defaultRowHeight="15" x14ac:dyDescent="0.2"/>
  <cols>
    <col min="1" max="1" width="12.83203125" style="8" customWidth="1"/>
    <col min="2" max="2" width="23" style="8" bestFit="1" customWidth="1"/>
    <col min="3" max="3" width="16.6640625" customWidth="1"/>
    <col min="5" max="5" width="23" bestFit="1" customWidth="1"/>
  </cols>
  <sheetData>
    <row r="1" spans="1:171" x14ac:dyDescent="0.2">
      <c r="A1" s="41" t="s">
        <v>0</v>
      </c>
      <c r="B1" s="41" t="s">
        <v>1358</v>
      </c>
      <c r="C1" s="42" t="s">
        <v>1537</v>
      </c>
    </row>
    <row r="2" spans="1:171" x14ac:dyDescent="0.2">
      <c r="A2" s="41">
        <v>2</v>
      </c>
      <c r="B2" s="1" t="s">
        <v>1360</v>
      </c>
      <c r="C2" s="1"/>
      <c r="D2" s="1"/>
      <c r="E2" s="22" t="s">
        <v>1373</v>
      </c>
      <c r="F2" s="23">
        <f>COUNTA(B2:B164)</f>
        <v>163</v>
      </c>
      <c r="G2" s="24" t="s">
        <v>1375</v>
      </c>
    </row>
    <row r="3" spans="1:171" x14ac:dyDescent="0.2">
      <c r="A3" s="41">
        <v>5</v>
      </c>
      <c r="B3" s="1" t="s">
        <v>1360</v>
      </c>
      <c r="C3" s="1"/>
      <c r="D3" s="1"/>
      <c r="E3" s="11" t="s">
        <v>1360</v>
      </c>
      <c r="F3" s="16">
        <f>COUNTIF(B1:B164,"University UK")</f>
        <v>42</v>
      </c>
      <c r="G3" s="19">
        <f>F3/F2*100</f>
        <v>25.766871165644172</v>
      </c>
    </row>
    <row r="4" spans="1:171" x14ac:dyDescent="0.2">
      <c r="A4" s="41">
        <v>6</v>
      </c>
      <c r="B4" s="1" t="s">
        <v>1360</v>
      </c>
      <c r="C4" s="1"/>
      <c r="D4" s="1"/>
      <c r="E4" s="11" t="s">
        <v>1364</v>
      </c>
      <c r="F4" s="16">
        <f>COUNTIF(B1:B164,"University Other")</f>
        <v>97</v>
      </c>
      <c r="G4" s="19">
        <f>F4/F2*100</f>
        <v>59.509202453987733</v>
      </c>
    </row>
    <row r="5" spans="1:171" x14ac:dyDescent="0.2">
      <c r="A5" s="41">
        <v>11</v>
      </c>
      <c r="B5" s="1" t="s">
        <v>1360</v>
      </c>
      <c r="C5" s="1"/>
      <c r="D5" s="1"/>
      <c r="E5" s="11" t="s">
        <v>1368</v>
      </c>
      <c r="F5" s="16">
        <f>COUNTIF(B1:B164,"Research Institute UK")</f>
        <v>1</v>
      </c>
      <c r="G5" s="19">
        <f>F5/F2*100</f>
        <v>0.61349693251533743</v>
      </c>
    </row>
    <row r="6" spans="1:171" x14ac:dyDescent="0.2">
      <c r="A6" s="41">
        <v>18</v>
      </c>
      <c r="B6" s="1" t="s">
        <v>1360</v>
      </c>
      <c r="C6" s="1"/>
      <c r="D6" s="1"/>
      <c r="E6" s="11" t="s">
        <v>1365</v>
      </c>
      <c r="F6" s="16">
        <f>COUNTIF(B1:B164,"Research Institute Other")</f>
        <v>16</v>
      </c>
      <c r="G6" s="19">
        <f>F6/F2*100</f>
        <v>9.8159509202453989</v>
      </c>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41"/>
      <c r="ET6" s="1"/>
      <c r="EU6" s="1"/>
      <c r="EV6" s="1"/>
      <c r="EW6" s="1"/>
      <c r="EX6" s="1"/>
      <c r="EY6" s="1"/>
      <c r="EZ6" s="1"/>
      <c r="FA6" s="1"/>
      <c r="FB6" s="1"/>
      <c r="FC6" s="1"/>
      <c r="FD6" s="1"/>
      <c r="FE6" s="1"/>
      <c r="FF6" s="1"/>
      <c r="FG6" s="1"/>
      <c r="FH6" s="1"/>
      <c r="FI6" s="1"/>
      <c r="FJ6" s="1"/>
      <c r="FK6" s="1"/>
      <c r="FL6" s="1"/>
      <c r="FM6" s="1"/>
      <c r="FN6" s="1"/>
      <c r="FO6" s="1"/>
    </row>
    <row r="7" spans="1:171" x14ac:dyDescent="0.2">
      <c r="A7" s="41">
        <v>21</v>
      </c>
      <c r="B7" s="1" t="s">
        <v>1360</v>
      </c>
      <c r="C7" s="1"/>
      <c r="D7" s="1"/>
      <c r="E7" s="17" t="s">
        <v>1374</v>
      </c>
      <c r="F7" s="20">
        <f>F2-F3-F4-F5-F6</f>
        <v>7</v>
      </c>
      <c r="G7" s="21">
        <f>F7/F2*100</f>
        <v>4.294478527607362</v>
      </c>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41"/>
      <c r="ET7" s="1"/>
      <c r="EU7" s="1"/>
      <c r="EV7" s="1"/>
      <c r="EW7" s="1"/>
      <c r="EX7" s="1"/>
      <c r="EY7" s="1"/>
      <c r="EZ7" s="1"/>
      <c r="FA7" s="1"/>
      <c r="FB7" s="1"/>
      <c r="FC7" s="1"/>
      <c r="FD7" s="1"/>
      <c r="FE7" s="1"/>
      <c r="FF7" s="1"/>
      <c r="FG7" s="1"/>
      <c r="FH7" s="1"/>
      <c r="FI7" s="1"/>
      <c r="FJ7" s="1"/>
      <c r="FK7" s="1"/>
      <c r="FL7" s="1"/>
      <c r="FM7" s="1"/>
      <c r="FN7" s="1"/>
      <c r="FO7" s="1"/>
    </row>
    <row r="8" spans="1:171" x14ac:dyDescent="0.2">
      <c r="A8" s="41">
        <v>22</v>
      </c>
      <c r="B8" s="1" t="s">
        <v>1360</v>
      </c>
      <c r="C8" s="1"/>
      <c r="D8" s="1"/>
    </row>
    <row r="9" spans="1:171" x14ac:dyDescent="0.2">
      <c r="A9" s="41">
        <v>26</v>
      </c>
      <c r="B9" s="1" t="s">
        <v>1360</v>
      </c>
      <c r="C9" s="1"/>
      <c r="D9" s="1"/>
    </row>
    <row r="10" spans="1:171" x14ac:dyDescent="0.2">
      <c r="A10" s="41">
        <v>30</v>
      </c>
      <c r="B10" s="1" t="s">
        <v>1364</v>
      </c>
      <c r="C10" s="1" t="s">
        <v>123</v>
      </c>
      <c r="D10" s="1"/>
    </row>
    <row r="11" spans="1:171" x14ac:dyDescent="0.2">
      <c r="A11" s="41">
        <v>31</v>
      </c>
      <c r="B11" s="1" t="s">
        <v>1364</v>
      </c>
      <c r="C11" s="1" t="s">
        <v>133</v>
      </c>
      <c r="D11" s="1"/>
    </row>
    <row r="12" spans="1:171" x14ac:dyDescent="0.2">
      <c r="A12" s="41">
        <v>28</v>
      </c>
      <c r="B12" s="1" t="s">
        <v>1364</v>
      </c>
      <c r="C12" s="1" t="s">
        <v>143</v>
      </c>
      <c r="D12" s="1"/>
    </row>
    <row r="13" spans="1:171" x14ac:dyDescent="0.2">
      <c r="A13" s="41">
        <v>32</v>
      </c>
      <c r="B13" s="1" t="s">
        <v>1364</v>
      </c>
      <c r="C13" s="1" t="s">
        <v>133</v>
      </c>
      <c r="D13" s="1"/>
    </row>
    <row r="14" spans="1:171" x14ac:dyDescent="0.2">
      <c r="A14" s="41">
        <v>34</v>
      </c>
      <c r="B14" s="1" t="s">
        <v>166</v>
      </c>
      <c r="C14" s="1"/>
      <c r="D14" s="1"/>
    </row>
    <row r="15" spans="1:171" x14ac:dyDescent="0.2">
      <c r="A15" s="41">
        <v>35</v>
      </c>
      <c r="B15" s="1" t="s">
        <v>1360</v>
      </c>
      <c r="C15" s="1"/>
      <c r="D15" s="1"/>
    </row>
    <row r="16" spans="1:171" x14ac:dyDescent="0.2">
      <c r="A16" s="41">
        <v>36</v>
      </c>
      <c r="B16" s="1" t="s">
        <v>1364</v>
      </c>
      <c r="C16" s="1" t="s">
        <v>187</v>
      </c>
      <c r="D16" s="1"/>
    </row>
    <row r="17" spans="1:4" x14ac:dyDescent="0.2">
      <c r="A17" s="41">
        <v>38</v>
      </c>
      <c r="B17" s="1" t="s">
        <v>1365</v>
      </c>
      <c r="C17" s="1" t="s">
        <v>198</v>
      </c>
    </row>
    <row r="18" spans="1:4" x14ac:dyDescent="0.2">
      <c r="A18" s="41">
        <v>40</v>
      </c>
      <c r="B18" s="1" t="s">
        <v>1365</v>
      </c>
      <c r="C18" s="1" t="s">
        <v>207</v>
      </c>
    </row>
    <row r="19" spans="1:4" x14ac:dyDescent="0.2">
      <c r="A19" s="41">
        <v>41</v>
      </c>
      <c r="B19" s="1" t="s">
        <v>1364</v>
      </c>
      <c r="C19" s="1" t="s">
        <v>198</v>
      </c>
      <c r="D19" s="1"/>
    </row>
    <row r="20" spans="1:4" x14ac:dyDescent="0.2">
      <c r="A20" s="41">
        <v>42</v>
      </c>
      <c r="B20" s="1" t="s">
        <v>1360</v>
      </c>
      <c r="C20" s="1"/>
      <c r="D20" s="1"/>
    </row>
    <row r="21" spans="1:4" x14ac:dyDescent="0.2">
      <c r="A21" s="41">
        <v>44</v>
      </c>
      <c r="B21" s="1" t="s">
        <v>1364</v>
      </c>
      <c r="C21" s="1" t="s">
        <v>133</v>
      </c>
      <c r="D21" s="1"/>
    </row>
    <row r="22" spans="1:4" x14ac:dyDescent="0.2">
      <c r="A22" s="41">
        <v>46</v>
      </c>
      <c r="B22" s="1" t="s">
        <v>1364</v>
      </c>
      <c r="C22" s="1" t="s">
        <v>245</v>
      </c>
      <c r="D22" s="1"/>
    </row>
    <row r="23" spans="1:4" x14ac:dyDescent="0.2">
      <c r="A23" s="41">
        <v>47</v>
      </c>
      <c r="B23" s="1" t="s">
        <v>1365</v>
      </c>
      <c r="C23" s="1" t="s">
        <v>256</v>
      </c>
    </row>
    <row r="24" spans="1:4" x14ac:dyDescent="0.2">
      <c r="A24" s="41">
        <v>49</v>
      </c>
      <c r="B24" s="1" t="s">
        <v>267</v>
      </c>
      <c r="C24" s="1"/>
      <c r="D24" s="1"/>
    </row>
    <row r="25" spans="1:4" x14ac:dyDescent="0.2">
      <c r="A25" s="41">
        <v>50</v>
      </c>
      <c r="B25" s="1" t="s">
        <v>1364</v>
      </c>
      <c r="C25" s="1" t="s">
        <v>256</v>
      </c>
      <c r="D25" s="1"/>
    </row>
    <row r="26" spans="1:4" x14ac:dyDescent="0.2">
      <c r="A26" s="41">
        <v>51</v>
      </c>
      <c r="B26" s="1" t="s">
        <v>1364</v>
      </c>
      <c r="C26" s="1" t="s">
        <v>256</v>
      </c>
      <c r="D26" s="1"/>
    </row>
    <row r="27" spans="1:4" x14ac:dyDescent="0.2">
      <c r="A27" s="41">
        <v>53</v>
      </c>
      <c r="B27" s="1" t="s">
        <v>1365</v>
      </c>
      <c r="C27" s="1" t="s">
        <v>133</v>
      </c>
    </row>
    <row r="28" spans="1:4" x14ac:dyDescent="0.2">
      <c r="A28" s="41">
        <v>55</v>
      </c>
      <c r="B28" s="1" t="s">
        <v>1364</v>
      </c>
      <c r="C28" s="1" t="s">
        <v>207</v>
      </c>
      <c r="D28" s="1"/>
    </row>
    <row r="29" spans="1:4" x14ac:dyDescent="0.2">
      <c r="A29" s="41">
        <v>60</v>
      </c>
      <c r="B29" s="1" t="s">
        <v>1364</v>
      </c>
      <c r="C29" s="1" t="s">
        <v>133</v>
      </c>
      <c r="D29" s="1"/>
    </row>
    <row r="30" spans="1:4" x14ac:dyDescent="0.2">
      <c r="A30" s="41">
        <v>61</v>
      </c>
      <c r="B30" s="1" t="s">
        <v>1364</v>
      </c>
      <c r="C30" s="1" t="s">
        <v>245</v>
      </c>
      <c r="D30" s="1"/>
    </row>
    <row r="31" spans="1:4" x14ac:dyDescent="0.2">
      <c r="A31" s="41">
        <v>62</v>
      </c>
      <c r="B31" s="1" t="s">
        <v>1360</v>
      </c>
      <c r="C31" s="1"/>
      <c r="D31" s="1"/>
    </row>
    <row r="32" spans="1:4" ht="30" x14ac:dyDescent="0.2">
      <c r="A32" s="41">
        <v>65</v>
      </c>
      <c r="B32" s="1" t="s">
        <v>1364</v>
      </c>
      <c r="C32" s="1" t="s">
        <v>341</v>
      </c>
      <c r="D32" s="1"/>
    </row>
    <row r="33" spans="1:4" x14ac:dyDescent="0.2">
      <c r="A33" s="41">
        <v>70</v>
      </c>
      <c r="B33" s="1" t="s">
        <v>1364</v>
      </c>
      <c r="C33" s="1" t="s">
        <v>256</v>
      </c>
      <c r="D33" s="1"/>
    </row>
    <row r="34" spans="1:4" x14ac:dyDescent="0.2">
      <c r="A34" s="41">
        <v>71</v>
      </c>
      <c r="B34" s="1" t="s">
        <v>1364</v>
      </c>
      <c r="C34" s="1" t="s">
        <v>359</v>
      </c>
      <c r="D34" s="1"/>
    </row>
    <row r="35" spans="1:4" x14ac:dyDescent="0.2">
      <c r="A35" s="41">
        <v>72</v>
      </c>
      <c r="B35" s="1" t="s">
        <v>1364</v>
      </c>
      <c r="C35" s="1" t="s">
        <v>245</v>
      </c>
      <c r="D35" s="1"/>
    </row>
    <row r="36" spans="1:4" x14ac:dyDescent="0.2">
      <c r="A36" s="41">
        <v>74</v>
      </c>
      <c r="B36" s="1" t="s">
        <v>1360</v>
      </c>
      <c r="C36" s="1"/>
      <c r="D36" s="1"/>
    </row>
    <row r="37" spans="1:4" x14ac:dyDescent="0.2">
      <c r="A37" s="41">
        <v>75</v>
      </c>
      <c r="B37" s="1" t="s">
        <v>1360</v>
      </c>
      <c r="C37" s="1"/>
      <c r="D37" s="1"/>
    </row>
    <row r="38" spans="1:4" x14ac:dyDescent="0.2">
      <c r="A38" s="41">
        <v>76</v>
      </c>
      <c r="B38" s="1" t="s">
        <v>1364</v>
      </c>
      <c r="C38" s="1" t="s">
        <v>399</v>
      </c>
      <c r="D38" s="1"/>
    </row>
    <row r="39" spans="1:4" x14ac:dyDescent="0.2">
      <c r="A39" s="41">
        <v>78</v>
      </c>
      <c r="B39" s="1" t="s">
        <v>1364</v>
      </c>
      <c r="C39" s="1" t="s">
        <v>256</v>
      </c>
      <c r="D39" s="1"/>
    </row>
    <row r="40" spans="1:4" x14ac:dyDescent="0.2">
      <c r="A40" s="41">
        <v>79</v>
      </c>
      <c r="B40" s="1" t="s">
        <v>1364</v>
      </c>
      <c r="C40" s="1" t="s">
        <v>415</v>
      </c>
      <c r="D40" s="1"/>
    </row>
    <row r="41" spans="1:4" x14ac:dyDescent="0.2">
      <c r="A41" s="41">
        <v>80</v>
      </c>
      <c r="B41" s="1" t="s">
        <v>1364</v>
      </c>
      <c r="C41" s="1" t="s">
        <v>426</v>
      </c>
      <c r="D41" s="1"/>
    </row>
    <row r="42" spans="1:4" x14ac:dyDescent="0.2">
      <c r="A42" s="41">
        <v>87</v>
      </c>
      <c r="B42" s="1" t="s">
        <v>1364</v>
      </c>
      <c r="C42" s="1" t="s">
        <v>133</v>
      </c>
      <c r="D42" s="1"/>
    </row>
    <row r="43" spans="1:4" x14ac:dyDescent="0.2">
      <c r="A43" s="41">
        <v>89</v>
      </c>
      <c r="B43" s="1" t="s">
        <v>1364</v>
      </c>
      <c r="C43" s="1" t="s">
        <v>399</v>
      </c>
      <c r="D43" s="1"/>
    </row>
    <row r="44" spans="1:4" x14ac:dyDescent="0.2">
      <c r="A44" s="41">
        <v>90</v>
      </c>
      <c r="B44" s="1" t="s">
        <v>1360</v>
      </c>
      <c r="C44" s="1"/>
      <c r="D44" s="1"/>
    </row>
    <row r="45" spans="1:4" x14ac:dyDescent="0.2">
      <c r="A45" s="41">
        <v>91</v>
      </c>
      <c r="B45" s="1" t="s">
        <v>1360</v>
      </c>
      <c r="C45" s="1"/>
      <c r="D45" s="1"/>
    </row>
    <row r="46" spans="1:4" x14ac:dyDescent="0.2">
      <c r="A46" s="41">
        <v>92</v>
      </c>
      <c r="B46" s="1" t="s">
        <v>1364</v>
      </c>
      <c r="C46" s="1" t="s">
        <v>133</v>
      </c>
      <c r="D46" s="1"/>
    </row>
    <row r="47" spans="1:4" x14ac:dyDescent="0.2">
      <c r="A47" s="41">
        <v>93</v>
      </c>
      <c r="B47" s="1" t="s">
        <v>1365</v>
      </c>
      <c r="C47" s="1" t="s">
        <v>481</v>
      </c>
    </row>
    <row r="48" spans="1:4" x14ac:dyDescent="0.2">
      <c r="A48" s="41">
        <v>95</v>
      </c>
      <c r="B48" s="1" t="s">
        <v>1364</v>
      </c>
      <c r="C48" s="1" t="s">
        <v>415</v>
      </c>
      <c r="D48" s="1"/>
    </row>
    <row r="49" spans="1:4" x14ac:dyDescent="0.2">
      <c r="A49" s="41">
        <v>96</v>
      </c>
      <c r="B49" s="1" t="s">
        <v>1364</v>
      </c>
      <c r="C49" s="1" t="s">
        <v>245</v>
      </c>
      <c r="D49" s="1"/>
    </row>
    <row r="50" spans="1:4" x14ac:dyDescent="0.2">
      <c r="A50" s="41">
        <v>100</v>
      </c>
      <c r="B50" s="1" t="s">
        <v>1364</v>
      </c>
      <c r="C50" s="1" t="s">
        <v>245</v>
      </c>
      <c r="D50" s="1"/>
    </row>
    <row r="51" spans="1:4" x14ac:dyDescent="0.2">
      <c r="A51" s="41">
        <v>104</v>
      </c>
      <c r="B51" s="1" t="s">
        <v>1365</v>
      </c>
      <c r="C51" s="1" t="s">
        <v>415</v>
      </c>
    </row>
    <row r="52" spans="1:4" x14ac:dyDescent="0.2">
      <c r="A52" s="41">
        <v>107</v>
      </c>
      <c r="B52" s="1" t="s">
        <v>1364</v>
      </c>
      <c r="C52" s="1" t="s">
        <v>245</v>
      </c>
      <c r="D52" s="1"/>
    </row>
    <row r="53" spans="1:4" x14ac:dyDescent="0.2">
      <c r="A53" s="41">
        <v>109</v>
      </c>
      <c r="B53" s="1" t="s">
        <v>1364</v>
      </c>
      <c r="C53" s="1" t="s">
        <v>537</v>
      </c>
      <c r="D53" s="1"/>
    </row>
    <row r="54" spans="1:4" x14ac:dyDescent="0.2">
      <c r="A54" s="41">
        <v>110</v>
      </c>
      <c r="B54" s="1" t="s">
        <v>1364</v>
      </c>
      <c r="C54" s="1" t="s">
        <v>187</v>
      </c>
      <c r="D54" s="1"/>
    </row>
    <row r="55" spans="1:4" x14ac:dyDescent="0.2">
      <c r="A55" s="41">
        <v>112</v>
      </c>
      <c r="B55" s="1" t="s">
        <v>1364</v>
      </c>
      <c r="C55" s="1" t="s">
        <v>256</v>
      </c>
      <c r="D55" s="1"/>
    </row>
    <row r="56" spans="1:4" x14ac:dyDescent="0.2">
      <c r="A56" s="41">
        <v>118</v>
      </c>
      <c r="B56" s="1" t="s">
        <v>1364</v>
      </c>
      <c r="C56" s="1" t="s">
        <v>399</v>
      </c>
      <c r="D56" s="1"/>
    </row>
    <row r="57" spans="1:4" x14ac:dyDescent="0.2">
      <c r="A57" s="41">
        <v>119</v>
      </c>
      <c r="B57" s="1" t="s">
        <v>1364</v>
      </c>
      <c r="C57" s="1" t="s">
        <v>256</v>
      </c>
      <c r="D57" s="1"/>
    </row>
    <row r="58" spans="1:4" x14ac:dyDescent="0.2">
      <c r="A58" s="41">
        <v>120</v>
      </c>
      <c r="B58" s="1" t="s">
        <v>1364</v>
      </c>
      <c r="C58" s="1" t="s">
        <v>207</v>
      </c>
      <c r="D58" s="1"/>
    </row>
    <row r="59" spans="1:4" x14ac:dyDescent="0.2">
      <c r="A59" s="41">
        <v>121</v>
      </c>
      <c r="B59" s="1" t="s">
        <v>1364</v>
      </c>
      <c r="C59" s="1" t="s">
        <v>586</v>
      </c>
      <c r="D59" s="1"/>
    </row>
    <row r="60" spans="1:4" x14ac:dyDescent="0.2">
      <c r="A60" s="41">
        <v>122</v>
      </c>
      <c r="B60" s="1" t="s">
        <v>1364</v>
      </c>
      <c r="C60" s="1" t="s">
        <v>256</v>
      </c>
      <c r="D60" s="1"/>
    </row>
    <row r="61" spans="1:4" x14ac:dyDescent="0.2">
      <c r="A61" s="41">
        <v>127</v>
      </c>
      <c r="B61" s="1" t="s">
        <v>1364</v>
      </c>
      <c r="C61" s="1" t="s">
        <v>133</v>
      </c>
      <c r="D61" s="1"/>
    </row>
    <row r="62" spans="1:4" x14ac:dyDescent="0.2">
      <c r="A62" s="41">
        <v>128</v>
      </c>
      <c r="B62" s="1" t="s">
        <v>1364</v>
      </c>
      <c r="C62" s="1" t="s">
        <v>133</v>
      </c>
      <c r="D62" s="1"/>
    </row>
    <row r="63" spans="1:4" x14ac:dyDescent="0.2">
      <c r="A63" s="41">
        <v>132</v>
      </c>
      <c r="B63" s="1" t="s">
        <v>1364</v>
      </c>
      <c r="C63" s="1" t="s">
        <v>133</v>
      </c>
      <c r="D63" s="1"/>
    </row>
    <row r="64" spans="1:4" x14ac:dyDescent="0.2">
      <c r="A64" s="41">
        <v>135</v>
      </c>
      <c r="B64" s="1" t="s">
        <v>1360</v>
      </c>
      <c r="C64" s="1"/>
      <c r="D64" s="1"/>
    </row>
    <row r="65" spans="1:4" x14ac:dyDescent="0.2">
      <c r="A65" s="41">
        <v>136</v>
      </c>
      <c r="B65" s="1" t="s">
        <v>1360</v>
      </c>
      <c r="C65" s="1"/>
      <c r="D65" s="1"/>
    </row>
    <row r="66" spans="1:4" x14ac:dyDescent="0.2">
      <c r="A66" s="41">
        <v>138</v>
      </c>
      <c r="B66" s="1" t="s">
        <v>1364</v>
      </c>
      <c r="C66" s="1" t="s">
        <v>245</v>
      </c>
      <c r="D66" s="1"/>
    </row>
    <row r="67" spans="1:4" x14ac:dyDescent="0.2">
      <c r="A67" s="41">
        <v>139</v>
      </c>
      <c r="B67" s="1" t="s">
        <v>1360</v>
      </c>
      <c r="C67" s="1"/>
      <c r="D67" s="1"/>
    </row>
    <row r="68" spans="1:4" x14ac:dyDescent="0.2">
      <c r="A68" s="41">
        <v>140</v>
      </c>
      <c r="B68" s="1" t="s">
        <v>1360</v>
      </c>
      <c r="C68" s="1"/>
      <c r="D68" s="1"/>
    </row>
    <row r="69" spans="1:4" x14ac:dyDescent="0.2">
      <c r="A69" s="41">
        <v>148</v>
      </c>
      <c r="B69" s="1" t="s">
        <v>1364</v>
      </c>
      <c r="C69" s="1" t="s">
        <v>133</v>
      </c>
      <c r="D69" s="1"/>
    </row>
    <row r="70" spans="1:4" x14ac:dyDescent="0.2">
      <c r="A70" s="41">
        <v>149</v>
      </c>
      <c r="B70" s="1" t="s">
        <v>1365</v>
      </c>
      <c r="C70" s="1" t="s">
        <v>133</v>
      </c>
    </row>
    <row r="71" spans="1:4" x14ac:dyDescent="0.2">
      <c r="A71" s="41">
        <v>150</v>
      </c>
      <c r="B71" s="1" t="s">
        <v>1364</v>
      </c>
      <c r="C71" s="1" t="s">
        <v>133</v>
      </c>
      <c r="D71" s="1"/>
    </row>
    <row r="72" spans="1:4" x14ac:dyDescent="0.2">
      <c r="A72" s="41">
        <v>151</v>
      </c>
      <c r="B72" s="1" t="s">
        <v>1364</v>
      </c>
      <c r="C72" s="1" t="s">
        <v>701</v>
      </c>
      <c r="D72" s="1"/>
    </row>
    <row r="73" spans="1:4" x14ac:dyDescent="0.2">
      <c r="A73" s="41">
        <v>152</v>
      </c>
      <c r="B73" s="1" t="s">
        <v>1364</v>
      </c>
      <c r="C73" s="1" t="s">
        <v>133</v>
      </c>
      <c r="D73" s="1"/>
    </row>
    <row r="74" spans="1:4" x14ac:dyDescent="0.2">
      <c r="A74" s="41">
        <v>153</v>
      </c>
      <c r="B74" s="1" t="s">
        <v>722</v>
      </c>
      <c r="C74" s="1"/>
      <c r="D74" s="1"/>
    </row>
    <row r="75" spans="1:4" x14ac:dyDescent="0.2">
      <c r="A75" s="41">
        <v>157</v>
      </c>
      <c r="B75" s="1" t="s">
        <v>1364</v>
      </c>
      <c r="C75" s="1" t="s">
        <v>133</v>
      </c>
      <c r="D75" s="1"/>
    </row>
    <row r="76" spans="1:4" x14ac:dyDescent="0.2">
      <c r="A76" s="41">
        <v>156</v>
      </c>
      <c r="B76" s="1" t="s">
        <v>1364</v>
      </c>
      <c r="C76" s="1" t="s">
        <v>741</v>
      </c>
      <c r="D76" s="1"/>
    </row>
    <row r="77" spans="1:4" x14ac:dyDescent="0.2">
      <c r="A77" s="41">
        <v>162</v>
      </c>
      <c r="B77" s="1" t="s">
        <v>1360</v>
      </c>
      <c r="C77" s="1"/>
      <c r="D77" s="1"/>
    </row>
    <row r="78" spans="1:4" x14ac:dyDescent="0.2">
      <c r="A78" s="41">
        <v>164</v>
      </c>
      <c r="B78" s="1" t="s">
        <v>1364</v>
      </c>
      <c r="C78" s="1" t="s">
        <v>762</v>
      </c>
      <c r="D78" s="1"/>
    </row>
    <row r="79" spans="1:4" x14ac:dyDescent="0.2">
      <c r="A79" s="41">
        <v>166</v>
      </c>
      <c r="B79" s="1" t="s">
        <v>1364</v>
      </c>
      <c r="C79" s="1" t="s">
        <v>415</v>
      </c>
      <c r="D79" s="1"/>
    </row>
    <row r="80" spans="1:4" x14ac:dyDescent="0.2">
      <c r="A80" s="41">
        <v>170</v>
      </c>
      <c r="B80" s="1" t="s">
        <v>1364</v>
      </c>
      <c r="C80" s="1" t="s">
        <v>774</v>
      </c>
      <c r="D80" s="1"/>
    </row>
    <row r="81" spans="1:4" x14ac:dyDescent="0.2">
      <c r="A81" s="41">
        <v>173</v>
      </c>
      <c r="B81" s="1" t="s">
        <v>1364</v>
      </c>
      <c r="C81" s="1" t="s">
        <v>784</v>
      </c>
      <c r="D81" s="1"/>
    </row>
    <row r="82" spans="1:4" x14ac:dyDescent="0.2">
      <c r="A82" s="41">
        <v>175</v>
      </c>
      <c r="B82" s="1" t="s">
        <v>1364</v>
      </c>
      <c r="C82" s="1" t="s">
        <v>256</v>
      </c>
      <c r="D82" s="1"/>
    </row>
    <row r="83" spans="1:4" x14ac:dyDescent="0.2">
      <c r="A83" s="41">
        <v>178</v>
      </c>
      <c r="B83" s="1" t="s">
        <v>1364</v>
      </c>
      <c r="C83" s="1" t="s">
        <v>256</v>
      </c>
      <c r="D83" s="1"/>
    </row>
    <row r="84" spans="1:4" x14ac:dyDescent="0.2">
      <c r="A84" s="41">
        <v>183</v>
      </c>
      <c r="B84" s="1" t="s">
        <v>1364</v>
      </c>
      <c r="C84" s="1" t="s">
        <v>415</v>
      </c>
      <c r="D84" s="1"/>
    </row>
    <row r="85" spans="1:4" x14ac:dyDescent="0.2">
      <c r="A85" s="41">
        <v>185</v>
      </c>
      <c r="B85" s="1" t="s">
        <v>1364</v>
      </c>
      <c r="C85" s="1" t="s">
        <v>481</v>
      </c>
      <c r="D85" s="1"/>
    </row>
    <row r="86" spans="1:4" x14ac:dyDescent="0.2">
      <c r="A86" s="41">
        <v>186</v>
      </c>
      <c r="B86" s="1" t="s">
        <v>1360</v>
      </c>
      <c r="C86" s="1"/>
      <c r="D86" s="1"/>
    </row>
    <row r="87" spans="1:4" x14ac:dyDescent="0.2">
      <c r="A87" s="41">
        <v>189</v>
      </c>
      <c r="B87" s="1" t="s">
        <v>1364</v>
      </c>
      <c r="C87" s="1" t="s">
        <v>415</v>
      </c>
      <c r="D87" s="1"/>
    </row>
    <row r="88" spans="1:4" x14ac:dyDescent="0.2">
      <c r="A88" s="41">
        <v>190</v>
      </c>
      <c r="B88" s="1" t="s">
        <v>1365</v>
      </c>
      <c r="C88" s="1" t="s">
        <v>256</v>
      </c>
    </row>
    <row r="89" spans="1:4" x14ac:dyDescent="0.2">
      <c r="A89" s="41">
        <v>192</v>
      </c>
      <c r="B89" s="1" t="s">
        <v>1364</v>
      </c>
      <c r="C89" s="1" t="s">
        <v>855</v>
      </c>
      <c r="D89" s="1"/>
    </row>
    <row r="90" spans="1:4" x14ac:dyDescent="0.2">
      <c r="A90" s="41">
        <v>193</v>
      </c>
      <c r="B90" s="1" t="s">
        <v>1364</v>
      </c>
      <c r="C90" s="1" t="s">
        <v>586</v>
      </c>
      <c r="D90" s="1"/>
    </row>
    <row r="91" spans="1:4" x14ac:dyDescent="0.2">
      <c r="A91" s="41">
        <v>196</v>
      </c>
      <c r="B91" s="1" t="s">
        <v>1360</v>
      </c>
      <c r="C91" s="1"/>
      <c r="D91" s="1"/>
    </row>
    <row r="92" spans="1:4" ht="30" x14ac:dyDescent="0.2">
      <c r="A92" s="41">
        <v>197</v>
      </c>
      <c r="B92" s="1" t="s">
        <v>880</v>
      </c>
      <c r="C92" s="1"/>
      <c r="D92" s="1"/>
    </row>
    <row r="93" spans="1:4" x14ac:dyDescent="0.2">
      <c r="A93" s="41">
        <v>200</v>
      </c>
      <c r="B93" s="1" t="s">
        <v>1360</v>
      </c>
      <c r="C93" s="1"/>
      <c r="D93" s="1"/>
    </row>
    <row r="94" spans="1:4" x14ac:dyDescent="0.2">
      <c r="A94" s="41">
        <v>203</v>
      </c>
      <c r="B94" s="1" t="s">
        <v>1364</v>
      </c>
      <c r="C94" s="1" t="s">
        <v>256</v>
      </c>
      <c r="D94" s="1"/>
    </row>
    <row r="95" spans="1:4" x14ac:dyDescent="0.2">
      <c r="A95" s="41">
        <v>204</v>
      </c>
      <c r="B95" s="1" t="s">
        <v>1364</v>
      </c>
      <c r="C95" s="1" t="s">
        <v>903</v>
      </c>
      <c r="D95" s="1"/>
    </row>
    <row r="96" spans="1:4" x14ac:dyDescent="0.2">
      <c r="A96" s="41">
        <v>207</v>
      </c>
      <c r="B96" s="1" t="s">
        <v>1364</v>
      </c>
      <c r="C96" s="1" t="s">
        <v>415</v>
      </c>
      <c r="D96" s="1"/>
    </row>
    <row r="97" spans="1:4" x14ac:dyDescent="0.2">
      <c r="A97" s="41">
        <v>208</v>
      </c>
      <c r="B97" s="1" t="s">
        <v>1364</v>
      </c>
      <c r="C97" s="1" t="s">
        <v>256</v>
      </c>
      <c r="D97" s="1"/>
    </row>
    <row r="98" spans="1:4" x14ac:dyDescent="0.2">
      <c r="A98" s="41">
        <v>210</v>
      </c>
      <c r="B98" s="1" t="s">
        <v>1360</v>
      </c>
      <c r="C98" s="1"/>
      <c r="D98" s="1"/>
    </row>
    <row r="99" spans="1:4" x14ac:dyDescent="0.2">
      <c r="A99" s="41">
        <v>212</v>
      </c>
      <c r="B99" s="1" t="s">
        <v>1364</v>
      </c>
      <c r="C99" s="1" t="s">
        <v>187</v>
      </c>
      <c r="D99" s="1"/>
    </row>
    <row r="100" spans="1:4" x14ac:dyDescent="0.2">
      <c r="A100" s="41">
        <v>215</v>
      </c>
      <c r="B100" s="1" t="s">
        <v>1360</v>
      </c>
      <c r="C100" s="1"/>
      <c r="D100" s="1"/>
    </row>
    <row r="101" spans="1:4" x14ac:dyDescent="0.2">
      <c r="A101" s="41">
        <v>217</v>
      </c>
      <c r="B101" s="1" t="s">
        <v>1360</v>
      </c>
      <c r="C101" s="1"/>
      <c r="D101" s="1"/>
    </row>
    <row r="102" spans="1:4" x14ac:dyDescent="0.2">
      <c r="A102" s="41">
        <v>219</v>
      </c>
      <c r="B102" s="1" t="s">
        <v>1364</v>
      </c>
      <c r="C102" s="1" t="s">
        <v>256</v>
      </c>
      <c r="D102" s="1"/>
    </row>
    <row r="103" spans="1:4" x14ac:dyDescent="0.2">
      <c r="A103" s="41">
        <v>221</v>
      </c>
      <c r="B103" s="1" t="s">
        <v>1360</v>
      </c>
      <c r="C103" s="1"/>
      <c r="D103" s="1"/>
    </row>
    <row r="104" spans="1:4" x14ac:dyDescent="0.2">
      <c r="A104" s="41">
        <v>222</v>
      </c>
      <c r="B104" s="1" t="s">
        <v>1365</v>
      </c>
      <c r="C104" s="1" t="s">
        <v>198</v>
      </c>
    </row>
    <row r="105" spans="1:4" x14ac:dyDescent="0.2">
      <c r="A105" s="41">
        <v>223</v>
      </c>
      <c r="B105" s="1" t="s">
        <v>1360</v>
      </c>
      <c r="C105" s="1"/>
      <c r="D105" s="1"/>
    </row>
    <row r="106" spans="1:4" x14ac:dyDescent="0.2">
      <c r="A106" s="41">
        <v>226</v>
      </c>
      <c r="B106" s="1" t="s">
        <v>1364</v>
      </c>
      <c r="C106" s="1" t="s">
        <v>133</v>
      </c>
      <c r="D106" s="1"/>
    </row>
    <row r="107" spans="1:4" x14ac:dyDescent="0.2">
      <c r="A107" s="41">
        <v>231</v>
      </c>
      <c r="B107" s="1" t="s">
        <v>1364</v>
      </c>
      <c r="C107" s="1" t="s">
        <v>415</v>
      </c>
      <c r="D107" s="1"/>
    </row>
    <row r="108" spans="1:4" x14ac:dyDescent="0.2">
      <c r="A108" s="41">
        <v>232</v>
      </c>
      <c r="B108" s="1" t="s">
        <v>1360</v>
      </c>
      <c r="C108" s="1"/>
      <c r="D108" s="1"/>
    </row>
    <row r="109" spans="1:4" x14ac:dyDescent="0.2">
      <c r="A109" s="41">
        <v>233</v>
      </c>
      <c r="B109" s="1" t="s">
        <v>1360</v>
      </c>
      <c r="C109" s="1"/>
      <c r="D109" s="1"/>
    </row>
    <row r="110" spans="1:4" x14ac:dyDescent="0.2">
      <c r="A110" s="41">
        <v>236</v>
      </c>
      <c r="B110" s="1" t="s">
        <v>1360</v>
      </c>
      <c r="C110" s="1"/>
      <c r="D110" s="1"/>
    </row>
    <row r="111" spans="1:4" x14ac:dyDescent="0.2">
      <c r="A111" s="41">
        <v>238</v>
      </c>
      <c r="B111" s="1" t="s">
        <v>1360</v>
      </c>
      <c r="C111" s="1"/>
      <c r="D111" s="1"/>
    </row>
    <row r="112" spans="1:4" x14ac:dyDescent="0.2">
      <c r="A112" s="41">
        <v>241</v>
      </c>
      <c r="B112" s="1" t="s">
        <v>1364</v>
      </c>
      <c r="C112" s="1" t="s">
        <v>762</v>
      </c>
      <c r="D112" s="1"/>
    </row>
    <row r="113" spans="1:4" x14ac:dyDescent="0.2">
      <c r="A113" s="41">
        <v>242</v>
      </c>
      <c r="B113" s="1" t="s">
        <v>1364</v>
      </c>
      <c r="C113" s="1" t="s">
        <v>256</v>
      </c>
      <c r="D113" s="1"/>
    </row>
    <row r="114" spans="1:4" x14ac:dyDescent="0.2">
      <c r="A114" s="41">
        <v>245</v>
      </c>
      <c r="B114" s="1" t="s">
        <v>1360</v>
      </c>
      <c r="C114" s="1"/>
      <c r="D114" s="1"/>
    </row>
    <row r="115" spans="1:4" x14ac:dyDescent="0.2">
      <c r="A115" s="41">
        <v>247</v>
      </c>
      <c r="B115" s="1" t="s">
        <v>1364</v>
      </c>
      <c r="C115" s="1" t="s">
        <v>855</v>
      </c>
      <c r="D115" s="1"/>
    </row>
    <row r="116" spans="1:4" x14ac:dyDescent="0.2">
      <c r="A116" s="41">
        <v>249</v>
      </c>
      <c r="B116" s="1" t="s">
        <v>1364</v>
      </c>
      <c r="C116" s="1" t="s">
        <v>256</v>
      </c>
      <c r="D116" s="1"/>
    </row>
    <row r="117" spans="1:4" x14ac:dyDescent="0.2">
      <c r="A117" s="41">
        <v>250</v>
      </c>
      <c r="B117" s="1" t="s">
        <v>1360</v>
      </c>
      <c r="C117" s="1"/>
      <c r="D117" s="1"/>
    </row>
    <row r="118" spans="1:4" x14ac:dyDescent="0.2">
      <c r="A118" s="41">
        <v>254</v>
      </c>
      <c r="B118" s="1" t="s">
        <v>1364</v>
      </c>
      <c r="C118" s="1" t="s">
        <v>1099</v>
      </c>
      <c r="D118" s="1"/>
    </row>
    <row r="119" spans="1:4" x14ac:dyDescent="0.2">
      <c r="A119" s="41">
        <v>256</v>
      </c>
      <c r="B119" s="1" t="s">
        <v>1365</v>
      </c>
      <c r="C119" s="1" t="s">
        <v>256</v>
      </c>
    </row>
    <row r="120" spans="1:4" ht="30" x14ac:dyDescent="0.2">
      <c r="A120" s="41">
        <v>257</v>
      </c>
      <c r="B120" s="1" t="s">
        <v>1364</v>
      </c>
      <c r="C120" s="1" t="s">
        <v>1116</v>
      </c>
      <c r="D120" s="1"/>
    </row>
    <row r="121" spans="1:4" x14ac:dyDescent="0.2">
      <c r="A121" s="41">
        <v>260</v>
      </c>
      <c r="B121" s="1" t="s">
        <v>1364</v>
      </c>
      <c r="C121" s="1" t="s">
        <v>399</v>
      </c>
      <c r="D121" s="1"/>
    </row>
    <row r="122" spans="1:4" x14ac:dyDescent="0.2">
      <c r="A122" s="41">
        <v>262</v>
      </c>
      <c r="B122" s="1" t="s">
        <v>1364</v>
      </c>
      <c r="C122" s="1" t="s">
        <v>143</v>
      </c>
      <c r="D122" s="1"/>
    </row>
    <row r="123" spans="1:4" x14ac:dyDescent="0.2">
      <c r="A123" s="41">
        <v>263</v>
      </c>
      <c r="B123" s="1" t="s">
        <v>1368</v>
      </c>
      <c r="C123" s="1"/>
      <c r="D123" s="1"/>
    </row>
    <row r="124" spans="1:4" x14ac:dyDescent="0.2">
      <c r="A124" s="41">
        <v>272</v>
      </c>
      <c r="B124" s="1" t="s">
        <v>1364</v>
      </c>
      <c r="C124" s="1" t="s">
        <v>245</v>
      </c>
      <c r="D124" s="1"/>
    </row>
    <row r="125" spans="1:4" x14ac:dyDescent="0.2">
      <c r="A125" s="41">
        <v>273</v>
      </c>
      <c r="B125" s="1" t="s">
        <v>1364</v>
      </c>
      <c r="C125" s="1" t="s">
        <v>133</v>
      </c>
      <c r="D125" s="1"/>
    </row>
    <row r="126" spans="1:4" x14ac:dyDescent="0.2">
      <c r="A126" s="41">
        <v>280</v>
      </c>
      <c r="B126" s="1" t="s">
        <v>1365</v>
      </c>
      <c r="C126" s="1" t="s">
        <v>245</v>
      </c>
    </row>
    <row r="127" spans="1:4" x14ac:dyDescent="0.2">
      <c r="A127" s="41">
        <v>282</v>
      </c>
      <c r="B127" s="1" t="s">
        <v>1360</v>
      </c>
      <c r="C127" s="1"/>
      <c r="D127" s="1"/>
    </row>
    <row r="128" spans="1:4" x14ac:dyDescent="0.2">
      <c r="A128" s="41">
        <v>286</v>
      </c>
      <c r="B128" s="1" t="s">
        <v>1360</v>
      </c>
      <c r="C128" s="1"/>
      <c r="D128" s="1"/>
    </row>
    <row r="129" spans="1:4" x14ac:dyDescent="0.2">
      <c r="A129" s="41">
        <v>287</v>
      </c>
      <c r="B129" s="1" t="s">
        <v>1365</v>
      </c>
      <c r="C129" s="1" t="s">
        <v>1205</v>
      </c>
    </row>
    <row r="130" spans="1:4" x14ac:dyDescent="0.2">
      <c r="A130" s="41">
        <v>288</v>
      </c>
      <c r="B130" s="1" t="s">
        <v>1360</v>
      </c>
      <c r="C130" s="1"/>
      <c r="D130" s="1"/>
    </row>
    <row r="131" spans="1:4" x14ac:dyDescent="0.2">
      <c r="A131" s="41">
        <v>289</v>
      </c>
      <c r="B131" s="1" t="s">
        <v>1364</v>
      </c>
      <c r="C131" s="1" t="s">
        <v>198</v>
      </c>
      <c r="D131" s="1"/>
    </row>
    <row r="132" spans="1:4" x14ac:dyDescent="0.2">
      <c r="A132" s="41">
        <v>290</v>
      </c>
      <c r="B132" s="1" t="s">
        <v>1360</v>
      </c>
      <c r="C132" s="1"/>
      <c r="D132" s="1"/>
    </row>
    <row r="133" spans="1:4" x14ac:dyDescent="0.2">
      <c r="A133" s="41">
        <v>291</v>
      </c>
      <c r="B133" s="1" t="s">
        <v>1238</v>
      </c>
      <c r="C133" s="1"/>
      <c r="D133" s="1"/>
    </row>
    <row r="134" spans="1:4" x14ac:dyDescent="0.2">
      <c r="A134" s="41">
        <v>293</v>
      </c>
      <c r="B134" s="1" t="s">
        <v>1364</v>
      </c>
      <c r="C134" s="1" t="s">
        <v>399</v>
      </c>
      <c r="D134" s="1"/>
    </row>
    <row r="135" spans="1:4" x14ac:dyDescent="0.2">
      <c r="A135" s="41">
        <v>294</v>
      </c>
      <c r="B135" s="1" t="s">
        <v>1364</v>
      </c>
      <c r="C135" s="1" t="s">
        <v>701</v>
      </c>
      <c r="D135" s="1"/>
    </row>
    <row r="136" spans="1:4" x14ac:dyDescent="0.2">
      <c r="A136" s="41">
        <v>295</v>
      </c>
      <c r="B136" s="1" t="s">
        <v>1364</v>
      </c>
      <c r="C136" s="1" t="s">
        <v>133</v>
      </c>
      <c r="D136" s="1"/>
    </row>
    <row r="137" spans="1:4" x14ac:dyDescent="0.2">
      <c r="A137" s="41">
        <v>297</v>
      </c>
      <c r="B137" s="1" t="s">
        <v>1364</v>
      </c>
      <c r="C137" s="1" t="s">
        <v>187</v>
      </c>
      <c r="D137" s="1"/>
    </row>
    <row r="138" spans="1:4" x14ac:dyDescent="0.2">
      <c r="A138" s="41">
        <v>298</v>
      </c>
      <c r="B138" s="1" t="s">
        <v>1364</v>
      </c>
      <c r="C138" s="1" t="s">
        <v>256</v>
      </c>
      <c r="D138" s="1"/>
    </row>
    <row r="139" spans="1:4" x14ac:dyDescent="0.2">
      <c r="A139" s="41">
        <v>300</v>
      </c>
      <c r="B139" s="1" t="s">
        <v>1364</v>
      </c>
      <c r="C139" s="1" t="s">
        <v>762</v>
      </c>
      <c r="D139" s="1"/>
    </row>
    <row r="140" spans="1:4" x14ac:dyDescent="0.2">
      <c r="A140" s="41">
        <v>301</v>
      </c>
      <c r="B140" s="1" t="s">
        <v>1364</v>
      </c>
      <c r="C140" s="1" t="s">
        <v>1300</v>
      </c>
      <c r="D140" s="1"/>
    </row>
    <row r="141" spans="1:4" x14ac:dyDescent="0.2">
      <c r="A141" s="41">
        <v>302</v>
      </c>
      <c r="B141" s="1" t="s">
        <v>1364</v>
      </c>
      <c r="C141" s="1" t="s">
        <v>256</v>
      </c>
      <c r="D141" s="1"/>
    </row>
    <row r="142" spans="1:4" x14ac:dyDescent="0.2">
      <c r="A142" s="41">
        <v>303</v>
      </c>
      <c r="B142" s="1" t="s">
        <v>1365</v>
      </c>
      <c r="C142" s="41" t="s">
        <v>415</v>
      </c>
    </row>
    <row r="143" spans="1:4" x14ac:dyDescent="0.2">
      <c r="A143" s="41">
        <v>304</v>
      </c>
      <c r="B143" s="1" t="s">
        <v>1364</v>
      </c>
      <c r="C143" s="1" t="s">
        <v>256</v>
      </c>
      <c r="D143" s="1"/>
    </row>
    <row r="144" spans="1:4" x14ac:dyDescent="0.2">
      <c r="A144" s="41">
        <v>305</v>
      </c>
      <c r="B144" s="1" t="s">
        <v>1364</v>
      </c>
      <c r="C144" s="1" t="s">
        <v>1332</v>
      </c>
      <c r="D144" s="1"/>
    </row>
    <row r="145" spans="1:9" x14ac:dyDescent="0.2">
      <c r="A145" s="41">
        <v>307</v>
      </c>
      <c r="B145" s="1" t="s">
        <v>1364</v>
      </c>
      <c r="C145" s="1" t="s">
        <v>187</v>
      </c>
      <c r="D145" s="1"/>
    </row>
    <row r="146" spans="1:9" x14ac:dyDescent="0.2">
      <c r="A146" s="41">
        <v>308</v>
      </c>
      <c r="B146" s="1" t="s">
        <v>1360</v>
      </c>
      <c r="C146" s="1"/>
      <c r="D146" s="1"/>
    </row>
    <row r="147" spans="1:9" x14ac:dyDescent="0.2">
      <c r="A147" s="1">
        <v>310</v>
      </c>
      <c r="B147" s="1" t="s">
        <v>1390</v>
      </c>
      <c r="C147" s="1"/>
      <c r="D147" s="1"/>
    </row>
    <row r="148" spans="1:9" x14ac:dyDescent="0.2">
      <c r="A148" s="1">
        <v>312</v>
      </c>
      <c r="B148" s="1" t="s">
        <v>1364</v>
      </c>
      <c r="C148" s="1" t="s">
        <v>256</v>
      </c>
      <c r="D148" s="1"/>
    </row>
    <row r="149" spans="1:9" x14ac:dyDescent="0.2">
      <c r="A149" s="1">
        <v>314</v>
      </c>
      <c r="B149" s="1" t="s">
        <v>1360</v>
      </c>
      <c r="C149" s="1"/>
      <c r="D149" s="1"/>
    </row>
    <row r="150" spans="1:9" x14ac:dyDescent="0.2">
      <c r="A150" s="1">
        <v>315</v>
      </c>
      <c r="B150" s="1" t="s">
        <v>1391</v>
      </c>
      <c r="C150" s="1"/>
      <c r="D150" s="1"/>
    </row>
    <row r="151" spans="1:9" x14ac:dyDescent="0.2">
      <c r="A151" s="1">
        <v>316</v>
      </c>
      <c r="B151" s="1" t="s">
        <v>1365</v>
      </c>
      <c r="C151" s="1" t="s">
        <v>256</v>
      </c>
    </row>
    <row r="152" spans="1:9" x14ac:dyDescent="0.2">
      <c r="A152" s="1">
        <v>317</v>
      </c>
      <c r="B152" s="1" t="s">
        <v>1360</v>
      </c>
      <c r="C152" s="1"/>
      <c r="D152" s="1"/>
    </row>
    <row r="153" spans="1:9" x14ac:dyDescent="0.2">
      <c r="A153" s="1">
        <v>319</v>
      </c>
      <c r="B153" s="1" t="s">
        <v>1360</v>
      </c>
      <c r="C153" s="1"/>
      <c r="D153" s="1"/>
    </row>
    <row r="154" spans="1:9" x14ac:dyDescent="0.2">
      <c r="A154" s="1">
        <v>323</v>
      </c>
      <c r="B154" s="1" t="s">
        <v>1364</v>
      </c>
      <c r="C154" s="1" t="s">
        <v>256</v>
      </c>
      <c r="D154" s="1"/>
    </row>
    <row r="155" spans="1:9" x14ac:dyDescent="0.2">
      <c r="A155" s="1">
        <v>324</v>
      </c>
      <c r="B155" s="1" t="s">
        <v>1364</v>
      </c>
      <c r="C155" s="1" t="s">
        <v>415</v>
      </c>
      <c r="D155" s="1"/>
    </row>
    <row r="156" spans="1:9" x14ac:dyDescent="0.2">
      <c r="A156" s="1">
        <v>325</v>
      </c>
      <c r="B156" s="1" t="s">
        <v>1364</v>
      </c>
      <c r="C156" s="1" t="s">
        <v>256</v>
      </c>
      <c r="D156" s="1"/>
    </row>
    <row r="157" spans="1:9" x14ac:dyDescent="0.2">
      <c r="A157" s="1">
        <v>327</v>
      </c>
      <c r="B157" s="1" t="s">
        <v>1364</v>
      </c>
      <c r="C157" s="1" t="s">
        <v>256</v>
      </c>
      <c r="D157" s="1"/>
    </row>
    <row r="158" spans="1:9" x14ac:dyDescent="0.2">
      <c r="A158" s="1">
        <v>328</v>
      </c>
      <c r="B158" s="1" t="s">
        <v>1364</v>
      </c>
      <c r="C158" s="1" t="s">
        <v>1300</v>
      </c>
      <c r="D158" s="1"/>
      <c r="E158" s="4"/>
      <c r="F158" s="4"/>
      <c r="G158" s="4"/>
      <c r="H158" s="4"/>
      <c r="I158" s="4"/>
    </row>
    <row r="159" spans="1:9" x14ac:dyDescent="0.2">
      <c r="A159" s="1">
        <v>329</v>
      </c>
      <c r="B159" s="1" t="s">
        <v>1365</v>
      </c>
      <c r="C159" s="1" t="s">
        <v>1392</v>
      </c>
      <c r="E159" s="1"/>
      <c r="F159" s="1"/>
      <c r="G159" s="1"/>
      <c r="H159" s="1"/>
      <c r="I159" s="1"/>
    </row>
    <row r="160" spans="1:9" x14ac:dyDescent="0.2">
      <c r="A160" s="1">
        <v>331</v>
      </c>
      <c r="B160" s="1" t="s">
        <v>1364</v>
      </c>
      <c r="C160" s="1" t="s">
        <v>133</v>
      </c>
      <c r="D160" s="1"/>
    </row>
    <row r="161" spans="1:4" x14ac:dyDescent="0.2">
      <c r="A161" s="1">
        <v>332</v>
      </c>
      <c r="B161" s="1" t="s">
        <v>1364</v>
      </c>
      <c r="C161" s="1" t="s">
        <v>256</v>
      </c>
      <c r="D161" s="1"/>
    </row>
    <row r="162" spans="1:4" x14ac:dyDescent="0.2">
      <c r="A162" s="1">
        <v>334</v>
      </c>
      <c r="B162" s="1" t="s">
        <v>1364</v>
      </c>
      <c r="C162" s="1" t="s">
        <v>1499</v>
      </c>
      <c r="D162" s="1"/>
    </row>
    <row r="163" spans="1:4" x14ac:dyDescent="0.2">
      <c r="A163" s="1">
        <v>336</v>
      </c>
      <c r="B163" s="1" t="s">
        <v>1365</v>
      </c>
      <c r="C163" s="1" t="s">
        <v>123</v>
      </c>
    </row>
    <row r="164" spans="1:4" x14ac:dyDescent="0.2">
      <c r="A164" s="1">
        <v>337</v>
      </c>
      <c r="B164" s="1" t="s">
        <v>1364</v>
      </c>
      <c r="C164" s="1" t="s">
        <v>399</v>
      </c>
      <c r="D164" s="1"/>
    </row>
  </sheetData>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164"/>
  <sheetViews>
    <sheetView topLeftCell="D1" workbookViewId="0">
      <selection activeCell="H27" sqref="H27"/>
    </sheetView>
  </sheetViews>
  <sheetFormatPr baseColWidth="10" defaultColWidth="45.5" defaultRowHeight="15" x14ac:dyDescent="0.2"/>
  <cols>
    <col min="1" max="1" width="11.83203125" style="9" bestFit="1" customWidth="1"/>
    <col min="2" max="2" width="45.1640625" style="49" bestFit="1" customWidth="1"/>
    <col min="3" max="3" width="45.1640625" style="49" customWidth="1"/>
    <col min="4" max="4" width="52.5" customWidth="1"/>
    <col min="5" max="5" width="8.6640625" style="9" bestFit="1" customWidth="1"/>
    <col min="6" max="6" width="10.5" style="9" customWidth="1"/>
    <col min="7" max="7" width="35.83203125" style="9" customWidth="1"/>
    <col min="8" max="8" width="4.83203125" style="9" customWidth="1"/>
    <col min="9" max="9" width="9.5" style="9" customWidth="1"/>
    <col min="10" max="10" width="6" style="9" bestFit="1" customWidth="1"/>
    <col min="11" max="11" width="10.6640625" style="9" customWidth="1"/>
    <col min="12" max="16384" width="45.5" style="9"/>
  </cols>
  <sheetData>
    <row r="1" spans="1:11" ht="16.5" customHeight="1" x14ac:dyDescent="0.2">
      <c r="A1" s="1" t="s">
        <v>0</v>
      </c>
      <c r="B1" s="47" t="s">
        <v>18</v>
      </c>
      <c r="C1" s="47"/>
      <c r="D1" s="1" t="s">
        <v>19</v>
      </c>
      <c r="E1" s="1" t="s">
        <v>1561</v>
      </c>
      <c r="F1" s="1"/>
      <c r="G1" s="154" t="s">
        <v>1581</v>
      </c>
      <c r="H1" s="155"/>
      <c r="J1" s="156" t="s">
        <v>1585</v>
      </c>
      <c r="K1" s="157"/>
    </row>
    <row r="2" spans="1:11" x14ac:dyDescent="0.2">
      <c r="A2" s="1">
        <v>2</v>
      </c>
      <c r="B2" s="47" t="s">
        <v>48</v>
      </c>
      <c r="C2" s="47">
        <v>99</v>
      </c>
      <c r="D2" s="1">
        <v>5</v>
      </c>
      <c r="E2" s="9">
        <v>5</v>
      </c>
      <c r="G2" s="55" t="s">
        <v>61</v>
      </c>
      <c r="H2" s="52">
        <v>65</v>
      </c>
      <c r="J2" s="50" t="s">
        <v>1582</v>
      </c>
      <c r="K2" s="59">
        <f>AVERAGE(E2:E164)</f>
        <v>10.385802469135802</v>
      </c>
    </row>
    <row r="3" spans="1:11" x14ac:dyDescent="0.2">
      <c r="A3" s="1">
        <v>5</v>
      </c>
      <c r="B3" s="47" t="s">
        <v>61</v>
      </c>
      <c r="C3" s="47">
        <v>2</v>
      </c>
      <c r="D3" s="1">
        <v>10</v>
      </c>
      <c r="E3" s="9">
        <v>10</v>
      </c>
      <c r="G3" s="56" t="s">
        <v>217</v>
      </c>
      <c r="H3" s="53">
        <v>26</v>
      </c>
      <c r="J3" s="50" t="s">
        <v>1370</v>
      </c>
      <c r="K3" s="60">
        <f>_xlfn.STDEV.S(E2:E164)</f>
        <v>8.1557575386387118</v>
      </c>
    </row>
    <row r="4" spans="1:11" x14ac:dyDescent="0.2">
      <c r="A4" s="1">
        <v>6</v>
      </c>
      <c r="B4" s="47" t="s">
        <v>72</v>
      </c>
      <c r="C4" s="47">
        <v>3</v>
      </c>
      <c r="D4" s="1">
        <v>14</v>
      </c>
      <c r="E4" s="9">
        <v>14</v>
      </c>
      <c r="G4" s="56" t="s">
        <v>82</v>
      </c>
      <c r="H4" s="53">
        <v>18</v>
      </c>
      <c r="J4" s="51" t="s">
        <v>1583</v>
      </c>
      <c r="K4" s="61" t="s">
        <v>1584</v>
      </c>
    </row>
    <row r="5" spans="1:11" x14ac:dyDescent="0.2">
      <c r="A5" s="1">
        <v>11</v>
      </c>
      <c r="B5" s="47" t="s">
        <v>82</v>
      </c>
      <c r="C5" s="47">
        <v>1</v>
      </c>
      <c r="D5" s="1" t="s">
        <v>83</v>
      </c>
      <c r="E5" s="9">
        <v>10</v>
      </c>
      <c r="G5" s="56" t="s">
        <v>1265</v>
      </c>
      <c r="H5" s="53">
        <v>6</v>
      </c>
    </row>
    <row r="6" spans="1:11" x14ac:dyDescent="0.2">
      <c r="A6" s="1">
        <v>18</v>
      </c>
      <c r="B6" s="47" t="s">
        <v>82</v>
      </c>
      <c r="C6" s="47">
        <v>1</v>
      </c>
      <c r="D6" s="1">
        <v>12</v>
      </c>
      <c r="E6" s="9">
        <v>12</v>
      </c>
      <c r="G6" s="56" t="s">
        <v>1575</v>
      </c>
      <c r="H6" s="53">
        <v>5</v>
      </c>
      <c r="J6" s="9" t="s">
        <v>1560</v>
      </c>
    </row>
    <row r="7" spans="1:11" x14ac:dyDescent="0.2">
      <c r="A7" s="1">
        <v>21</v>
      </c>
      <c r="B7" s="47" t="s">
        <v>61</v>
      </c>
      <c r="C7" s="47">
        <v>2</v>
      </c>
      <c r="D7" s="1" t="s">
        <v>100</v>
      </c>
      <c r="E7" s="9">
        <v>1</v>
      </c>
      <c r="G7" s="56" t="s">
        <v>268</v>
      </c>
      <c r="H7" s="53">
        <v>3</v>
      </c>
    </row>
    <row r="8" spans="1:11" x14ac:dyDescent="0.2">
      <c r="A8" s="1">
        <v>22</v>
      </c>
      <c r="B8" s="47" t="s">
        <v>82</v>
      </c>
      <c r="C8" s="47">
        <v>1</v>
      </c>
      <c r="D8" s="1">
        <v>10</v>
      </c>
      <c r="E8" s="9">
        <v>10</v>
      </c>
      <c r="G8" s="56" t="s">
        <v>72</v>
      </c>
      <c r="H8" s="53">
        <v>2</v>
      </c>
    </row>
    <row r="9" spans="1:11" x14ac:dyDescent="0.2">
      <c r="A9" s="1">
        <v>26</v>
      </c>
      <c r="B9" s="47" t="s">
        <v>113</v>
      </c>
      <c r="C9" s="47">
        <v>4</v>
      </c>
      <c r="D9" s="1">
        <v>15</v>
      </c>
      <c r="E9" s="9">
        <v>15</v>
      </c>
      <c r="G9" s="56" t="s">
        <v>246</v>
      </c>
      <c r="H9" s="53">
        <v>2</v>
      </c>
    </row>
    <row r="10" spans="1:11" x14ac:dyDescent="0.2">
      <c r="A10" s="1">
        <v>30</v>
      </c>
      <c r="B10" s="47" t="s">
        <v>61</v>
      </c>
      <c r="C10" s="47">
        <v>2</v>
      </c>
      <c r="D10" s="1">
        <v>9</v>
      </c>
      <c r="E10" s="9">
        <v>9</v>
      </c>
      <c r="G10" s="56" t="s">
        <v>310</v>
      </c>
      <c r="H10" s="53">
        <v>2</v>
      </c>
    </row>
    <row r="11" spans="1:11" x14ac:dyDescent="0.2">
      <c r="A11" s="1">
        <v>31</v>
      </c>
      <c r="B11" s="47" t="s">
        <v>134</v>
      </c>
      <c r="C11" s="47">
        <v>2</v>
      </c>
      <c r="D11" s="1">
        <v>10</v>
      </c>
      <c r="E11" s="9">
        <v>10</v>
      </c>
      <c r="G11" s="56" t="s">
        <v>875</v>
      </c>
      <c r="H11" s="53">
        <v>1</v>
      </c>
    </row>
    <row r="12" spans="1:11" x14ac:dyDescent="0.2">
      <c r="A12" s="1">
        <v>28</v>
      </c>
      <c r="B12" s="47" t="s">
        <v>144</v>
      </c>
      <c r="C12" s="47">
        <v>4</v>
      </c>
      <c r="D12" s="1">
        <v>3</v>
      </c>
      <c r="E12" s="9">
        <v>3</v>
      </c>
      <c r="G12" s="56" t="s">
        <v>723</v>
      </c>
      <c r="H12" s="53">
        <v>1</v>
      </c>
    </row>
    <row r="13" spans="1:11" x14ac:dyDescent="0.2">
      <c r="A13" s="1">
        <v>32</v>
      </c>
      <c r="B13" s="47" t="s">
        <v>61</v>
      </c>
      <c r="C13" s="47">
        <v>2</v>
      </c>
      <c r="D13" s="1">
        <v>9</v>
      </c>
      <c r="E13" s="9">
        <v>9</v>
      </c>
      <c r="G13" s="56" t="s">
        <v>1576</v>
      </c>
      <c r="H13" s="53">
        <v>1</v>
      </c>
    </row>
    <row r="14" spans="1:11" x14ac:dyDescent="0.2">
      <c r="A14" s="1">
        <v>34</v>
      </c>
      <c r="B14" s="47" t="s">
        <v>61</v>
      </c>
      <c r="C14" s="47">
        <v>2</v>
      </c>
      <c r="D14" s="1">
        <v>8</v>
      </c>
      <c r="E14" s="9">
        <v>8</v>
      </c>
      <c r="G14" s="56" t="s">
        <v>1577</v>
      </c>
      <c r="H14" s="53">
        <v>1</v>
      </c>
    </row>
    <row r="15" spans="1:11" x14ac:dyDescent="0.2">
      <c r="A15" s="1">
        <v>35</v>
      </c>
      <c r="B15" s="47" t="s">
        <v>176</v>
      </c>
      <c r="C15" s="47">
        <v>2</v>
      </c>
      <c r="D15" s="1">
        <v>10</v>
      </c>
      <c r="E15" s="9">
        <v>10</v>
      </c>
      <c r="G15" s="56" t="s">
        <v>1578</v>
      </c>
      <c r="H15" s="53">
        <v>1</v>
      </c>
    </row>
    <row r="16" spans="1:11" ht="15.75" customHeight="1" x14ac:dyDescent="0.2">
      <c r="A16" s="1">
        <v>36</v>
      </c>
      <c r="B16" s="47" t="s">
        <v>188</v>
      </c>
      <c r="C16" s="47">
        <v>2</v>
      </c>
      <c r="D16" s="1">
        <v>3</v>
      </c>
      <c r="E16" s="9">
        <v>3</v>
      </c>
      <c r="G16" s="56" t="s">
        <v>1579</v>
      </c>
      <c r="H16" s="53">
        <v>1</v>
      </c>
    </row>
    <row r="17" spans="1:9" x14ac:dyDescent="0.2">
      <c r="A17" s="1">
        <v>38</v>
      </c>
      <c r="B17" s="47" t="s">
        <v>82</v>
      </c>
      <c r="C17" s="47">
        <v>1</v>
      </c>
      <c r="D17" s="1">
        <v>9</v>
      </c>
      <c r="E17" s="9">
        <v>9</v>
      </c>
      <c r="G17" s="56" t="s">
        <v>1580</v>
      </c>
      <c r="H17" s="53">
        <v>1</v>
      </c>
    </row>
    <row r="18" spans="1:9" x14ac:dyDescent="0.2">
      <c r="A18" s="1">
        <v>40</v>
      </c>
      <c r="B18" s="47" t="s">
        <v>134</v>
      </c>
      <c r="C18" s="47">
        <v>2</v>
      </c>
      <c r="D18" s="1">
        <v>4</v>
      </c>
      <c r="E18" s="9">
        <v>4</v>
      </c>
      <c r="G18" s="57" t="s">
        <v>1396</v>
      </c>
      <c r="H18" s="53">
        <v>1</v>
      </c>
    </row>
    <row r="19" spans="1:9" x14ac:dyDescent="0.2">
      <c r="A19" s="1">
        <v>41</v>
      </c>
      <c r="B19" s="47" t="s">
        <v>217</v>
      </c>
      <c r="C19" s="47">
        <v>5</v>
      </c>
      <c r="D19" s="1">
        <v>12</v>
      </c>
      <c r="E19" s="9">
        <v>12</v>
      </c>
      <c r="G19" s="57" t="s">
        <v>1500</v>
      </c>
      <c r="H19" s="53">
        <v>1</v>
      </c>
    </row>
    <row r="20" spans="1:9" x14ac:dyDescent="0.2">
      <c r="A20" s="1">
        <v>42</v>
      </c>
      <c r="B20" s="47" t="s">
        <v>82</v>
      </c>
      <c r="C20" s="47">
        <v>1</v>
      </c>
      <c r="D20" s="1">
        <v>14</v>
      </c>
      <c r="E20" s="9">
        <v>14</v>
      </c>
      <c r="G20" s="58" t="s">
        <v>1574</v>
      </c>
      <c r="H20" s="54">
        <v>25</v>
      </c>
    </row>
    <row r="21" spans="1:9" x14ac:dyDescent="0.2">
      <c r="A21" s="1">
        <v>44</v>
      </c>
      <c r="B21" s="47" t="s">
        <v>61</v>
      </c>
      <c r="C21" s="47">
        <v>2</v>
      </c>
      <c r="D21" s="1">
        <v>8</v>
      </c>
      <c r="E21" s="9">
        <v>8</v>
      </c>
      <c r="H21" s="9">
        <f>SUM(H2:H20)</f>
        <v>163</v>
      </c>
      <c r="I21" s="9" t="s">
        <v>1375</v>
      </c>
    </row>
    <row r="22" spans="1:9" x14ac:dyDescent="0.2">
      <c r="A22" s="1">
        <v>46</v>
      </c>
      <c r="B22" s="47" t="s">
        <v>246</v>
      </c>
      <c r="C22" s="47">
        <v>6</v>
      </c>
      <c r="D22" s="1">
        <v>10</v>
      </c>
      <c r="E22" s="9">
        <v>10</v>
      </c>
      <c r="G22" s="55" t="s">
        <v>61</v>
      </c>
      <c r="H22" s="52">
        <v>65</v>
      </c>
      <c r="I22" s="9">
        <f>(H22/$H$21)*100</f>
        <v>39.877300613496928</v>
      </c>
    </row>
    <row r="23" spans="1:9" x14ac:dyDescent="0.2">
      <c r="A23" s="1">
        <v>47</v>
      </c>
      <c r="B23" s="47" t="s">
        <v>61</v>
      </c>
      <c r="C23" s="47">
        <v>2</v>
      </c>
      <c r="D23" s="1">
        <v>12</v>
      </c>
      <c r="E23" s="9">
        <v>12</v>
      </c>
      <c r="G23" s="56" t="s">
        <v>217</v>
      </c>
      <c r="H23" s="53">
        <v>26</v>
      </c>
      <c r="I23" s="9">
        <f t="shared" ref="I23:I30" si="0">(H23/$H$21)*100</f>
        <v>15.950920245398773</v>
      </c>
    </row>
    <row r="24" spans="1:9" x14ac:dyDescent="0.2">
      <c r="A24" s="1">
        <v>49</v>
      </c>
      <c r="B24" s="47" t="s">
        <v>268</v>
      </c>
      <c r="C24" s="47">
        <v>7</v>
      </c>
      <c r="D24" s="1">
        <v>5</v>
      </c>
      <c r="E24" s="9">
        <v>5</v>
      </c>
      <c r="G24" s="56" t="s">
        <v>82</v>
      </c>
      <c r="H24" s="53">
        <v>18</v>
      </c>
      <c r="I24" s="9">
        <f t="shared" si="0"/>
        <v>11.042944785276074</v>
      </c>
    </row>
    <row r="25" spans="1:9" x14ac:dyDescent="0.2">
      <c r="A25" s="1">
        <v>50</v>
      </c>
      <c r="B25" s="47" t="s">
        <v>61</v>
      </c>
      <c r="C25" s="47">
        <v>2</v>
      </c>
      <c r="D25" s="1" t="s">
        <v>1562</v>
      </c>
      <c r="E25" s="9">
        <v>4</v>
      </c>
      <c r="G25" s="56" t="s">
        <v>1265</v>
      </c>
      <c r="H25" s="53">
        <v>6</v>
      </c>
      <c r="I25" s="9">
        <f t="shared" si="0"/>
        <v>3.6809815950920246</v>
      </c>
    </row>
    <row r="26" spans="1:9" x14ac:dyDescent="0.2">
      <c r="A26" s="1">
        <v>51</v>
      </c>
      <c r="B26" s="47" t="s">
        <v>61</v>
      </c>
      <c r="C26" s="47">
        <v>2</v>
      </c>
      <c r="D26" s="1" t="s">
        <v>1563</v>
      </c>
      <c r="E26" s="9">
        <v>3</v>
      </c>
      <c r="G26" s="56" t="s">
        <v>1575</v>
      </c>
      <c r="H26" s="53">
        <v>6</v>
      </c>
      <c r="I26" s="9">
        <f t="shared" si="0"/>
        <v>3.6809815950920246</v>
      </c>
    </row>
    <row r="27" spans="1:9" x14ac:dyDescent="0.2">
      <c r="A27" s="1">
        <v>53</v>
      </c>
      <c r="B27" s="47" t="s">
        <v>290</v>
      </c>
      <c r="C27" s="47">
        <v>99</v>
      </c>
      <c r="D27" s="1" t="s">
        <v>291</v>
      </c>
      <c r="E27" s="9">
        <v>11</v>
      </c>
      <c r="G27" s="56" t="s">
        <v>268</v>
      </c>
      <c r="H27" s="53">
        <v>3</v>
      </c>
      <c r="I27" s="9">
        <f t="shared" si="0"/>
        <v>1.8404907975460123</v>
      </c>
    </row>
    <row r="28" spans="1:9" x14ac:dyDescent="0.2">
      <c r="A28" s="1">
        <v>55</v>
      </c>
      <c r="B28" s="47" t="s">
        <v>300</v>
      </c>
      <c r="C28" s="47">
        <v>2</v>
      </c>
      <c r="D28" s="1">
        <v>7</v>
      </c>
      <c r="E28" s="9">
        <v>7</v>
      </c>
      <c r="G28" s="125" t="s">
        <v>2170</v>
      </c>
      <c r="H28" s="126">
        <v>25</v>
      </c>
      <c r="I28" s="9">
        <f t="shared" si="0"/>
        <v>15.337423312883436</v>
      </c>
    </row>
    <row r="29" spans="1:9" x14ac:dyDescent="0.2">
      <c r="A29" s="1">
        <v>60</v>
      </c>
      <c r="B29" s="47" t="s">
        <v>310</v>
      </c>
      <c r="C29" s="47">
        <v>8</v>
      </c>
      <c r="D29" s="1">
        <v>7</v>
      </c>
      <c r="E29" s="9">
        <v>7</v>
      </c>
      <c r="G29" s="62"/>
      <c r="H29" s="126">
        <v>9</v>
      </c>
      <c r="I29" s="9">
        <f t="shared" si="0"/>
        <v>5.5214723926380369</v>
      </c>
    </row>
    <row r="30" spans="1:9" x14ac:dyDescent="0.2">
      <c r="A30" s="1">
        <v>61</v>
      </c>
      <c r="B30" s="47" t="s">
        <v>320</v>
      </c>
      <c r="C30" s="47">
        <v>9</v>
      </c>
      <c r="D30" s="1">
        <v>17</v>
      </c>
      <c r="E30" s="9">
        <v>17</v>
      </c>
      <c r="G30" s="127" t="s">
        <v>875</v>
      </c>
      <c r="H30" s="126">
        <v>5</v>
      </c>
      <c r="I30" s="9">
        <f t="shared" si="0"/>
        <v>3.0674846625766872</v>
      </c>
    </row>
    <row r="31" spans="1:9" x14ac:dyDescent="0.2">
      <c r="A31" s="1">
        <v>62</v>
      </c>
      <c r="B31" s="47" t="s">
        <v>331</v>
      </c>
      <c r="C31" s="47">
        <v>99</v>
      </c>
      <c r="D31" s="1">
        <v>14</v>
      </c>
      <c r="E31" s="9">
        <v>14</v>
      </c>
      <c r="G31" s="49"/>
    </row>
    <row r="32" spans="1:9" x14ac:dyDescent="0.2">
      <c r="A32" s="1">
        <v>65</v>
      </c>
      <c r="B32" s="47" t="s">
        <v>61</v>
      </c>
      <c r="C32" s="47">
        <v>2</v>
      </c>
      <c r="D32" s="1">
        <v>6</v>
      </c>
      <c r="E32" s="9">
        <v>6</v>
      </c>
      <c r="G32" s="49"/>
    </row>
    <row r="33" spans="1:7" x14ac:dyDescent="0.2">
      <c r="A33" s="1">
        <v>70</v>
      </c>
      <c r="B33" s="47" t="s">
        <v>82</v>
      </c>
      <c r="C33" s="47">
        <v>1</v>
      </c>
      <c r="D33" s="1">
        <v>5</v>
      </c>
      <c r="E33" s="9">
        <v>5</v>
      </c>
      <c r="G33" s="49"/>
    </row>
    <row r="34" spans="1:7" x14ac:dyDescent="0.2">
      <c r="A34" s="1">
        <v>71</v>
      </c>
      <c r="B34" s="47" t="s">
        <v>134</v>
      </c>
      <c r="C34" s="47">
        <v>2</v>
      </c>
      <c r="D34" s="1">
        <v>15</v>
      </c>
      <c r="E34" s="9">
        <v>15</v>
      </c>
    </row>
    <row r="35" spans="1:7" x14ac:dyDescent="0.2">
      <c r="A35" s="1">
        <v>72</v>
      </c>
      <c r="B35" s="47" t="s">
        <v>61</v>
      </c>
      <c r="C35" s="47">
        <v>2</v>
      </c>
      <c r="D35" s="1">
        <v>5</v>
      </c>
      <c r="E35" s="9">
        <v>5</v>
      </c>
    </row>
    <row r="36" spans="1:7" x14ac:dyDescent="0.2">
      <c r="A36" s="1">
        <v>74</v>
      </c>
      <c r="B36" s="47" t="s">
        <v>379</v>
      </c>
      <c r="C36" s="47">
        <v>10</v>
      </c>
      <c r="D36" s="1" t="s">
        <v>380</v>
      </c>
      <c r="E36" s="9">
        <v>18</v>
      </c>
    </row>
    <row r="37" spans="1:7" x14ac:dyDescent="0.2">
      <c r="A37" s="1">
        <v>75</v>
      </c>
      <c r="B37" s="47" t="s">
        <v>61</v>
      </c>
      <c r="C37" s="47">
        <v>2</v>
      </c>
      <c r="D37" s="1">
        <v>25</v>
      </c>
      <c r="E37" s="9">
        <v>25</v>
      </c>
    </row>
    <row r="38" spans="1:7" x14ac:dyDescent="0.2">
      <c r="A38" s="1">
        <v>76</v>
      </c>
      <c r="B38" s="47" t="s">
        <v>400</v>
      </c>
      <c r="C38" s="47">
        <v>5</v>
      </c>
      <c r="D38" s="1">
        <v>10</v>
      </c>
      <c r="E38" s="9">
        <v>10</v>
      </c>
    </row>
    <row r="39" spans="1:7" x14ac:dyDescent="0.2">
      <c r="A39" s="1">
        <v>78</v>
      </c>
      <c r="B39" s="47" t="s">
        <v>61</v>
      </c>
      <c r="C39" s="47">
        <v>2</v>
      </c>
      <c r="D39" s="1">
        <v>9</v>
      </c>
      <c r="E39" s="9">
        <v>9</v>
      </c>
    </row>
    <row r="40" spans="1:7" x14ac:dyDescent="0.2">
      <c r="A40" s="1">
        <v>79</v>
      </c>
      <c r="B40" s="47" t="s">
        <v>416</v>
      </c>
      <c r="C40" s="47">
        <v>2</v>
      </c>
      <c r="D40" s="1">
        <v>11</v>
      </c>
      <c r="E40" s="9">
        <v>11</v>
      </c>
    </row>
    <row r="41" spans="1:7" x14ac:dyDescent="0.2">
      <c r="A41" s="1">
        <v>80</v>
      </c>
      <c r="B41" s="47" t="s">
        <v>134</v>
      </c>
      <c r="C41" s="47">
        <v>2</v>
      </c>
      <c r="D41" s="1">
        <v>18</v>
      </c>
      <c r="E41" s="9">
        <v>18</v>
      </c>
    </row>
    <row r="42" spans="1:7" x14ac:dyDescent="0.2">
      <c r="A42" s="1">
        <v>87</v>
      </c>
      <c r="B42" s="47" t="s">
        <v>134</v>
      </c>
      <c r="C42" s="47">
        <v>2</v>
      </c>
      <c r="D42" s="1">
        <v>35</v>
      </c>
      <c r="E42" s="9">
        <v>35</v>
      </c>
    </row>
    <row r="43" spans="1:7" x14ac:dyDescent="0.2">
      <c r="A43" s="1">
        <v>89</v>
      </c>
      <c r="B43" s="47" t="s">
        <v>444</v>
      </c>
      <c r="C43" s="47">
        <v>5</v>
      </c>
      <c r="D43" s="1">
        <v>4.5</v>
      </c>
      <c r="E43" s="9">
        <v>4.5</v>
      </c>
    </row>
    <row r="44" spans="1:7" x14ac:dyDescent="0.2">
      <c r="A44" s="1">
        <v>90</v>
      </c>
      <c r="B44" s="47" t="s">
        <v>456</v>
      </c>
      <c r="C44" s="47">
        <v>5</v>
      </c>
      <c r="D44" s="1">
        <v>25</v>
      </c>
      <c r="E44" s="9">
        <v>25</v>
      </c>
      <c r="G44" s="9" t="s">
        <v>1560</v>
      </c>
    </row>
    <row r="45" spans="1:7" x14ac:dyDescent="0.2">
      <c r="A45" s="1">
        <v>91</v>
      </c>
      <c r="B45" s="47" t="s">
        <v>217</v>
      </c>
      <c r="C45" s="47">
        <v>5</v>
      </c>
      <c r="D45" s="1">
        <v>8</v>
      </c>
      <c r="E45" s="9">
        <v>8</v>
      </c>
    </row>
    <row r="46" spans="1:7" x14ac:dyDescent="0.2">
      <c r="A46" s="1">
        <v>92</v>
      </c>
      <c r="B46" s="47" t="s">
        <v>331</v>
      </c>
      <c r="C46" s="47">
        <v>99</v>
      </c>
      <c r="D46" s="1">
        <v>10</v>
      </c>
      <c r="E46" s="9">
        <v>10</v>
      </c>
    </row>
    <row r="47" spans="1:7" x14ac:dyDescent="0.2">
      <c r="A47" s="1">
        <v>93</v>
      </c>
      <c r="B47" s="47" t="s">
        <v>320</v>
      </c>
      <c r="C47" s="47">
        <v>9</v>
      </c>
      <c r="D47" s="1">
        <v>5</v>
      </c>
      <c r="E47" s="9">
        <v>5</v>
      </c>
    </row>
    <row r="48" spans="1:7" x14ac:dyDescent="0.2">
      <c r="A48" s="1">
        <v>95</v>
      </c>
      <c r="B48" s="47" t="s">
        <v>491</v>
      </c>
      <c r="C48" s="47">
        <v>99</v>
      </c>
      <c r="D48" s="1" t="s">
        <v>1564</v>
      </c>
      <c r="E48" s="9">
        <v>30</v>
      </c>
    </row>
    <row r="49" spans="1:5" x14ac:dyDescent="0.2">
      <c r="A49" s="1">
        <v>96</v>
      </c>
      <c r="B49" s="47" t="s">
        <v>61</v>
      </c>
      <c r="C49" s="47">
        <v>2</v>
      </c>
      <c r="D49" s="1" t="s">
        <v>502</v>
      </c>
      <c r="E49" s="9">
        <v>4</v>
      </c>
    </row>
    <row r="50" spans="1:5" x14ac:dyDescent="0.2">
      <c r="A50" s="1">
        <v>100</v>
      </c>
      <c r="B50" s="47" t="s">
        <v>134</v>
      </c>
      <c r="C50" s="47">
        <v>2</v>
      </c>
      <c r="D50" s="1">
        <v>3</v>
      </c>
      <c r="E50" s="9">
        <v>3</v>
      </c>
    </row>
    <row r="51" spans="1:5" x14ac:dyDescent="0.2">
      <c r="A51" s="1">
        <v>104</v>
      </c>
      <c r="B51" s="47" t="s">
        <v>61</v>
      </c>
      <c r="C51" s="47">
        <v>2</v>
      </c>
      <c r="D51" s="1">
        <v>4</v>
      </c>
      <c r="E51" s="9">
        <v>4</v>
      </c>
    </row>
    <row r="52" spans="1:5" x14ac:dyDescent="0.2">
      <c r="A52" s="1">
        <v>107</v>
      </c>
      <c r="B52" s="47" t="s">
        <v>61</v>
      </c>
      <c r="C52" s="47">
        <v>2</v>
      </c>
      <c r="D52" s="1">
        <v>4</v>
      </c>
      <c r="E52" s="9">
        <v>4</v>
      </c>
    </row>
    <row r="53" spans="1:5" x14ac:dyDescent="0.2">
      <c r="A53" s="1">
        <v>109</v>
      </c>
      <c r="B53" s="47" t="s">
        <v>538</v>
      </c>
      <c r="C53" s="47">
        <v>2</v>
      </c>
      <c r="D53" s="1">
        <v>17</v>
      </c>
      <c r="E53" s="9">
        <v>17</v>
      </c>
    </row>
    <row r="54" spans="1:5" x14ac:dyDescent="0.2">
      <c r="A54" s="1">
        <v>110</v>
      </c>
      <c r="B54" s="47" t="s">
        <v>134</v>
      </c>
      <c r="C54" s="47">
        <v>2</v>
      </c>
      <c r="D54" s="1">
        <v>10</v>
      </c>
      <c r="E54" s="9">
        <v>10</v>
      </c>
    </row>
    <row r="55" spans="1:5" x14ac:dyDescent="0.2">
      <c r="A55" s="1">
        <v>112</v>
      </c>
      <c r="B55" s="47" t="s">
        <v>61</v>
      </c>
      <c r="C55" s="47">
        <v>2</v>
      </c>
      <c r="D55" s="1">
        <v>9</v>
      </c>
      <c r="E55" s="9">
        <v>9</v>
      </c>
    </row>
    <row r="56" spans="1:5" x14ac:dyDescent="0.2">
      <c r="A56" s="1">
        <v>118</v>
      </c>
      <c r="B56" s="47" t="s">
        <v>565</v>
      </c>
      <c r="C56" s="47">
        <v>5</v>
      </c>
      <c r="D56" s="1">
        <v>6</v>
      </c>
      <c r="E56" s="9">
        <v>6</v>
      </c>
    </row>
    <row r="57" spans="1:5" x14ac:dyDescent="0.2">
      <c r="A57" s="1">
        <v>119</v>
      </c>
      <c r="B57" s="47" t="s">
        <v>217</v>
      </c>
      <c r="C57" s="47">
        <v>5</v>
      </c>
      <c r="D57" s="1" t="s">
        <v>1565</v>
      </c>
      <c r="E57" s="9">
        <v>8</v>
      </c>
    </row>
    <row r="58" spans="1:5" x14ac:dyDescent="0.2">
      <c r="A58" s="1">
        <v>120</v>
      </c>
      <c r="B58" s="47" t="s">
        <v>400</v>
      </c>
      <c r="C58" s="47">
        <v>5</v>
      </c>
      <c r="D58" s="1">
        <v>10</v>
      </c>
      <c r="E58" s="9">
        <v>10</v>
      </c>
    </row>
    <row r="59" spans="1:5" x14ac:dyDescent="0.2">
      <c r="A59" s="1">
        <v>121</v>
      </c>
      <c r="B59" s="47" t="s">
        <v>587</v>
      </c>
      <c r="C59" s="47">
        <v>99</v>
      </c>
      <c r="D59" s="1">
        <v>5</v>
      </c>
      <c r="E59" s="9">
        <v>5</v>
      </c>
    </row>
    <row r="60" spans="1:5" x14ac:dyDescent="0.2">
      <c r="A60" s="1">
        <v>122</v>
      </c>
      <c r="B60" s="47" t="s">
        <v>597</v>
      </c>
      <c r="C60" s="47">
        <v>4</v>
      </c>
      <c r="D60" s="1">
        <v>10</v>
      </c>
      <c r="E60" s="9">
        <v>10</v>
      </c>
    </row>
    <row r="61" spans="1:5" x14ac:dyDescent="0.2">
      <c r="A61" s="1">
        <v>127</v>
      </c>
      <c r="B61" s="47" t="s">
        <v>603</v>
      </c>
      <c r="C61" s="47">
        <v>99</v>
      </c>
      <c r="D61" s="1">
        <v>15</v>
      </c>
      <c r="E61" s="9">
        <v>15</v>
      </c>
    </row>
    <row r="62" spans="1:5" x14ac:dyDescent="0.2">
      <c r="A62" s="1">
        <v>128</v>
      </c>
      <c r="B62" s="47" t="s">
        <v>217</v>
      </c>
      <c r="C62" s="47">
        <v>5</v>
      </c>
      <c r="D62" s="1">
        <v>5</v>
      </c>
      <c r="E62" s="9">
        <v>5</v>
      </c>
    </row>
    <row r="63" spans="1:5" x14ac:dyDescent="0.2">
      <c r="A63" s="1">
        <v>132</v>
      </c>
      <c r="B63" s="47" t="s">
        <v>217</v>
      </c>
      <c r="C63" s="47">
        <v>5</v>
      </c>
      <c r="D63" s="1">
        <v>3</v>
      </c>
      <c r="E63" s="9">
        <v>3</v>
      </c>
    </row>
    <row r="64" spans="1:5" x14ac:dyDescent="0.2">
      <c r="A64" s="1">
        <v>135</v>
      </c>
      <c r="B64" s="47" t="s">
        <v>82</v>
      </c>
      <c r="C64" s="47">
        <v>1</v>
      </c>
      <c r="D64" s="1">
        <v>10</v>
      </c>
      <c r="E64" s="9">
        <v>10</v>
      </c>
    </row>
    <row r="65" spans="1:5" x14ac:dyDescent="0.2">
      <c r="A65" s="1">
        <v>136</v>
      </c>
      <c r="B65" s="47" t="s">
        <v>61</v>
      </c>
      <c r="C65" s="47">
        <v>2</v>
      </c>
      <c r="D65" s="1">
        <v>9</v>
      </c>
      <c r="E65" s="9">
        <v>9</v>
      </c>
    </row>
    <row r="66" spans="1:5" x14ac:dyDescent="0.2">
      <c r="A66" s="1">
        <v>138</v>
      </c>
      <c r="B66" s="47" t="s">
        <v>217</v>
      </c>
      <c r="C66" s="47">
        <v>5</v>
      </c>
      <c r="D66" s="1">
        <v>8</v>
      </c>
      <c r="E66" s="9">
        <v>8</v>
      </c>
    </row>
    <row r="67" spans="1:5" x14ac:dyDescent="0.2">
      <c r="A67" s="1">
        <v>139</v>
      </c>
      <c r="B67" s="47" t="s">
        <v>82</v>
      </c>
      <c r="C67" s="47">
        <v>1</v>
      </c>
      <c r="D67" s="1">
        <v>37</v>
      </c>
      <c r="E67" s="9">
        <v>37</v>
      </c>
    </row>
    <row r="68" spans="1:5" x14ac:dyDescent="0.2">
      <c r="A68" s="1">
        <v>140</v>
      </c>
      <c r="B68" s="47" t="s">
        <v>667</v>
      </c>
      <c r="C68" s="47">
        <v>8</v>
      </c>
      <c r="D68" s="1" t="s">
        <v>1566</v>
      </c>
      <c r="E68" s="9">
        <v>4</v>
      </c>
    </row>
    <row r="69" spans="1:5" x14ac:dyDescent="0.2">
      <c r="A69" s="1">
        <v>148</v>
      </c>
      <c r="B69" s="47" t="s">
        <v>134</v>
      </c>
      <c r="C69" s="47">
        <v>2</v>
      </c>
      <c r="D69" s="1">
        <v>8</v>
      </c>
      <c r="E69" s="9">
        <v>8</v>
      </c>
    </row>
    <row r="70" spans="1:5" x14ac:dyDescent="0.2">
      <c r="A70" s="1">
        <v>149</v>
      </c>
      <c r="B70" s="47" t="s">
        <v>134</v>
      </c>
      <c r="C70" s="47">
        <v>2</v>
      </c>
      <c r="D70" s="1">
        <v>7</v>
      </c>
      <c r="E70" s="9">
        <v>7</v>
      </c>
    </row>
    <row r="71" spans="1:5" x14ac:dyDescent="0.2">
      <c r="A71" s="1">
        <v>150</v>
      </c>
      <c r="B71" s="47" t="s">
        <v>217</v>
      </c>
      <c r="C71" s="47">
        <v>5</v>
      </c>
      <c r="D71" s="1">
        <v>8</v>
      </c>
      <c r="E71" s="9">
        <v>8</v>
      </c>
    </row>
    <row r="72" spans="1:5" x14ac:dyDescent="0.2">
      <c r="A72" s="1">
        <v>151</v>
      </c>
      <c r="B72" s="47" t="s">
        <v>702</v>
      </c>
      <c r="C72" s="47">
        <v>99</v>
      </c>
      <c r="D72" s="1" t="s">
        <v>1567</v>
      </c>
      <c r="E72" s="9">
        <v>7.5</v>
      </c>
    </row>
    <row r="73" spans="1:5" x14ac:dyDescent="0.2">
      <c r="A73" s="1">
        <v>152</v>
      </c>
      <c r="B73" s="47" t="s">
        <v>217</v>
      </c>
      <c r="C73" s="47">
        <v>5</v>
      </c>
      <c r="D73" s="1">
        <v>6</v>
      </c>
      <c r="E73" s="9">
        <v>6</v>
      </c>
    </row>
    <row r="74" spans="1:5" x14ac:dyDescent="0.2">
      <c r="A74" s="1">
        <v>153</v>
      </c>
      <c r="B74" s="47" t="s">
        <v>723</v>
      </c>
      <c r="C74" s="47">
        <v>11</v>
      </c>
      <c r="D74" s="1">
        <v>6</v>
      </c>
      <c r="E74" s="9">
        <v>6</v>
      </c>
    </row>
    <row r="75" spans="1:5" x14ac:dyDescent="0.2">
      <c r="A75" s="1">
        <v>157</v>
      </c>
      <c r="B75" s="47" t="s">
        <v>731</v>
      </c>
      <c r="C75" s="47">
        <v>99</v>
      </c>
      <c r="D75" s="1">
        <v>5</v>
      </c>
      <c r="E75" s="9">
        <v>5</v>
      </c>
    </row>
    <row r="76" spans="1:5" x14ac:dyDescent="0.2">
      <c r="A76" s="1">
        <v>156</v>
      </c>
      <c r="B76" s="47" t="s">
        <v>742</v>
      </c>
      <c r="C76" s="47">
        <v>99</v>
      </c>
      <c r="D76" s="1">
        <v>35</v>
      </c>
      <c r="E76" s="9">
        <v>35</v>
      </c>
    </row>
    <row r="77" spans="1:5" x14ac:dyDescent="0.2">
      <c r="A77" s="1">
        <v>162</v>
      </c>
      <c r="B77" s="47" t="s">
        <v>751</v>
      </c>
      <c r="C77" s="47">
        <v>1</v>
      </c>
      <c r="D77" s="1">
        <v>20</v>
      </c>
      <c r="E77" s="9">
        <v>20</v>
      </c>
    </row>
    <row r="78" spans="1:5" x14ac:dyDescent="0.2">
      <c r="A78" s="1">
        <v>164</v>
      </c>
      <c r="B78" s="47" t="s">
        <v>763</v>
      </c>
      <c r="C78" s="47">
        <v>7</v>
      </c>
      <c r="D78" s="1">
        <v>10</v>
      </c>
      <c r="E78" s="9">
        <v>10</v>
      </c>
    </row>
    <row r="79" spans="1:5" x14ac:dyDescent="0.2">
      <c r="A79" s="1">
        <v>166</v>
      </c>
      <c r="B79" s="47" t="s">
        <v>217</v>
      </c>
      <c r="C79" s="47">
        <v>5</v>
      </c>
      <c r="D79" s="1">
        <v>4</v>
      </c>
      <c r="E79" s="9">
        <v>4</v>
      </c>
    </row>
    <row r="80" spans="1:5" x14ac:dyDescent="0.2">
      <c r="A80" s="1">
        <v>170</v>
      </c>
      <c r="B80" s="47" t="s">
        <v>134</v>
      </c>
      <c r="C80" s="47">
        <v>2</v>
      </c>
      <c r="D80" s="1" t="s">
        <v>1568</v>
      </c>
      <c r="E80" s="9">
        <v>25</v>
      </c>
    </row>
    <row r="81" spans="1:5" x14ac:dyDescent="0.2">
      <c r="A81" s="1">
        <v>173</v>
      </c>
      <c r="B81" s="47" t="s">
        <v>785</v>
      </c>
      <c r="C81" s="47">
        <v>99</v>
      </c>
      <c r="D81" s="1">
        <v>13</v>
      </c>
      <c r="E81" s="9">
        <v>13</v>
      </c>
    </row>
    <row r="82" spans="1:5" x14ac:dyDescent="0.2">
      <c r="A82" s="1">
        <v>175</v>
      </c>
      <c r="B82" s="47" t="s">
        <v>796</v>
      </c>
      <c r="C82" s="47">
        <v>99</v>
      </c>
      <c r="D82" s="1">
        <v>7</v>
      </c>
      <c r="E82" s="9">
        <v>7</v>
      </c>
    </row>
    <row r="83" spans="1:5" x14ac:dyDescent="0.2">
      <c r="A83" s="1">
        <v>178</v>
      </c>
      <c r="B83" s="47" t="s">
        <v>61</v>
      </c>
      <c r="C83" s="47">
        <v>2</v>
      </c>
      <c r="D83" s="1">
        <v>5</v>
      </c>
      <c r="E83" s="9">
        <v>5</v>
      </c>
    </row>
    <row r="84" spans="1:5" x14ac:dyDescent="0.2">
      <c r="A84" s="1">
        <v>183</v>
      </c>
      <c r="B84" s="47" t="s">
        <v>217</v>
      </c>
      <c r="C84" s="47">
        <v>5</v>
      </c>
      <c r="D84" s="1">
        <v>5</v>
      </c>
      <c r="E84" s="9">
        <v>5</v>
      </c>
    </row>
    <row r="85" spans="1:5" x14ac:dyDescent="0.2">
      <c r="A85" s="1">
        <v>185</v>
      </c>
      <c r="B85" s="47" t="s">
        <v>217</v>
      </c>
      <c r="C85" s="47">
        <v>5</v>
      </c>
      <c r="D85" s="1">
        <v>2</v>
      </c>
      <c r="E85" s="9">
        <v>2</v>
      </c>
    </row>
    <row r="86" spans="1:5" x14ac:dyDescent="0.2">
      <c r="A86" s="1">
        <v>186</v>
      </c>
      <c r="B86" s="47" t="s">
        <v>833</v>
      </c>
      <c r="C86" s="47">
        <v>99</v>
      </c>
      <c r="D86" s="1">
        <v>2</v>
      </c>
      <c r="E86" s="9">
        <v>2</v>
      </c>
    </row>
    <row r="87" spans="1:5" x14ac:dyDescent="0.2">
      <c r="A87" s="1">
        <v>189</v>
      </c>
      <c r="B87" s="47" t="s">
        <v>217</v>
      </c>
      <c r="C87" s="47">
        <v>5</v>
      </c>
      <c r="D87" s="1">
        <v>4</v>
      </c>
      <c r="E87" s="9">
        <v>4</v>
      </c>
    </row>
    <row r="88" spans="1:5" x14ac:dyDescent="0.2">
      <c r="A88" s="1">
        <v>190</v>
      </c>
      <c r="B88" s="47" t="s">
        <v>61</v>
      </c>
      <c r="C88" s="47">
        <v>2</v>
      </c>
      <c r="D88" s="1">
        <v>2</v>
      </c>
      <c r="E88" s="9">
        <v>2</v>
      </c>
    </row>
    <row r="89" spans="1:5" x14ac:dyDescent="0.2">
      <c r="A89" s="1">
        <v>192</v>
      </c>
      <c r="B89" s="47" t="s">
        <v>856</v>
      </c>
      <c r="C89" s="47">
        <v>99</v>
      </c>
      <c r="D89" s="1" t="s">
        <v>1569</v>
      </c>
      <c r="E89" s="9">
        <v>6</v>
      </c>
    </row>
    <row r="90" spans="1:5" x14ac:dyDescent="0.2">
      <c r="A90" s="1">
        <v>193</v>
      </c>
      <c r="B90" s="47" t="s">
        <v>61</v>
      </c>
      <c r="C90" s="47">
        <v>2</v>
      </c>
      <c r="D90" s="1">
        <v>10</v>
      </c>
      <c r="E90" s="9">
        <v>10</v>
      </c>
    </row>
    <row r="91" spans="1:5" x14ac:dyDescent="0.2">
      <c r="A91" s="1">
        <v>196</v>
      </c>
      <c r="B91" s="47" t="s">
        <v>875</v>
      </c>
      <c r="C91" s="47">
        <v>13</v>
      </c>
      <c r="D91" s="1">
        <v>14</v>
      </c>
      <c r="E91" s="9">
        <v>14</v>
      </c>
    </row>
    <row r="92" spans="1:5" x14ac:dyDescent="0.2">
      <c r="A92" s="1">
        <v>197</v>
      </c>
      <c r="B92" s="47" t="s">
        <v>881</v>
      </c>
      <c r="C92" s="47">
        <v>99</v>
      </c>
      <c r="D92" s="1">
        <v>15</v>
      </c>
      <c r="E92" s="9">
        <v>15</v>
      </c>
    </row>
    <row r="93" spans="1:5" x14ac:dyDescent="0.2">
      <c r="A93" s="1">
        <v>200</v>
      </c>
      <c r="B93" s="47" t="s">
        <v>61</v>
      </c>
      <c r="C93" s="47">
        <v>2</v>
      </c>
      <c r="D93" s="1" t="s">
        <v>291</v>
      </c>
      <c r="E93" s="9">
        <v>11</v>
      </c>
    </row>
    <row r="94" spans="1:5" x14ac:dyDescent="0.2">
      <c r="A94" s="1">
        <v>203</v>
      </c>
      <c r="B94" s="47" t="s">
        <v>320</v>
      </c>
      <c r="C94" s="47">
        <v>9</v>
      </c>
      <c r="D94" s="1">
        <v>6</v>
      </c>
      <c r="E94" s="9">
        <v>6</v>
      </c>
    </row>
    <row r="95" spans="1:5" x14ac:dyDescent="0.2">
      <c r="A95" s="1">
        <v>204</v>
      </c>
      <c r="B95" s="47" t="s">
        <v>61</v>
      </c>
      <c r="C95" s="47">
        <v>2</v>
      </c>
      <c r="D95" s="1" t="s">
        <v>904</v>
      </c>
      <c r="E95" s="9">
        <v>0.5</v>
      </c>
    </row>
    <row r="96" spans="1:5" x14ac:dyDescent="0.2">
      <c r="A96" s="1">
        <v>207</v>
      </c>
      <c r="B96" s="47" t="s">
        <v>217</v>
      </c>
      <c r="C96" s="47">
        <v>5</v>
      </c>
      <c r="D96" s="1">
        <v>8</v>
      </c>
      <c r="E96" s="9">
        <v>8</v>
      </c>
    </row>
    <row r="97" spans="1:5" x14ac:dyDescent="0.2">
      <c r="A97" s="1">
        <v>208</v>
      </c>
      <c r="B97" s="47" t="s">
        <v>491</v>
      </c>
      <c r="C97" s="47">
        <v>99</v>
      </c>
      <c r="D97" s="1">
        <v>7</v>
      </c>
      <c r="E97" s="9">
        <v>7</v>
      </c>
    </row>
    <row r="98" spans="1:5" x14ac:dyDescent="0.2">
      <c r="A98" s="1">
        <v>210</v>
      </c>
      <c r="B98" s="47" t="s">
        <v>134</v>
      </c>
      <c r="C98" s="47">
        <v>2</v>
      </c>
      <c r="D98" s="1">
        <v>10</v>
      </c>
      <c r="E98" s="9">
        <v>10</v>
      </c>
    </row>
    <row r="99" spans="1:5" x14ac:dyDescent="0.2">
      <c r="A99" s="1">
        <v>212</v>
      </c>
      <c r="B99" s="47" t="s">
        <v>82</v>
      </c>
      <c r="C99" s="47">
        <v>1</v>
      </c>
      <c r="D99" s="1">
        <v>5</v>
      </c>
      <c r="E99" s="9">
        <v>5</v>
      </c>
    </row>
    <row r="100" spans="1:5" x14ac:dyDescent="0.2">
      <c r="A100" s="1">
        <v>215</v>
      </c>
      <c r="B100" s="47" t="s">
        <v>134</v>
      </c>
      <c r="C100" s="47">
        <v>2</v>
      </c>
      <c r="D100" s="1">
        <v>11</v>
      </c>
      <c r="E100" s="9">
        <v>11</v>
      </c>
    </row>
    <row r="101" spans="1:5" x14ac:dyDescent="0.2">
      <c r="A101" s="1">
        <v>217</v>
      </c>
      <c r="B101" s="47" t="s">
        <v>268</v>
      </c>
      <c r="C101" s="47">
        <v>7</v>
      </c>
      <c r="D101" s="1">
        <v>51</v>
      </c>
      <c r="E101" s="9">
        <v>51</v>
      </c>
    </row>
    <row r="102" spans="1:5" x14ac:dyDescent="0.2">
      <c r="A102" s="1">
        <v>219</v>
      </c>
      <c r="B102" s="47" t="s">
        <v>61</v>
      </c>
      <c r="C102" s="47">
        <v>2</v>
      </c>
      <c r="D102" s="1">
        <v>5</v>
      </c>
      <c r="E102" s="9">
        <v>5</v>
      </c>
    </row>
    <row r="103" spans="1:5" x14ac:dyDescent="0.2">
      <c r="A103" s="1">
        <v>221</v>
      </c>
      <c r="B103" s="47" t="s">
        <v>972</v>
      </c>
      <c r="C103" s="47">
        <v>4</v>
      </c>
      <c r="D103" s="1">
        <v>17</v>
      </c>
      <c r="E103" s="9">
        <v>17</v>
      </c>
    </row>
    <row r="104" spans="1:5" x14ac:dyDescent="0.2">
      <c r="A104" s="1">
        <v>222</v>
      </c>
      <c r="B104" s="47" t="s">
        <v>217</v>
      </c>
      <c r="C104" s="47">
        <v>5</v>
      </c>
      <c r="D104" s="1">
        <v>3</v>
      </c>
      <c r="E104" s="9">
        <v>3</v>
      </c>
    </row>
    <row r="105" spans="1:5" x14ac:dyDescent="0.2">
      <c r="A105" s="1">
        <v>223</v>
      </c>
      <c r="B105" s="47" t="s">
        <v>134</v>
      </c>
      <c r="C105" s="47">
        <v>2</v>
      </c>
      <c r="D105" s="1">
        <v>20</v>
      </c>
      <c r="E105" s="9">
        <v>20</v>
      </c>
    </row>
    <row r="106" spans="1:5" x14ac:dyDescent="0.2">
      <c r="A106" s="1">
        <v>226</v>
      </c>
      <c r="B106" s="47" t="s">
        <v>61</v>
      </c>
      <c r="C106" s="47">
        <v>2</v>
      </c>
      <c r="D106" s="1">
        <v>14</v>
      </c>
      <c r="E106" s="9">
        <v>14</v>
      </c>
    </row>
    <row r="107" spans="1:5" x14ac:dyDescent="0.2">
      <c r="A107" s="1">
        <v>231</v>
      </c>
      <c r="B107" s="47" t="s">
        <v>1001</v>
      </c>
      <c r="C107" s="47">
        <v>14</v>
      </c>
      <c r="D107" s="1">
        <v>4</v>
      </c>
      <c r="E107" s="9">
        <v>4</v>
      </c>
    </row>
    <row r="108" spans="1:5" x14ac:dyDescent="0.2">
      <c r="A108" s="1">
        <v>232</v>
      </c>
      <c r="B108" s="47" t="s">
        <v>134</v>
      </c>
      <c r="C108" s="47">
        <v>2</v>
      </c>
      <c r="D108" s="1">
        <v>25</v>
      </c>
      <c r="E108" s="9">
        <v>25</v>
      </c>
    </row>
    <row r="109" spans="1:5" x14ac:dyDescent="0.2">
      <c r="A109" s="1">
        <v>233</v>
      </c>
      <c r="B109" s="47" t="s">
        <v>1020</v>
      </c>
      <c r="C109" s="47">
        <v>99</v>
      </c>
      <c r="D109" s="1">
        <v>4</v>
      </c>
      <c r="E109" s="9">
        <v>4</v>
      </c>
    </row>
    <row r="110" spans="1:5" x14ac:dyDescent="0.2">
      <c r="A110" s="1">
        <v>236</v>
      </c>
      <c r="B110" s="47" t="s">
        <v>82</v>
      </c>
      <c r="C110" s="47">
        <v>1</v>
      </c>
      <c r="D110" s="1">
        <v>15</v>
      </c>
      <c r="E110" s="9">
        <v>15</v>
      </c>
    </row>
    <row r="111" spans="1:5" x14ac:dyDescent="0.2">
      <c r="A111" s="1">
        <v>238</v>
      </c>
      <c r="B111" s="47" t="s">
        <v>1038</v>
      </c>
      <c r="C111" s="47">
        <v>99</v>
      </c>
      <c r="D111" s="1">
        <v>16</v>
      </c>
      <c r="E111" s="9">
        <v>16</v>
      </c>
    </row>
    <row r="112" spans="1:5" x14ac:dyDescent="0.2">
      <c r="A112" s="1">
        <v>241</v>
      </c>
      <c r="B112" s="47" t="s">
        <v>1049</v>
      </c>
      <c r="C112" s="47">
        <v>99</v>
      </c>
      <c r="D112" s="1">
        <v>25</v>
      </c>
      <c r="E112" s="9">
        <v>25</v>
      </c>
    </row>
    <row r="113" spans="1:5" x14ac:dyDescent="0.2">
      <c r="A113" s="1">
        <v>242</v>
      </c>
      <c r="B113" s="47" t="s">
        <v>1057</v>
      </c>
      <c r="C113" s="47">
        <v>15</v>
      </c>
      <c r="D113" s="1">
        <v>2</v>
      </c>
      <c r="E113" s="9">
        <v>2</v>
      </c>
    </row>
    <row r="114" spans="1:5" x14ac:dyDescent="0.2">
      <c r="A114" s="1">
        <v>245</v>
      </c>
      <c r="B114" s="47" t="s">
        <v>82</v>
      </c>
      <c r="C114" s="47">
        <v>1</v>
      </c>
      <c r="D114" s="1">
        <v>6</v>
      </c>
      <c r="E114" s="9">
        <v>6</v>
      </c>
    </row>
    <row r="115" spans="1:5" x14ac:dyDescent="0.2">
      <c r="A115" s="1">
        <v>247</v>
      </c>
      <c r="B115" s="47" t="s">
        <v>61</v>
      </c>
      <c r="C115" s="47">
        <v>2</v>
      </c>
      <c r="D115" s="1">
        <v>7</v>
      </c>
      <c r="E115" s="9">
        <v>7</v>
      </c>
    </row>
    <row r="116" spans="1:5" x14ac:dyDescent="0.2">
      <c r="A116" s="1">
        <v>249</v>
      </c>
      <c r="B116" s="47" t="s">
        <v>1080</v>
      </c>
      <c r="C116" s="47">
        <v>99</v>
      </c>
      <c r="D116" s="1">
        <v>8</v>
      </c>
      <c r="E116" s="9">
        <v>8</v>
      </c>
    </row>
    <row r="117" spans="1:5" x14ac:dyDescent="0.2">
      <c r="A117" s="1">
        <v>250</v>
      </c>
      <c r="B117" s="47" t="s">
        <v>82</v>
      </c>
      <c r="C117" s="47">
        <v>1</v>
      </c>
      <c r="D117" s="1">
        <v>20</v>
      </c>
      <c r="E117" s="9">
        <v>20</v>
      </c>
    </row>
    <row r="118" spans="1:5" x14ac:dyDescent="0.2">
      <c r="A118" s="1">
        <v>254</v>
      </c>
      <c r="B118" s="47" t="s">
        <v>217</v>
      </c>
      <c r="C118" s="47">
        <v>5</v>
      </c>
      <c r="D118" s="1">
        <v>20</v>
      </c>
      <c r="E118" s="9">
        <v>20</v>
      </c>
    </row>
    <row r="119" spans="1:5" x14ac:dyDescent="0.2">
      <c r="A119" s="1">
        <v>256</v>
      </c>
      <c r="B119" s="47" t="s">
        <v>61</v>
      </c>
      <c r="C119" s="47">
        <v>2</v>
      </c>
      <c r="D119" s="1">
        <v>1.5</v>
      </c>
      <c r="E119" s="9">
        <v>1.5</v>
      </c>
    </row>
    <row r="120" spans="1:5" x14ac:dyDescent="0.2">
      <c r="A120" s="1">
        <v>257</v>
      </c>
      <c r="B120" s="47" t="s">
        <v>61</v>
      </c>
      <c r="C120" s="47">
        <v>2</v>
      </c>
      <c r="D120" s="1">
        <v>6</v>
      </c>
      <c r="E120" s="9">
        <v>6</v>
      </c>
    </row>
    <row r="121" spans="1:5" x14ac:dyDescent="0.2">
      <c r="A121" s="1">
        <v>260</v>
      </c>
      <c r="B121" s="47" t="s">
        <v>1127</v>
      </c>
      <c r="C121" s="47">
        <v>99</v>
      </c>
      <c r="D121" s="1">
        <v>13</v>
      </c>
      <c r="E121" s="9">
        <v>13</v>
      </c>
    </row>
    <row r="122" spans="1:5" x14ac:dyDescent="0.2">
      <c r="A122" s="1">
        <v>262</v>
      </c>
      <c r="B122" s="47" t="s">
        <v>217</v>
      </c>
      <c r="C122" s="47">
        <v>5</v>
      </c>
      <c r="D122" s="1">
        <v>4</v>
      </c>
      <c r="E122" s="9">
        <v>4</v>
      </c>
    </row>
    <row r="123" spans="1:5" x14ac:dyDescent="0.2">
      <c r="A123" s="1">
        <v>263</v>
      </c>
      <c r="B123" s="47" t="s">
        <v>1147</v>
      </c>
      <c r="C123" s="47">
        <v>6</v>
      </c>
      <c r="D123" s="1" t="s">
        <v>1570</v>
      </c>
      <c r="E123" s="9">
        <v>21</v>
      </c>
    </row>
    <row r="124" spans="1:5" x14ac:dyDescent="0.2">
      <c r="A124" s="1">
        <v>272</v>
      </c>
      <c r="B124" s="47" t="s">
        <v>751</v>
      </c>
      <c r="C124" s="47">
        <v>1</v>
      </c>
      <c r="D124" s="1" t="s">
        <v>1571</v>
      </c>
      <c r="E124" s="9">
        <v>20</v>
      </c>
    </row>
    <row r="125" spans="1:5" x14ac:dyDescent="0.2">
      <c r="A125" s="1">
        <v>273</v>
      </c>
      <c r="B125" s="47" t="s">
        <v>72</v>
      </c>
      <c r="C125" s="47">
        <v>3</v>
      </c>
      <c r="D125" s="1">
        <v>20</v>
      </c>
      <c r="E125" s="9">
        <v>20</v>
      </c>
    </row>
    <row r="126" spans="1:5" x14ac:dyDescent="0.2">
      <c r="A126" s="1">
        <v>280</v>
      </c>
      <c r="B126" s="47" t="s">
        <v>61</v>
      </c>
      <c r="C126" s="47">
        <v>2</v>
      </c>
      <c r="D126" s="1">
        <v>7</v>
      </c>
      <c r="E126" s="9">
        <v>7</v>
      </c>
    </row>
    <row r="127" spans="1:5" x14ac:dyDescent="0.2">
      <c r="A127" s="1">
        <v>282</v>
      </c>
      <c r="B127" s="47" t="s">
        <v>1185</v>
      </c>
      <c r="C127" s="47">
        <v>99</v>
      </c>
      <c r="D127" s="1">
        <v>15</v>
      </c>
      <c r="E127" s="9">
        <v>15</v>
      </c>
    </row>
    <row r="128" spans="1:5" x14ac:dyDescent="0.2">
      <c r="A128" s="1">
        <v>286</v>
      </c>
      <c r="B128" s="47" t="s">
        <v>61</v>
      </c>
      <c r="C128" s="47">
        <v>2</v>
      </c>
      <c r="D128" s="1">
        <v>2.5</v>
      </c>
      <c r="E128" s="9">
        <v>2.5</v>
      </c>
    </row>
    <row r="129" spans="1:5" x14ac:dyDescent="0.2">
      <c r="A129" s="1">
        <v>287</v>
      </c>
      <c r="B129" s="47" t="s">
        <v>1206</v>
      </c>
      <c r="C129" s="47">
        <v>4</v>
      </c>
      <c r="D129" s="1" t="s">
        <v>1572</v>
      </c>
      <c r="E129" s="9">
        <v>15</v>
      </c>
    </row>
    <row r="130" spans="1:5" x14ac:dyDescent="0.2">
      <c r="A130" s="1">
        <v>288</v>
      </c>
      <c r="B130" s="47" t="s">
        <v>1215</v>
      </c>
      <c r="C130" s="47">
        <v>5</v>
      </c>
      <c r="D130" s="1">
        <v>10</v>
      </c>
      <c r="E130" s="9">
        <v>10</v>
      </c>
    </row>
    <row r="131" spans="1:5" x14ac:dyDescent="0.2">
      <c r="A131" s="1">
        <v>289</v>
      </c>
      <c r="B131" s="47" t="s">
        <v>61</v>
      </c>
      <c r="C131" s="47">
        <v>2</v>
      </c>
      <c r="D131" s="1" t="s">
        <v>1224</v>
      </c>
      <c r="E131" s="9">
        <v>9</v>
      </c>
    </row>
    <row r="132" spans="1:5" x14ac:dyDescent="0.2">
      <c r="A132" s="1">
        <v>290</v>
      </c>
      <c r="B132" s="47" t="s">
        <v>1230</v>
      </c>
      <c r="C132" s="47">
        <v>5</v>
      </c>
      <c r="D132" s="1">
        <v>5</v>
      </c>
      <c r="E132" s="9">
        <v>5</v>
      </c>
    </row>
    <row r="133" spans="1:5" x14ac:dyDescent="0.2">
      <c r="A133" s="1">
        <v>291</v>
      </c>
      <c r="B133" s="47" t="s">
        <v>217</v>
      </c>
      <c r="C133" s="47">
        <v>5</v>
      </c>
      <c r="D133" s="1">
        <v>5</v>
      </c>
      <c r="E133" s="9">
        <v>5</v>
      </c>
    </row>
    <row r="134" spans="1:5" x14ac:dyDescent="0.2">
      <c r="A134" s="1">
        <v>293</v>
      </c>
      <c r="B134" s="47" t="s">
        <v>61</v>
      </c>
      <c r="C134" s="47">
        <v>2</v>
      </c>
      <c r="D134" s="1">
        <v>20</v>
      </c>
      <c r="E134" s="9">
        <v>20</v>
      </c>
    </row>
    <row r="135" spans="1:5" x14ac:dyDescent="0.2">
      <c r="A135" s="1">
        <v>294</v>
      </c>
      <c r="B135" s="47" t="s">
        <v>400</v>
      </c>
      <c r="C135" s="47">
        <v>5</v>
      </c>
      <c r="D135" s="1">
        <v>45</v>
      </c>
      <c r="E135" s="9">
        <v>45</v>
      </c>
    </row>
    <row r="136" spans="1:5" x14ac:dyDescent="0.2">
      <c r="A136" s="1">
        <v>295</v>
      </c>
      <c r="B136" s="47" t="s">
        <v>1265</v>
      </c>
      <c r="C136" s="47">
        <v>9</v>
      </c>
      <c r="D136" s="1">
        <v>2</v>
      </c>
      <c r="E136" s="9">
        <v>2</v>
      </c>
    </row>
    <row r="137" spans="1:5" x14ac:dyDescent="0.2">
      <c r="A137" s="1">
        <v>297</v>
      </c>
      <c r="B137" s="47" t="s">
        <v>134</v>
      </c>
      <c r="C137" s="47">
        <v>2</v>
      </c>
      <c r="D137" s="1">
        <v>8</v>
      </c>
      <c r="E137" s="9">
        <v>8</v>
      </c>
    </row>
    <row r="138" spans="1:5" x14ac:dyDescent="0.2">
      <c r="A138" s="1">
        <v>298</v>
      </c>
      <c r="B138" s="47" t="s">
        <v>134</v>
      </c>
      <c r="C138" s="47">
        <v>2</v>
      </c>
      <c r="D138" s="1">
        <v>7</v>
      </c>
      <c r="E138" s="9">
        <v>7</v>
      </c>
    </row>
    <row r="139" spans="1:5" x14ac:dyDescent="0.2">
      <c r="A139" s="1">
        <v>300</v>
      </c>
      <c r="B139" s="47" t="s">
        <v>61</v>
      </c>
      <c r="C139" s="47">
        <v>2</v>
      </c>
      <c r="D139" s="1">
        <v>4</v>
      </c>
      <c r="E139" s="9">
        <v>4</v>
      </c>
    </row>
    <row r="140" spans="1:5" x14ac:dyDescent="0.2">
      <c r="A140" s="1">
        <v>301</v>
      </c>
      <c r="B140" s="47" t="s">
        <v>320</v>
      </c>
      <c r="C140" s="47">
        <v>9</v>
      </c>
      <c r="D140" s="1">
        <v>4</v>
      </c>
      <c r="E140" s="9">
        <v>4</v>
      </c>
    </row>
    <row r="141" spans="1:5" x14ac:dyDescent="0.2">
      <c r="A141" s="1">
        <v>302</v>
      </c>
      <c r="B141" s="47" t="s">
        <v>1307</v>
      </c>
      <c r="C141" s="47">
        <v>99</v>
      </c>
      <c r="D141" s="1">
        <v>10</v>
      </c>
      <c r="E141" s="9">
        <v>10</v>
      </c>
    </row>
    <row r="142" spans="1:5" x14ac:dyDescent="0.2">
      <c r="A142" s="32">
        <v>303</v>
      </c>
      <c r="B142" s="48" t="s">
        <v>82</v>
      </c>
      <c r="C142" s="48">
        <v>1</v>
      </c>
      <c r="D142" s="6">
        <v>12</v>
      </c>
      <c r="E142" s="9">
        <v>12</v>
      </c>
    </row>
    <row r="143" spans="1:5" x14ac:dyDescent="0.2">
      <c r="A143" s="1">
        <v>304</v>
      </c>
      <c r="B143" s="47" t="s">
        <v>61</v>
      </c>
      <c r="C143" s="47">
        <v>2</v>
      </c>
      <c r="D143" s="1">
        <v>2</v>
      </c>
      <c r="E143" s="9">
        <v>2</v>
      </c>
    </row>
    <row r="144" spans="1:5" x14ac:dyDescent="0.2">
      <c r="A144" s="1">
        <v>305</v>
      </c>
      <c r="B144" s="47" t="s">
        <v>61</v>
      </c>
      <c r="C144" s="47">
        <v>2</v>
      </c>
      <c r="D144" s="1" t="s">
        <v>1573</v>
      </c>
      <c r="E144" s="9">
        <v>10</v>
      </c>
    </row>
    <row r="145" spans="1:8" x14ac:dyDescent="0.2">
      <c r="A145" s="1">
        <v>307</v>
      </c>
      <c r="B145" s="47" t="s">
        <v>134</v>
      </c>
      <c r="C145" s="47">
        <v>2</v>
      </c>
      <c r="D145" s="1">
        <v>30</v>
      </c>
      <c r="E145" s="9">
        <v>30</v>
      </c>
    </row>
    <row r="146" spans="1:8" x14ac:dyDescent="0.2">
      <c r="A146" s="1">
        <v>308</v>
      </c>
      <c r="B146" s="47" t="s">
        <v>1347</v>
      </c>
      <c r="C146" s="47">
        <v>2</v>
      </c>
      <c r="D146" s="1">
        <v>10</v>
      </c>
      <c r="E146" s="9">
        <v>10</v>
      </c>
    </row>
    <row r="147" spans="1:8" x14ac:dyDescent="0.2">
      <c r="A147" s="8">
        <v>310</v>
      </c>
      <c r="B147" s="46" t="s">
        <v>61</v>
      </c>
      <c r="C147" s="46">
        <v>2</v>
      </c>
      <c r="D147" s="8" t="s">
        <v>100</v>
      </c>
      <c r="E147" s="9">
        <v>1</v>
      </c>
    </row>
    <row r="148" spans="1:8" x14ac:dyDescent="0.2">
      <c r="A148" s="8">
        <v>312</v>
      </c>
      <c r="B148" s="46" t="s">
        <v>134</v>
      </c>
      <c r="C148" s="46">
        <v>2</v>
      </c>
      <c r="D148" s="8">
        <v>12</v>
      </c>
      <c r="E148" s="9">
        <v>12</v>
      </c>
    </row>
    <row r="149" spans="1:8" x14ac:dyDescent="0.2">
      <c r="A149" s="8">
        <v>314</v>
      </c>
      <c r="B149" s="46" t="s">
        <v>1393</v>
      </c>
      <c r="C149" s="46">
        <v>16</v>
      </c>
      <c r="D149" s="8">
        <v>4</v>
      </c>
      <c r="E149" s="9">
        <v>4</v>
      </c>
    </row>
    <row r="150" spans="1:8" x14ac:dyDescent="0.2">
      <c r="A150" s="8">
        <v>315</v>
      </c>
      <c r="B150" s="46" t="s">
        <v>82</v>
      </c>
      <c r="C150" s="46">
        <v>1</v>
      </c>
      <c r="D150" s="8">
        <v>5</v>
      </c>
      <c r="E150" s="9">
        <v>5</v>
      </c>
    </row>
    <row r="151" spans="1:8" x14ac:dyDescent="0.2">
      <c r="A151" s="8">
        <v>316</v>
      </c>
      <c r="B151" s="46" t="s">
        <v>702</v>
      </c>
      <c r="C151" s="46">
        <v>99</v>
      </c>
      <c r="D151" s="8" t="s">
        <v>1397</v>
      </c>
      <c r="E151" s="9">
        <v>15</v>
      </c>
    </row>
    <row r="152" spans="1:8" x14ac:dyDescent="0.2">
      <c r="A152" s="8">
        <v>317</v>
      </c>
      <c r="B152" s="46" t="s">
        <v>82</v>
      </c>
      <c r="C152" s="46">
        <v>1</v>
      </c>
      <c r="D152" s="8">
        <v>5</v>
      </c>
      <c r="E152" s="9">
        <v>5</v>
      </c>
    </row>
    <row r="153" spans="1:8" x14ac:dyDescent="0.2">
      <c r="A153" s="8">
        <v>319</v>
      </c>
      <c r="B153" s="46" t="s">
        <v>1394</v>
      </c>
      <c r="C153" s="46">
        <v>17</v>
      </c>
      <c r="D153" s="8">
        <v>2</v>
      </c>
      <c r="E153" s="9">
        <v>2</v>
      </c>
    </row>
    <row r="154" spans="1:8" x14ac:dyDescent="0.2">
      <c r="A154" s="8">
        <v>323</v>
      </c>
      <c r="B154" s="46" t="s">
        <v>61</v>
      </c>
      <c r="C154" s="46">
        <v>2</v>
      </c>
      <c r="D154" s="8">
        <v>15</v>
      </c>
      <c r="E154" s="9">
        <v>15</v>
      </c>
    </row>
    <row r="155" spans="1:8" x14ac:dyDescent="0.2">
      <c r="A155" s="8">
        <v>324</v>
      </c>
      <c r="B155" s="46" t="s">
        <v>61</v>
      </c>
      <c r="C155" s="46">
        <v>2</v>
      </c>
      <c r="D155" s="8">
        <v>4</v>
      </c>
      <c r="E155" s="9">
        <v>4</v>
      </c>
    </row>
    <row r="156" spans="1:8" x14ac:dyDescent="0.2">
      <c r="A156" s="8">
        <v>325</v>
      </c>
      <c r="B156" s="46" t="s">
        <v>217</v>
      </c>
      <c r="C156" s="46">
        <v>5</v>
      </c>
      <c r="D156" s="8">
        <v>4</v>
      </c>
      <c r="E156" s="9">
        <v>4</v>
      </c>
    </row>
    <row r="157" spans="1:8" x14ac:dyDescent="0.2">
      <c r="A157" s="8">
        <v>327</v>
      </c>
      <c r="B157" s="46" t="s">
        <v>1395</v>
      </c>
      <c r="C157" s="46">
        <v>99</v>
      </c>
      <c r="D157" s="8" t="s">
        <v>1566</v>
      </c>
      <c r="E157" s="9">
        <v>4</v>
      </c>
      <c r="H157" s="9">
        <v>18</v>
      </c>
    </row>
    <row r="158" spans="1:8" x14ac:dyDescent="0.2">
      <c r="A158" s="8">
        <v>328</v>
      </c>
      <c r="B158" s="46" t="s">
        <v>61</v>
      </c>
      <c r="C158" s="46">
        <v>2</v>
      </c>
      <c r="D158" s="8">
        <v>10</v>
      </c>
      <c r="E158" s="9">
        <v>10</v>
      </c>
      <c r="H158" s="9">
        <v>19</v>
      </c>
    </row>
    <row r="159" spans="1:8" x14ac:dyDescent="0.2">
      <c r="A159" s="8">
        <v>329</v>
      </c>
      <c r="B159" s="46" t="s">
        <v>1396</v>
      </c>
      <c r="C159" s="46">
        <v>18</v>
      </c>
      <c r="D159" s="8">
        <v>9</v>
      </c>
      <c r="E159" s="9">
        <v>9</v>
      </c>
    </row>
    <row r="160" spans="1:8" x14ac:dyDescent="0.2">
      <c r="A160" s="4">
        <v>331</v>
      </c>
      <c r="B160" s="47" t="s">
        <v>61</v>
      </c>
      <c r="C160" s="47">
        <v>2</v>
      </c>
      <c r="D160" s="1">
        <v>10</v>
      </c>
      <c r="E160" s="9">
        <v>10</v>
      </c>
      <c r="G160" s="9" t="s">
        <v>1396</v>
      </c>
    </row>
    <row r="161" spans="1:7" x14ac:dyDescent="0.2">
      <c r="A161" s="4">
        <v>332</v>
      </c>
      <c r="B161" s="47" t="s">
        <v>1265</v>
      </c>
      <c r="C161" s="47">
        <v>9</v>
      </c>
      <c r="D161" s="1">
        <v>7</v>
      </c>
      <c r="E161" s="9">
        <v>7</v>
      </c>
      <c r="G161" s="9" t="s">
        <v>1500</v>
      </c>
    </row>
    <row r="162" spans="1:7" x14ac:dyDescent="0.2">
      <c r="A162" s="4">
        <v>334</v>
      </c>
      <c r="B162" s="47" t="s">
        <v>1500</v>
      </c>
      <c r="C162" s="47">
        <v>19</v>
      </c>
      <c r="D162" s="1">
        <v>10</v>
      </c>
      <c r="E162" s="9">
        <v>10</v>
      </c>
    </row>
    <row r="163" spans="1:7" x14ac:dyDescent="0.2">
      <c r="A163" s="4">
        <v>336</v>
      </c>
      <c r="B163" s="47" t="s">
        <v>1501</v>
      </c>
      <c r="C163" s="47">
        <v>1</v>
      </c>
      <c r="D163" s="1" t="s">
        <v>1502</v>
      </c>
    </row>
    <row r="164" spans="1:7" x14ac:dyDescent="0.2">
      <c r="A164" s="4">
        <v>337</v>
      </c>
      <c r="B164" s="47" t="s">
        <v>61</v>
      </c>
      <c r="C164" s="47">
        <v>2</v>
      </c>
      <c r="D164" s="1">
        <v>14</v>
      </c>
      <c r="E164" s="9">
        <v>14</v>
      </c>
    </row>
  </sheetData>
  <sortState ref="G1:H20">
    <sortCondition descending="1" ref="H1:H20"/>
  </sortState>
  <mergeCells count="2">
    <mergeCell ref="G1:H1"/>
    <mergeCell ref="J1:K1"/>
  </mergeCells>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64"/>
  <sheetViews>
    <sheetView topLeftCell="H15" zoomScale="90" zoomScaleNormal="90" zoomScalePageLayoutView="90" workbookViewId="0">
      <selection activeCell="L36" sqref="L36"/>
    </sheetView>
  </sheetViews>
  <sheetFormatPr baseColWidth="10" defaultColWidth="9.1640625" defaultRowHeight="15" customHeight="1" x14ac:dyDescent="0.2"/>
  <cols>
    <col min="1" max="1" width="11.83203125" style="42" bestFit="1" customWidth="1"/>
    <col min="2" max="2" width="101.6640625" style="42" customWidth="1"/>
    <col min="3" max="5" width="3.33203125" style="63" bestFit="1" customWidth="1"/>
    <col min="6" max="7" width="3.33203125" style="42" bestFit="1" customWidth="1"/>
    <col min="8" max="8" width="9.1640625" style="42" customWidth="1"/>
    <col min="9" max="9" width="67.1640625" style="65" bestFit="1" customWidth="1"/>
    <col min="10" max="11" width="9.1640625" style="1"/>
    <col min="12" max="12" width="44.5" style="9" bestFit="1" customWidth="1"/>
    <col min="13" max="13" width="9.1640625" style="42"/>
    <col min="14" max="15" width="11.1640625" style="42" bestFit="1" customWidth="1"/>
    <col min="16" max="16384" width="9.1640625" style="42"/>
  </cols>
  <sheetData>
    <row r="1" spans="1:16" ht="15" customHeight="1" x14ac:dyDescent="0.2">
      <c r="A1" s="1" t="s">
        <v>0</v>
      </c>
      <c r="B1" s="43" t="s">
        <v>1620</v>
      </c>
      <c r="I1" s="141" t="s">
        <v>1727</v>
      </c>
      <c r="J1" s="142" t="s">
        <v>1728</v>
      </c>
      <c r="K1" s="142" t="s">
        <v>1726</v>
      </c>
      <c r="L1" s="143" t="s">
        <v>1729</v>
      </c>
      <c r="M1" s="144"/>
      <c r="N1" s="144" t="s">
        <v>1375</v>
      </c>
      <c r="O1" s="145" t="s">
        <v>2172</v>
      </c>
    </row>
    <row r="2" spans="1:16" ht="15" customHeight="1" x14ac:dyDescent="0.2">
      <c r="A2" s="1">
        <v>2</v>
      </c>
      <c r="B2" s="1" t="s">
        <v>50</v>
      </c>
      <c r="C2" s="63" t="s">
        <v>1674</v>
      </c>
      <c r="E2" s="63" t="s">
        <v>1676</v>
      </c>
      <c r="F2" s="42">
        <v>4</v>
      </c>
      <c r="G2" s="42">
        <v>5</v>
      </c>
      <c r="I2" s="65" t="s">
        <v>1799</v>
      </c>
      <c r="J2" s="1">
        <v>9</v>
      </c>
      <c r="K2" s="1">
        <f t="shared" ref="K2:K33" si="0">COUNTIF($C$2:$G$164,J2)</f>
        <v>42</v>
      </c>
      <c r="L2" s="9" t="s">
        <v>1773</v>
      </c>
      <c r="N2" s="42">
        <f>(K2/163)*100</f>
        <v>25.766871165644172</v>
      </c>
    </row>
    <row r="3" spans="1:16" ht="15" customHeight="1" x14ac:dyDescent="0.2">
      <c r="A3" s="1">
        <v>5</v>
      </c>
      <c r="B3" s="1" t="s">
        <v>1621</v>
      </c>
      <c r="C3" s="63" t="s">
        <v>1674</v>
      </c>
      <c r="I3" s="65" t="s">
        <v>1586</v>
      </c>
      <c r="J3" s="1">
        <v>5</v>
      </c>
      <c r="K3" s="133">
        <f t="shared" si="0"/>
        <v>28</v>
      </c>
      <c r="L3" s="3" t="s">
        <v>1770</v>
      </c>
      <c r="N3" s="42">
        <f t="shared" ref="N3:N57" si="1">(K3/163)*100</f>
        <v>17.177914110429448</v>
      </c>
      <c r="O3" s="136">
        <f>(28+3+2+2+1+1+2+1)/163</f>
        <v>0.24539877300613497</v>
      </c>
    </row>
    <row r="4" spans="1:16" ht="15" customHeight="1" x14ac:dyDescent="0.2">
      <c r="A4" s="1">
        <v>6</v>
      </c>
      <c r="B4" s="1" t="s">
        <v>74</v>
      </c>
      <c r="C4" s="63" t="s">
        <v>1675</v>
      </c>
      <c r="I4" s="65" t="s">
        <v>1617</v>
      </c>
      <c r="J4" s="1">
        <v>14</v>
      </c>
      <c r="K4" s="1">
        <f t="shared" si="0"/>
        <v>26</v>
      </c>
      <c r="L4" s="9" t="s">
        <v>1777</v>
      </c>
      <c r="N4" s="42">
        <f t="shared" si="1"/>
        <v>15.950920245398773</v>
      </c>
    </row>
    <row r="5" spans="1:16" ht="15" customHeight="1" x14ac:dyDescent="0.2">
      <c r="A5" s="1">
        <v>11</v>
      </c>
      <c r="B5" s="1" t="s">
        <v>84</v>
      </c>
      <c r="C5" s="63" t="s">
        <v>1674</v>
      </c>
      <c r="D5" s="63" t="s">
        <v>1677</v>
      </c>
      <c r="I5" s="65" t="s">
        <v>1731</v>
      </c>
      <c r="J5" s="1">
        <v>3</v>
      </c>
      <c r="K5" s="135">
        <f t="shared" si="0"/>
        <v>21</v>
      </c>
      <c r="L5" s="9" t="s">
        <v>1768</v>
      </c>
      <c r="N5" s="42">
        <f t="shared" si="1"/>
        <v>12.883435582822086</v>
      </c>
      <c r="O5" s="137">
        <f>(21+2)/163</f>
        <v>0.1411042944785276</v>
      </c>
    </row>
    <row r="6" spans="1:16" ht="15" customHeight="1" x14ac:dyDescent="0.2">
      <c r="A6" s="1">
        <v>18</v>
      </c>
      <c r="B6" s="1" t="s">
        <v>1622</v>
      </c>
      <c r="C6" s="63" t="s">
        <v>1674</v>
      </c>
      <c r="I6" s="65" t="s">
        <v>1730</v>
      </c>
      <c r="J6" s="1">
        <v>8</v>
      </c>
      <c r="K6" s="130">
        <f t="shared" si="0"/>
        <v>16</v>
      </c>
      <c r="L6" s="9" t="s">
        <v>1772</v>
      </c>
      <c r="N6" s="42">
        <f t="shared" si="1"/>
        <v>9.8159509202453989</v>
      </c>
      <c r="O6" s="138">
        <f>(16+5+2+1+1+4)/163</f>
        <v>0.17791411042944785</v>
      </c>
    </row>
    <row r="7" spans="1:16" ht="15" customHeight="1" x14ac:dyDescent="0.2">
      <c r="A7" s="1">
        <v>21</v>
      </c>
      <c r="B7" s="1" t="s">
        <v>101</v>
      </c>
      <c r="C7" s="63" t="s">
        <v>1674</v>
      </c>
      <c r="I7" s="65" t="s">
        <v>1829</v>
      </c>
      <c r="J7" s="1">
        <v>22</v>
      </c>
      <c r="K7" s="131">
        <f t="shared" si="0"/>
        <v>16</v>
      </c>
      <c r="L7" s="9" t="s">
        <v>1786</v>
      </c>
      <c r="N7" s="42">
        <f t="shared" si="1"/>
        <v>9.8159509202453989</v>
      </c>
      <c r="O7" s="139">
        <f>(16+4)/163</f>
        <v>0.12269938650306748</v>
      </c>
    </row>
    <row r="8" spans="1:16" ht="15" customHeight="1" x14ac:dyDescent="0.2">
      <c r="A8" s="1">
        <v>22</v>
      </c>
      <c r="B8" s="1" t="s">
        <v>105</v>
      </c>
      <c r="C8" s="63" t="s">
        <v>1674</v>
      </c>
      <c r="I8" s="65" t="s">
        <v>1733</v>
      </c>
      <c r="J8" s="1">
        <v>11</v>
      </c>
      <c r="K8" s="129">
        <f t="shared" si="0"/>
        <v>12</v>
      </c>
      <c r="L8" s="9" t="s">
        <v>1774</v>
      </c>
      <c r="N8" s="42">
        <f t="shared" si="1"/>
        <v>7.3619631901840492</v>
      </c>
      <c r="O8" s="128">
        <f>22/163</f>
        <v>0.13496932515337423</v>
      </c>
      <c r="P8" s="128" t="s">
        <v>2171</v>
      </c>
    </row>
    <row r="9" spans="1:16" ht="15" customHeight="1" x14ac:dyDescent="0.2">
      <c r="A9" s="1">
        <v>26</v>
      </c>
      <c r="B9" s="1" t="s">
        <v>115</v>
      </c>
      <c r="C9" s="63" t="s">
        <v>1678</v>
      </c>
      <c r="I9" s="65" t="s">
        <v>1593</v>
      </c>
      <c r="J9" s="1">
        <v>24</v>
      </c>
      <c r="K9" s="1">
        <f t="shared" si="0"/>
        <v>11</v>
      </c>
      <c r="L9" s="9" t="s">
        <v>1788</v>
      </c>
      <c r="N9" s="42">
        <f t="shared" si="1"/>
        <v>6.7484662576687118</v>
      </c>
    </row>
    <row r="10" spans="1:16" ht="15" customHeight="1" x14ac:dyDescent="0.2">
      <c r="A10" s="1">
        <v>30</v>
      </c>
      <c r="B10" s="1" t="s">
        <v>1623</v>
      </c>
      <c r="C10" s="63" t="s">
        <v>1679</v>
      </c>
      <c r="D10" s="63" t="s">
        <v>1695</v>
      </c>
      <c r="E10" s="63" t="s">
        <v>1680</v>
      </c>
      <c r="F10" s="42">
        <v>11</v>
      </c>
      <c r="I10" s="65" t="s">
        <v>1732</v>
      </c>
      <c r="J10" s="1">
        <v>37</v>
      </c>
      <c r="K10" s="134">
        <f t="shared" si="0"/>
        <v>9</v>
      </c>
      <c r="L10" s="9" t="s">
        <v>1800</v>
      </c>
      <c r="N10" s="42">
        <f t="shared" si="1"/>
        <v>5.5214723926380369</v>
      </c>
      <c r="O10" s="140">
        <f>(9+1+1+1)/163</f>
        <v>7.3619631901840496E-2</v>
      </c>
    </row>
    <row r="11" spans="1:16" ht="15" customHeight="1" x14ac:dyDescent="0.2">
      <c r="A11" s="1">
        <v>31</v>
      </c>
      <c r="B11" s="1" t="s">
        <v>1624</v>
      </c>
      <c r="C11" s="63" t="s">
        <v>1681</v>
      </c>
      <c r="D11" s="63" t="s">
        <v>1679</v>
      </c>
      <c r="E11" s="63" t="s">
        <v>1675</v>
      </c>
      <c r="I11" s="65" t="s">
        <v>1608</v>
      </c>
      <c r="J11" s="1">
        <v>4</v>
      </c>
      <c r="K11" s="129">
        <f t="shared" si="0"/>
        <v>8</v>
      </c>
      <c r="L11" s="9" t="s">
        <v>1769</v>
      </c>
      <c r="N11" s="42">
        <f t="shared" si="1"/>
        <v>4.9079754601226995</v>
      </c>
    </row>
    <row r="12" spans="1:16" ht="15" customHeight="1" x14ac:dyDescent="0.2">
      <c r="A12" s="1">
        <v>28</v>
      </c>
      <c r="B12" s="1" t="s">
        <v>1625</v>
      </c>
      <c r="C12" s="63" t="s">
        <v>1679</v>
      </c>
      <c r="D12" s="63" t="s">
        <v>1682</v>
      </c>
      <c r="I12" s="65" t="s">
        <v>1747</v>
      </c>
      <c r="J12" s="1">
        <v>23</v>
      </c>
      <c r="K12" s="1">
        <f t="shared" si="0"/>
        <v>7</v>
      </c>
      <c r="L12" s="9" t="s">
        <v>1787</v>
      </c>
      <c r="N12" s="42">
        <f t="shared" si="1"/>
        <v>4.294478527607362</v>
      </c>
    </row>
    <row r="13" spans="1:16" ht="15" customHeight="1" x14ac:dyDescent="0.2">
      <c r="A13" s="1">
        <v>32</v>
      </c>
      <c r="B13" s="1" t="s">
        <v>1626</v>
      </c>
      <c r="C13" s="63" t="s">
        <v>1676</v>
      </c>
      <c r="D13" s="63" t="s">
        <v>1681</v>
      </c>
      <c r="E13" s="63" t="s">
        <v>1683</v>
      </c>
      <c r="F13" s="42">
        <v>17</v>
      </c>
      <c r="G13" s="42">
        <v>18</v>
      </c>
      <c r="I13" s="65" t="s">
        <v>1605</v>
      </c>
      <c r="J13" s="1">
        <v>55</v>
      </c>
      <c r="K13" s="1">
        <f t="shared" si="0"/>
        <v>6</v>
      </c>
      <c r="L13" s="9" t="s">
        <v>1815</v>
      </c>
      <c r="N13" s="42">
        <f t="shared" si="1"/>
        <v>3.6809815950920246</v>
      </c>
    </row>
    <row r="14" spans="1:16" ht="15" customHeight="1" x14ac:dyDescent="0.2">
      <c r="A14" s="1">
        <v>34</v>
      </c>
      <c r="B14" s="1" t="s">
        <v>168</v>
      </c>
      <c r="C14" s="63">
        <v>9</v>
      </c>
      <c r="D14" s="63" t="s">
        <v>1684</v>
      </c>
      <c r="I14" s="65" t="s">
        <v>1594</v>
      </c>
      <c r="J14" s="1">
        <v>26</v>
      </c>
      <c r="K14" s="1">
        <f t="shared" si="0"/>
        <v>5</v>
      </c>
      <c r="L14" s="9" t="s">
        <v>1791</v>
      </c>
      <c r="N14" s="42">
        <f t="shared" si="1"/>
        <v>3.0674846625766872</v>
      </c>
    </row>
    <row r="15" spans="1:16" ht="15" customHeight="1" x14ac:dyDescent="0.2">
      <c r="A15" s="1">
        <v>35</v>
      </c>
      <c r="B15" s="1" t="s">
        <v>1627</v>
      </c>
      <c r="C15" s="63" t="s">
        <v>1685</v>
      </c>
      <c r="I15" s="65" t="s">
        <v>1609</v>
      </c>
      <c r="J15" s="1">
        <v>63</v>
      </c>
      <c r="K15" s="130">
        <f t="shared" si="0"/>
        <v>5</v>
      </c>
      <c r="L15" s="9" t="s">
        <v>1822</v>
      </c>
      <c r="N15" s="42">
        <f t="shared" si="1"/>
        <v>3.0674846625766872</v>
      </c>
    </row>
    <row r="16" spans="1:16" ht="15" customHeight="1" x14ac:dyDescent="0.2">
      <c r="A16" s="1">
        <v>36</v>
      </c>
      <c r="B16" s="1" t="s">
        <v>189</v>
      </c>
      <c r="C16" s="63" t="s">
        <v>1679</v>
      </c>
      <c r="I16" s="65" t="s">
        <v>1591</v>
      </c>
      <c r="J16" s="1">
        <v>19</v>
      </c>
      <c r="K16" s="132">
        <f t="shared" si="0"/>
        <v>4</v>
      </c>
      <c r="L16" s="9" t="s">
        <v>1783</v>
      </c>
      <c r="N16" s="42">
        <f t="shared" si="1"/>
        <v>2.4539877300613497</v>
      </c>
      <c r="O16" s="137">
        <f>(4+3)/163</f>
        <v>4.2944785276073622E-2</v>
      </c>
    </row>
    <row r="17" spans="1:15" ht="15" customHeight="1" x14ac:dyDescent="0.2">
      <c r="A17" s="1">
        <v>38</v>
      </c>
      <c r="B17" s="1" t="s">
        <v>1628</v>
      </c>
      <c r="C17" s="63" t="s">
        <v>1676</v>
      </c>
      <c r="D17" s="63" t="s">
        <v>1679</v>
      </c>
      <c r="E17" s="63" t="s">
        <v>1686</v>
      </c>
      <c r="I17" s="65" t="s">
        <v>1596</v>
      </c>
      <c r="J17" s="1">
        <v>34</v>
      </c>
      <c r="K17" s="1">
        <f t="shared" si="0"/>
        <v>4</v>
      </c>
      <c r="L17" s="9" t="s">
        <v>1798</v>
      </c>
      <c r="N17" s="42">
        <f t="shared" si="1"/>
        <v>2.4539877300613497</v>
      </c>
    </row>
    <row r="18" spans="1:15" ht="15" customHeight="1" x14ac:dyDescent="0.2">
      <c r="A18" s="1">
        <v>40</v>
      </c>
      <c r="B18" s="1" t="s">
        <v>209</v>
      </c>
      <c r="C18" s="63" t="s">
        <v>1687</v>
      </c>
      <c r="I18" s="65" t="s">
        <v>1599</v>
      </c>
      <c r="J18" s="1">
        <v>43</v>
      </c>
      <c r="K18" s="130">
        <f t="shared" si="0"/>
        <v>4</v>
      </c>
      <c r="L18" s="9" t="s">
        <v>1803</v>
      </c>
      <c r="N18" s="42">
        <f t="shared" si="1"/>
        <v>2.4539877300613497</v>
      </c>
    </row>
    <row r="19" spans="1:15" ht="15" customHeight="1" x14ac:dyDescent="0.2">
      <c r="A19" s="1">
        <v>41</v>
      </c>
      <c r="B19" s="1" t="s">
        <v>218</v>
      </c>
      <c r="C19" s="63" t="s">
        <v>1678</v>
      </c>
      <c r="D19" s="63" t="s">
        <v>1688</v>
      </c>
      <c r="I19" s="65" t="s">
        <v>1606</v>
      </c>
      <c r="J19" s="1">
        <v>56</v>
      </c>
      <c r="K19" s="131">
        <f t="shared" si="0"/>
        <v>4</v>
      </c>
      <c r="L19" s="9" t="s">
        <v>1816</v>
      </c>
      <c r="N19" s="42">
        <f t="shared" si="1"/>
        <v>2.4539877300613497</v>
      </c>
    </row>
    <row r="20" spans="1:15" ht="15" customHeight="1" x14ac:dyDescent="0.2">
      <c r="A20" s="1">
        <v>42</v>
      </c>
      <c r="B20" s="1" t="s">
        <v>226</v>
      </c>
      <c r="C20" s="63" t="s">
        <v>1689</v>
      </c>
      <c r="I20" s="65" t="s">
        <v>1587</v>
      </c>
      <c r="J20" s="1">
        <v>7</v>
      </c>
      <c r="K20" s="146">
        <f t="shared" si="0"/>
        <v>3</v>
      </c>
      <c r="L20" s="9" t="s">
        <v>1771</v>
      </c>
      <c r="N20" s="42">
        <f t="shared" si="1"/>
        <v>1.8404907975460123</v>
      </c>
      <c r="O20" s="147">
        <f>5/163</f>
        <v>3.0674846625766871E-2</v>
      </c>
    </row>
    <row r="21" spans="1:15" ht="15" customHeight="1" x14ac:dyDescent="0.2">
      <c r="A21" s="1">
        <v>44</v>
      </c>
      <c r="B21" s="1" t="s">
        <v>236</v>
      </c>
      <c r="C21" s="63" t="s">
        <v>1690</v>
      </c>
      <c r="I21" s="65" t="s">
        <v>1781</v>
      </c>
      <c r="J21" s="1">
        <v>17</v>
      </c>
      <c r="K21" s="132">
        <f t="shared" si="0"/>
        <v>3</v>
      </c>
      <c r="L21" s="9" t="s">
        <v>1780</v>
      </c>
      <c r="N21" s="42">
        <f t="shared" si="1"/>
        <v>1.8404907975460123</v>
      </c>
    </row>
    <row r="22" spans="1:15" ht="15" customHeight="1" x14ac:dyDescent="0.2">
      <c r="A22" s="1">
        <v>46</v>
      </c>
      <c r="B22" s="1" t="s">
        <v>247</v>
      </c>
      <c r="C22" s="63" t="s">
        <v>1676</v>
      </c>
      <c r="D22" s="63" t="s">
        <v>1675</v>
      </c>
      <c r="E22" s="63" t="s">
        <v>1681</v>
      </c>
      <c r="F22" s="42">
        <v>25</v>
      </c>
      <c r="I22" s="65" t="s">
        <v>209</v>
      </c>
      <c r="J22" s="1">
        <v>21</v>
      </c>
      <c r="K22" s="1">
        <f t="shared" si="0"/>
        <v>3</v>
      </c>
      <c r="L22" s="9" t="s">
        <v>1785</v>
      </c>
      <c r="N22" s="42">
        <f t="shared" si="1"/>
        <v>1.8404907975460123</v>
      </c>
    </row>
    <row r="23" spans="1:15" ht="15" customHeight="1" x14ac:dyDescent="0.2">
      <c r="A23" s="1">
        <v>47</v>
      </c>
      <c r="B23" s="1" t="s">
        <v>257</v>
      </c>
      <c r="C23" s="63" t="s">
        <v>1679</v>
      </c>
      <c r="D23" s="63" t="s">
        <v>1691</v>
      </c>
      <c r="I23" s="65" t="s">
        <v>1595</v>
      </c>
      <c r="J23" s="1">
        <v>30</v>
      </c>
      <c r="K23" s="1">
        <f t="shared" si="0"/>
        <v>3</v>
      </c>
      <c r="L23" s="9" t="s">
        <v>1795</v>
      </c>
      <c r="N23" s="42">
        <f t="shared" si="1"/>
        <v>1.8404907975460123</v>
      </c>
    </row>
    <row r="24" spans="1:15" ht="15" customHeight="1" x14ac:dyDescent="0.2">
      <c r="A24" s="1">
        <v>49</v>
      </c>
      <c r="B24" s="1" t="s">
        <v>269</v>
      </c>
      <c r="C24" s="63" t="s">
        <v>1688</v>
      </c>
      <c r="D24" s="63" t="s">
        <v>1692</v>
      </c>
      <c r="I24" s="65" t="s">
        <v>1807</v>
      </c>
      <c r="J24" s="1">
        <v>48</v>
      </c>
      <c r="K24" s="1">
        <f t="shared" si="0"/>
        <v>3</v>
      </c>
      <c r="L24" s="9" t="s">
        <v>1808</v>
      </c>
      <c r="N24" s="42">
        <f t="shared" si="1"/>
        <v>1.8404907975460123</v>
      </c>
    </row>
    <row r="25" spans="1:15" ht="15" customHeight="1" x14ac:dyDescent="0.2">
      <c r="A25" s="1">
        <v>50</v>
      </c>
      <c r="B25" s="1" t="s">
        <v>1629</v>
      </c>
      <c r="C25" s="63" t="s">
        <v>1693</v>
      </c>
      <c r="I25" s="65" t="s">
        <v>1762</v>
      </c>
      <c r="J25" s="1">
        <v>58</v>
      </c>
      <c r="K25" s="133">
        <f t="shared" si="0"/>
        <v>3</v>
      </c>
      <c r="L25" s="9" t="s">
        <v>1818</v>
      </c>
      <c r="N25" s="42">
        <f t="shared" si="1"/>
        <v>1.8404907975460123</v>
      </c>
    </row>
    <row r="26" spans="1:15" ht="15" customHeight="1" x14ac:dyDescent="0.2">
      <c r="A26" s="1">
        <v>51</v>
      </c>
      <c r="B26" s="1" t="s">
        <v>286</v>
      </c>
      <c r="C26" s="63" t="s">
        <v>1676</v>
      </c>
      <c r="D26" s="63" t="s">
        <v>1681</v>
      </c>
      <c r="I26" s="65" t="s">
        <v>1776</v>
      </c>
      <c r="J26" s="1">
        <v>13</v>
      </c>
      <c r="K26" s="1">
        <f t="shared" si="0"/>
        <v>2</v>
      </c>
      <c r="L26" s="9" t="s">
        <v>1775</v>
      </c>
      <c r="N26" s="42">
        <f t="shared" si="1"/>
        <v>1.2269938650306749</v>
      </c>
    </row>
    <row r="27" spans="1:15" ht="15" customHeight="1" x14ac:dyDescent="0.2">
      <c r="A27" s="1">
        <v>53</v>
      </c>
      <c r="B27" s="1" t="s">
        <v>292</v>
      </c>
      <c r="C27" s="63" t="s">
        <v>1691</v>
      </c>
      <c r="D27" s="63" t="s">
        <v>1679</v>
      </c>
      <c r="I27" s="65" t="s">
        <v>1589</v>
      </c>
      <c r="J27" s="1">
        <v>16</v>
      </c>
      <c r="K27" s="133">
        <f t="shared" si="0"/>
        <v>2</v>
      </c>
      <c r="L27" s="9" t="s">
        <v>1779</v>
      </c>
      <c r="N27" s="42">
        <f t="shared" si="1"/>
        <v>1.2269938650306749</v>
      </c>
    </row>
    <row r="28" spans="1:15" ht="15" customHeight="1" x14ac:dyDescent="0.2">
      <c r="A28" s="1">
        <v>55</v>
      </c>
      <c r="B28" s="1" t="s">
        <v>302</v>
      </c>
      <c r="C28" s="63" t="s">
        <v>1690</v>
      </c>
      <c r="I28" s="65" t="s">
        <v>1615</v>
      </c>
      <c r="J28" s="1">
        <v>28</v>
      </c>
      <c r="K28" s="1">
        <f t="shared" si="0"/>
        <v>2</v>
      </c>
      <c r="L28" s="9" t="s">
        <v>1794</v>
      </c>
      <c r="N28" s="42">
        <f t="shared" si="1"/>
        <v>1.2269938650306749</v>
      </c>
    </row>
    <row r="29" spans="1:15" ht="15" customHeight="1" x14ac:dyDescent="0.2">
      <c r="A29" s="1">
        <v>60</v>
      </c>
      <c r="B29" s="1" t="s">
        <v>311</v>
      </c>
      <c r="C29" s="66">
        <v>3</v>
      </c>
      <c r="D29" s="63" t="s">
        <v>1675</v>
      </c>
      <c r="I29" s="65" t="s">
        <v>1797</v>
      </c>
      <c r="J29" s="1">
        <v>32</v>
      </c>
      <c r="K29" s="130">
        <f t="shared" si="0"/>
        <v>2</v>
      </c>
      <c r="L29" s="9" t="s">
        <v>1796</v>
      </c>
      <c r="N29" s="42">
        <f t="shared" si="1"/>
        <v>1.2269938650306749</v>
      </c>
    </row>
    <row r="30" spans="1:15" ht="15" customHeight="1" x14ac:dyDescent="0.2">
      <c r="A30" s="1">
        <v>61</v>
      </c>
      <c r="B30" s="1" t="s">
        <v>1630</v>
      </c>
      <c r="C30" s="63" t="s">
        <v>1676</v>
      </c>
      <c r="D30" s="63" t="s">
        <v>1679</v>
      </c>
      <c r="E30" s="63" t="s">
        <v>1694</v>
      </c>
      <c r="F30" s="42">
        <v>7</v>
      </c>
      <c r="G30" s="42">
        <v>32</v>
      </c>
      <c r="I30" s="65" t="s">
        <v>1601</v>
      </c>
      <c r="J30" s="1">
        <v>50</v>
      </c>
      <c r="K30" s="133">
        <f t="shared" si="0"/>
        <v>2</v>
      </c>
      <c r="L30" s="42" t="s">
        <v>1810</v>
      </c>
      <c r="N30" s="42">
        <f t="shared" si="1"/>
        <v>1.2269938650306749</v>
      </c>
    </row>
    <row r="31" spans="1:15" ht="15" customHeight="1" x14ac:dyDescent="0.2">
      <c r="A31" s="1">
        <v>62</v>
      </c>
      <c r="B31" s="1" t="s">
        <v>332</v>
      </c>
      <c r="C31" s="63" t="s">
        <v>1687</v>
      </c>
      <c r="D31" s="63" t="s">
        <v>1676</v>
      </c>
      <c r="E31" s="63" t="s">
        <v>1679</v>
      </c>
      <c r="F31" s="42">
        <v>34</v>
      </c>
      <c r="I31" s="65" t="s">
        <v>1736</v>
      </c>
      <c r="J31" s="1">
        <v>64</v>
      </c>
      <c r="K31" s="146">
        <f t="shared" si="0"/>
        <v>2</v>
      </c>
      <c r="L31" s="9" t="s">
        <v>1823</v>
      </c>
      <c r="N31" s="42">
        <f t="shared" si="1"/>
        <v>1.2269938650306749</v>
      </c>
    </row>
    <row r="32" spans="1:15" ht="15" customHeight="1" x14ac:dyDescent="0.2">
      <c r="A32" s="1">
        <v>65</v>
      </c>
      <c r="B32" s="1" t="s">
        <v>1631</v>
      </c>
      <c r="C32" s="63" t="s">
        <v>1679</v>
      </c>
      <c r="I32" s="65" t="s">
        <v>1616</v>
      </c>
      <c r="J32" s="1">
        <v>77</v>
      </c>
      <c r="K32" s="129">
        <f t="shared" si="0"/>
        <v>2</v>
      </c>
      <c r="L32" s="9" t="s">
        <v>1831</v>
      </c>
      <c r="N32" s="42">
        <f t="shared" si="1"/>
        <v>1.2269938650306749</v>
      </c>
    </row>
    <row r="33" spans="1:14" ht="15" customHeight="1" x14ac:dyDescent="0.2">
      <c r="A33" s="1">
        <v>70</v>
      </c>
      <c r="B33" s="1" t="s">
        <v>1632</v>
      </c>
      <c r="C33" s="63" t="s">
        <v>1675</v>
      </c>
      <c r="I33" s="65" t="s">
        <v>1588</v>
      </c>
      <c r="J33" s="1">
        <v>15</v>
      </c>
      <c r="K33" s="130">
        <f t="shared" si="0"/>
        <v>1</v>
      </c>
      <c r="L33" s="9" t="s">
        <v>1778</v>
      </c>
      <c r="N33" s="42">
        <f t="shared" si="1"/>
        <v>0.61349693251533743</v>
      </c>
    </row>
    <row r="34" spans="1:14" ht="15" customHeight="1" x14ac:dyDescent="0.2">
      <c r="A34" s="1">
        <v>71</v>
      </c>
      <c r="B34" s="1" t="s">
        <v>360</v>
      </c>
      <c r="C34" s="63">
        <v>9</v>
      </c>
      <c r="D34" s="63" t="s">
        <v>1678</v>
      </c>
      <c r="I34" s="65" t="s">
        <v>1590</v>
      </c>
      <c r="J34" s="1">
        <v>18</v>
      </c>
      <c r="K34" s="1">
        <f t="shared" ref="K34:K57" si="2">COUNTIF($C$2:$G$164,J34)</f>
        <v>1</v>
      </c>
      <c r="L34" s="9" t="s">
        <v>1782</v>
      </c>
      <c r="N34" s="42">
        <f t="shared" si="1"/>
        <v>0.61349693251533743</v>
      </c>
    </row>
    <row r="35" spans="1:14" ht="15" customHeight="1" x14ac:dyDescent="0.2">
      <c r="A35" s="1">
        <v>72</v>
      </c>
      <c r="B35" s="1" t="s">
        <v>1633</v>
      </c>
      <c r="C35" s="63" t="s">
        <v>1688</v>
      </c>
      <c r="D35" s="63" t="s">
        <v>1678</v>
      </c>
      <c r="E35" s="63" t="s">
        <v>1695</v>
      </c>
      <c r="I35" s="65" t="s">
        <v>1592</v>
      </c>
      <c r="J35" s="1">
        <v>20</v>
      </c>
      <c r="K35" s="134">
        <f t="shared" si="2"/>
        <v>1</v>
      </c>
      <c r="L35" s="9" t="s">
        <v>1784</v>
      </c>
      <c r="N35" s="42">
        <f t="shared" si="1"/>
        <v>0.61349693251533743</v>
      </c>
    </row>
    <row r="36" spans="1:14" ht="15" customHeight="1" x14ac:dyDescent="0.2">
      <c r="A36" s="1">
        <v>74</v>
      </c>
      <c r="B36" s="1" t="s">
        <v>381</v>
      </c>
      <c r="C36" s="63" t="s">
        <v>1678</v>
      </c>
      <c r="I36" s="65" t="s">
        <v>1790</v>
      </c>
      <c r="J36" s="1">
        <v>25</v>
      </c>
      <c r="K36" s="1">
        <f t="shared" si="2"/>
        <v>1</v>
      </c>
      <c r="L36" s="9" t="s">
        <v>1789</v>
      </c>
      <c r="N36" s="42">
        <f t="shared" si="1"/>
        <v>0.61349693251533743</v>
      </c>
    </row>
    <row r="37" spans="1:14" ht="15" customHeight="1" x14ac:dyDescent="0.2">
      <c r="A37" s="1">
        <v>75</v>
      </c>
      <c r="B37" s="1" t="s">
        <v>389</v>
      </c>
      <c r="C37" s="63" t="s">
        <v>1679</v>
      </c>
      <c r="D37" s="63">
        <v>37</v>
      </c>
      <c r="I37" s="65" t="s">
        <v>1793</v>
      </c>
      <c r="J37" s="1">
        <v>27</v>
      </c>
      <c r="K37" s="133">
        <f t="shared" si="2"/>
        <v>1</v>
      </c>
      <c r="L37" s="9" t="s">
        <v>1792</v>
      </c>
      <c r="N37" s="42">
        <f t="shared" si="1"/>
        <v>0.61349693251533743</v>
      </c>
    </row>
    <row r="38" spans="1:14" ht="15" customHeight="1" x14ac:dyDescent="0.2">
      <c r="A38" s="1">
        <v>76</v>
      </c>
      <c r="B38" s="1" t="s">
        <v>401</v>
      </c>
      <c r="C38" s="63" t="s">
        <v>1696</v>
      </c>
      <c r="I38" s="65" t="s">
        <v>1597</v>
      </c>
      <c r="J38" s="1">
        <v>39</v>
      </c>
      <c r="K38" s="1">
        <f t="shared" si="2"/>
        <v>1</v>
      </c>
      <c r="L38" s="9" t="s">
        <v>1801</v>
      </c>
      <c r="N38" s="42">
        <f t="shared" si="1"/>
        <v>0.61349693251533743</v>
      </c>
    </row>
    <row r="39" spans="1:14" ht="15" customHeight="1" x14ac:dyDescent="0.2">
      <c r="A39" s="1">
        <v>78</v>
      </c>
      <c r="B39" s="1" t="s">
        <v>1634</v>
      </c>
      <c r="C39" s="63" t="s">
        <v>1683</v>
      </c>
      <c r="D39" s="63" t="s">
        <v>1685</v>
      </c>
      <c r="E39" s="63" t="s">
        <v>1675</v>
      </c>
      <c r="F39" s="42">
        <v>23</v>
      </c>
      <c r="I39" s="65" t="s">
        <v>1598</v>
      </c>
      <c r="J39" s="1">
        <v>42</v>
      </c>
      <c r="K39" s="133">
        <f t="shared" si="2"/>
        <v>1</v>
      </c>
      <c r="L39" s="9" t="s">
        <v>1802</v>
      </c>
      <c r="N39" s="42">
        <f t="shared" si="1"/>
        <v>0.61349693251533743</v>
      </c>
    </row>
    <row r="40" spans="1:14" ht="15" customHeight="1" x14ac:dyDescent="0.2">
      <c r="A40" s="1">
        <v>79</v>
      </c>
      <c r="B40" s="1" t="s">
        <v>1635</v>
      </c>
      <c r="C40" s="63" t="s">
        <v>1697</v>
      </c>
      <c r="I40" s="65" t="s">
        <v>1804</v>
      </c>
      <c r="J40" s="1">
        <v>45</v>
      </c>
      <c r="K40" s="134">
        <f t="shared" si="2"/>
        <v>1</v>
      </c>
      <c r="L40" s="9" t="s">
        <v>1805</v>
      </c>
      <c r="N40" s="42">
        <f t="shared" si="1"/>
        <v>0.61349693251533743</v>
      </c>
    </row>
    <row r="41" spans="1:14" ht="15" customHeight="1" x14ac:dyDescent="0.2">
      <c r="A41" s="1">
        <v>80</v>
      </c>
      <c r="B41" s="1" t="s">
        <v>428</v>
      </c>
      <c r="C41" s="63" t="s">
        <v>1688</v>
      </c>
      <c r="D41" s="63" t="s">
        <v>1698</v>
      </c>
      <c r="I41" s="65" t="s">
        <v>1600</v>
      </c>
      <c r="J41" s="1">
        <v>46</v>
      </c>
      <c r="K41" s="1">
        <f t="shared" si="2"/>
        <v>1</v>
      </c>
      <c r="L41" s="9" t="s">
        <v>1806</v>
      </c>
      <c r="N41" s="42">
        <f t="shared" si="1"/>
        <v>0.61349693251533743</v>
      </c>
    </row>
    <row r="42" spans="1:14" ht="15" customHeight="1" x14ac:dyDescent="0.2">
      <c r="A42" s="1">
        <v>87</v>
      </c>
      <c r="B42" s="1" t="s">
        <v>435</v>
      </c>
      <c r="C42" s="63" t="s">
        <v>1688</v>
      </c>
      <c r="I42" s="65" t="s">
        <v>1820</v>
      </c>
      <c r="J42" s="1">
        <v>49</v>
      </c>
      <c r="K42" s="134">
        <f t="shared" si="2"/>
        <v>1</v>
      </c>
      <c r="L42" s="9" t="s">
        <v>1809</v>
      </c>
      <c r="N42" s="42">
        <f t="shared" si="1"/>
        <v>0.61349693251533743</v>
      </c>
    </row>
    <row r="43" spans="1:14" ht="15" customHeight="1" x14ac:dyDescent="0.2">
      <c r="A43" s="1">
        <v>89</v>
      </c>
      <c r="B43" s="1" t="s">
        <v>1636</v>
      </c>
      <c r="C43" s="64" t="s">
        <v>1699</v>
      </c>
      <c r="D43" s="64"/>
      <c r="E43" s="64"/>
      <c r="I43" s="65" t="s">
        <v>1602</v>
      </c>
      <c r="J43" s="1">
        <v>51</v>
      </c>
      <c r="K43" s="1">
        <f t="shared" si="2"/>
        <v>1</v>
      </c>
      <c r="L43" s="9" t="s">
        <v>1811</v>
      </c>
      <c r="N43" s="42">
        <f t="shared" si="1"/>
        <v>0.61349693251533743</v>
      </c>
    </row>
    <row r="44" spans="1:14" ht="15" customHeight="1" x14ac:dyDescent="0.2">
      <c r="A44" s="1">
        <v>90</v>
      </c>
      <c r="B44" s="1" t="s">
        <v>457</v>
      </c>
      <c r="C44" s="63" t="s">
        <v>1679</v>
      </c>
      <c r="D44" s="63">
        <v>22</v>
      </c>
      <c r="I44" s="65" t="s">
        <v>1603</v>
      </c>
      <c r="J44" s="1">
        <v>52</v>
      </c>
      <c r="K44" s="130">
        <f t="shared" si="2"/>
        <v>1</v>
      </c>
      <c r="L44" s="9" t="s">
        <v>1812</v>
      </c>
      <c r="N44" s="42">
        <f t="shared" si="1"/>
        <v>0.61349693251533743</v>
      </c>
    </row>
    <row r="45" spans="1:14" ht="15" customHeight="1" x14ac:dyDescent="0.2">
      <c r="A45" s="1">
        <v>91</v>
      </c>
      <c r="B45" s="1" t="s">
        <v>1637</v>
      </c>
      <c r="C45" s="63" t="s">
        <v>1679</v>
      </c>
      <c r="I45" s="65" t="s">
        <v>1619</v>
      </c>
      <c r="J45" s="1">
        <v>53</v>
      </c>
      <c r="K45" s="1">
        <f t="shared" si="2"/>
        <v>1</v>
      </c>
      <c r="L45" s="9" t="s">
        <v>1813</v>
      </c>
      <c r="N45" s="42">
        <f t="shared" si="1"/>
        <v>0.61349693251533743</v>
      </c>
    </row>
    <row r="46" spans="1:14" ht="15" customHeight="1" x14ac:dyDescent="0.2">
      <c r="A46" s="1">
        <v>92</v>
      </c>
      <c r="B46" s="1" t="s">
        <v>1638</v>
      </c>
      <c r="C46" s="63" t="s">
        <v>1681</v>
      </c>
      <c r="D46" s="63" t="s">
        <v>1690</v>
      </c>
      <c r="I46" s="65" t="s">
        <v>1604</v>
      </c>
      <c r="J46" s="1">
        <v>54</v>
      </c>
      <c r="K46" s="135">
        <f t="shared" si="2"/>
        <v>1</v>
      </c>
      <c r="L46" s="9" t="s">
        <v>1814</v>
      </c>
      <c r="N46" s="42">
        <f t="shared" si="1"/>
        <v>0.61349693251533743</v>
      </c>
    </row>
    <row r="47" spans="1:14" ht="15" customHeight="1" x14ac:dyDescent="0.2">
      <c r="A47" s="1">
        <v>93</v>
      </c>
      <c r="B47" s="1" t="s">
        <v>1639</v>
      </c>
      <c r="C47" s="63" t="s">
        <v>1676</v>
      </c>
      <c r="D47" s="63" t="s">
        <v>1681</v>
      </c>
      <c r="E47" s="63" t="s">
        <v>1700</v>
      </c>
      <c r="I47" s="65" t="s">
        <v>1734</v>
      </c>
      <c r="J47" s="1">
        <v>57</v>
      </c>
      <c r="K47" s="135">
        <f t="shared" si="2"/>
        <v>1</v>
      </c>
      <c r="L47" s="9" t="s">
        <v>1817</v>
      </c>
      <c r="N47" s="42">
        <f t="shared" si="1"/>
        <v>0.61349693251533743</v>
      </c>
    </row>
    <row r="48" spans="1:14" ht="15" customHeight="1" x14ac:dyDescent="0.2">
      <c r="A48" s="1">
        <v>95</v>
      </c>
      <c r="B48" s="1" t="s">
        <v>493</v>
      </c>
      <c r="C48" s="63" t="s">
        <v>1681</v>
      </c>
      <c r="D48" s="63" t="s">
        <v>1701</v>
      </c>
      <c r="I48" s="65" t="s">
        <v>1735</v>
      </c>
      <c r="J48" s="1">
        <v>60</v>
      </c>
      <c r="K48" s="1">
        <f t="shared" si="2"/>
        <v>1</v>
      </c>
      <c r="L48" s="9" t="s">
        <v>1819</v>
      </c>
      <c r="N48" s="42">
        <f t="shared" si="1"/>
        <v>0.61349693251533743</v>
      </c>
    </row>
    <row r="49" spans="1:14" ht="15" customHeight="1" x14ac:dyDescent="0.2">
      <c r="A49" s="1">
        <v>96</v>
      </c>
      <c r="B49" s="1" t="s">
        <v>503</v>
      </c>
      <c r="C49" s="63" t="s">
        <v>1675</v>
      </c>
      <c r="I49" s="65" t="s">
        <v>1607</v>
      </c>
      <c r="J49" s="1">
        <v>62</v>
      </c>
      <c r="K49" s="1">
        <f t="shared" si="2"/>
        <v>1</v>
      </c>
      <c r="L49" s="9" t="s">
        <v>1821</v>
      </c>
      <c r="N49" s="42">
        <f t="shared" si="1"/>
        <v>0.61349693251533743</v>
      </c>
    </row>
    <row r="50" spans="1:14" ht="15" customHeight="1" x14ac:dyDescent="0.2">
      <c r="A50" s="1">
        <v>100</v>
      </c>
      <c r="B50" s="1" t="s">
        <v>1640</v>
      </c>
      <c r="C50" s="63" t="s">
        <v>1675</v>
      </c>
      <c r="D50" s="63" t="s">
        <v>1681</v>
      </c>
      <c r="E50" s="63" t="s">
        <v>1702</v>
      </c>
      <c r="I50" s="65" t="s">
        <v>1737</v>
      </c>
      <c r="J50" s="1">
        <v>66</v>
      </c>
      <c r="K50" s="1">
        <f t="shared" si="2"/>
        <v>1</v>
      </c>
      <c r="L50" s="9" t="s">
        <v>1825</v>
      </c>
      <c r="N50" s="42">
        <f t="shared" si="1"/>
        <v>0.61349693251533743</v>
      </c>
    </row>
    <row r="51" spans="1:14" ht="15" customHeight="1" x14ac:dyDescent="0.2">
      <c r="A51" s="1">
        <v>104</v>
      </c>
      <c r="B51" s="1" t="s">
        <v>1546</v>
      </c>
      <c r="C51" s="63" t="s">
        <v>1702</v>
      </c>
      <c r="D51" s="63" t="s">
        <v>1703</v>
      </c>
      <c r="E51" s="63" t="s">
        <v>1704</v>
      </c>
      <c r="I51" s="65" t="s">
        <v>1610</v>
      </c>
      <c r="J51" s="1">
        <v>68</v>
      </c>
      <c r="K51" s="1">
        <f t="shared" si="2"/>
        <v>1</v>
      </c>
      <c r="L51" s="9" t="s">
        <v>1824</v>
      </c>
      <c r="N51" s="42">
        <f t="shared" si="1"/>
        <v>0.61349693251533743</v>
      </c>
    </row>
    <row r="52" spans="1:14" ht="15" customHeight="1" x14ac:dyDescent="0.2">
      <c r="A52" s="1">
        <v>107</v>
      </c>
      <c r="B52" s="1" t="s">
        <v>1641</v>
      </c>
      <c r="C52" s="63" t="s">
        <v>1675</v>
      </c>
      <c r="I52" s="65" t="s">
        <v>1611</v>
      </c>
      <c r="J52" s="1">
        <v>70</v>
      </c>
      <c r="K52" s="1">
        <f t="shared" si="2"/>
        <v>1</v>
      </c>
      <c r="L52" s="9" t="s">
        <v>1826</v>
      </c>
      <c r="N52" s="42">
        <f t="shared" si="1"/>
        <v>0.61349693251533743</v>
      </c>
    </row>
    <row r="53" spans="1:14" ht="15" customHeight="1" x14ac:dyDescent="0.2">
      <c r="A53" s="1">
        <v>109</v>
      </c>
      <c r="B53" s="1" t="s">
        <v>539</v>
      </c>
      <c r="C53" s="63" t="s">
        <v>1679</v>
      </c>
      <c r="D53" s="63" t="s">
        <v>1678</v>
      </c>
      <c r="E53" s="63" t="s">
        <v>1705</v>
      </c>
      <c r="F53" s="42">
        <v>52</v>
      </c>
      <c r="I53" s="65" t="s">
        <v>1612</v>
      </c>
      <c r="J53" s="1">
        <v>73</v>
      </c>
      <c r="K53" s="133">
        <f t="shared" si="2"/>
        <v>1</v>
      </c>
      <c r="L53" s="9" t="s">
        <v>1827</v>
      </c>
      <c r="N53" s="42">
        <f t="shared" si="1"/>
        <v>0.61349693251533743</v>
      </c>
    </row>
    <row r="54" spans="1:14" ht="15" customHeight="1" x14ac:dyDescent="0.2">
      <c r="A54" s="1">
        <v>110</v>
      </c>
      <c r="B54" s="1" t="s">
        <v>548</v>
      </c>
      <c r="C54" s="63" t="s">
        <v>1681</v>
      </c>
      <c r="D54" s="63" t="s">
        <v>1706</v>
      </c>
      <c r="I54" s="65" t="s">
        <v>1613</v>
      </c>
      <c r="J54" s="1">
        <v>74</v>
      </c>
      <c r="K54" s="1">
        <f t="shared" si="2"/>
        <v>1</v>
      </c>
      <c r="L54" s="9" t="s">
        <v>1828</v>
      </c>
      <c r="N54" s="42">
        <f t="shared" si="1"/>
        <v>0.61349693251533743</v>
      </c>
    </row>
    <row r="55" spans="1:14" ht="15" customHeight="1" x14ac:dyDescent="0.2">
      <c r="A55" s="1">
        <v>112</v>
      </c>
      <c r="B55" s="1" t="s">
        <v>556</v>
      </c>
      <c r="C55" s="63" t="s">
        <v>1676</v>
      </c>
      <c r="D55" s="63" t="s">
        <v>1707</v>
      </c>
      <c r="I55" s="65" t="s">
        <v>1614</v>
      </c>
      <c r="J55" s="1">
        <v>76</v>
      </c>
      <c r="K55" s="132">
        <f t="shared" si="2"/>
        <v>1</v>
      </c>
      <c r="L55" s="9" t="s">
        <v>1830</v>
      </c>
      <c r="N55" s="42">
        <f t="shared" si="1"/>
        <v>0.61349693251533743</v>
      </c>
    </row>
    <row r="56" spans="1:14" ht="15" customHeight="1" x14ac:dyDescent="0.2">
      <c r="A56" s="1">
        <v>118</v>
      </c>
      <c r="B56" s="1" t="s">
        <v>566</v>
      </c>
      <c r="C56" s="63" t="s">
        <v>1679</v>
      </c>
      <c r="D56" s="63" t="s">
        <v>1708</v>
      </c>
      <c r="I56" s="65" t="s">
        <v>1618</v>
      </c>
      <c r="J56" s="1">
        <v>78</v>
      </c>
      <c r="K56" s="133">
        <f t="shared" si="2"/>
        <v>1</v>
      </c>
      <c r="L56" s="9" t="s">
        <v>1832</v>
      </c>
      <c r="N56" s="42">
        <f t="shared" si="1"/>
        <v>0.61349693251533743</v>
      </c>
    </row>
    <row r="57" spans="1:14" ht="15" customHeight="1" x14ac:dyDescent="0.2">
      <c r="A57" s="1">
        <v>119</v>
      </c>
      <c r="B57" s="1" t="s">
        <v>576</v>
      </c>
      <c r="C57" s="63" t="s">
        <v>1698</v>
      </c>
      <c r="I57" s="65" t="s">
        <v>1408</v>
      </c>
      <c r="J57" s="1">
        <v>82</v>
      </c>
      <c r="K57" s="1">
        <f t="shared" si="2"/>
        <v>1</v>
      </c>
      <c r="L57" s="9" t="s">
        <v>1833</v>
      </c>
      <c r="N57" s="42">
        <f t="shared" si="1"/>
        <v>0.61349693251533743</v>
      </c>
    </row>
    <row r="58" spans="1:14" ht="15" customHeight="1" x14ac:dyDescent="0.2">
      <c r="A58" s="1">
        <v>120</v>
      </c>
      <c r="B58" s="1" t="s">
        <v>581</v>
      </c>
      <c r="C58" s="63" t="s">
        <v>1690</v>
      </c>
      <c r="L58" s="42"/>
    </row>
    <row r="59" spans="1:14" ht="15" customHeight="1" x14ac:dyDescent="0.2">
      <c r="A59" s="1">
        <v>121</v>
      </c>
      <c r="B59" s="1" t="s">
        <v>588</v>
      </c>
      <c r="C59" s="63" t="s">
        <v>1708</v>
      </c>
    </row>
    <row r="60" spans="1:14" ht="15" customHeight="1" x14ac:dyDescent="0.2">
      <c r="A60" s="1">
        <v>122</v>
      </c>
      <c r="B60" s="1" t="s">
        <v>598</v>
      </c>
      <c r="C60" s="63" t="s">
        <v>1688</v>
      </c>
    </row>
    <row r="61" spans="1:14" ht="15" customHeight="1" x14ac:dyDescent="0.2">
      <c r="A61" s="1">
        <v>127</v>
      </c>
      <c r="B61" s="1" t="s">
        <v>1642</v>
      </c>
      <c r="C61" s="63" t="s">
        <v>1702</v>
      </c>
      <c r="D61" s="63" t="s">
        <v>1699</v>
      </c>
    </row>
    <row r="62" spans="1:14" ht="15" customHeight="1" x14ac:dyDescent="0.2">
      <c r="A62" s="1">
        <v>128</v>
      </c>
      <c r="B62" s="1" t="s">
        <v>614</v>
      </c>
      <c r="C62" s="63" t="s">
        <v>1675</v>
      </c>
    </row>
    <row r="63" spans="1:14" ht="15" customHeight="1" x14ac:dyDescent="0.2">
      <c r="A63" s="1">
        <v>132</v>
      </c>
      <c r="B63" s="1" t="s">
        <v>621</v>
      </c>
      <c r="C63" s="63" t="s">
        <v>1681</v>
      </c>
      <c r="D63" s="63" t="s">
        <v>1709</v>
      </c>
      <c r="E63" s="63" t="s">
        <v>1691</v>
      </c>
    </row>
    <row r="64" spans="1:14" ht="15" customHeight="1" x14ac:dyDescent="0.2">
      <c r="A64" s="1">
        <v>135</v>
      </c>
      <c r="B64" s="1" t="s">
        <v>1643</v>
      </c>
      <c r="C64" s="63" t="s">
        <v>1710</v>
      </c>
    </row>
    <row r="65" spans="1:5" ht="15" customHeight="1" x14ac:dyDescent="0.2">
      <c r="A65" s="1">
        <v>136</v>
      </c>
      <c r="B65" s="1" t="s">
        <v>640</v>
      </c>
      <c r="C65" s="63" t="s">
        <v>1681</v>
      </c>
      <c r="D65" s="63" t="s">
        <v>1711</v>
      </c>
    </row>
    <row r="66" spans="1:5" ht="15" customHeight="1" x14ac:dyDescent="0.2">
      <c r="A66" s="1">
        <v>138</v>
      </c>
      <c r="B66" s="1" t="s">
        <v>649</v>
      </c>
      <c r="C66" s="63" t="s">
        <v>1676</v>
      </c>
    </row>
    <row r="67" spans="1:5" ht="15" customHeight="1" x14ac:dyDescent="0.2">
      <c r="A67" s="1">
        <v>139</v>
      </c>
      <c r="B67" s="1" t="s">
        <v>1644</v>
      </c>
      <c r="C67" s="63" t="s">
        <v>1674</v>
      </c>
    </row>
    <row r="68" spans="1:5" ht="15" customHeight="1" x14ac:dyDescent="0.2">
      <c r="A68" s="1">
        <v>140</v>
      </c>
      <c r="B68" s="1" t="s">
        <v>1545</v>
      </c>
      <c r="C68" s="63" t="s">
        <v>1676</v>
      </c>
      <c r="D68" s="63" t="s">
        <v>1712</v>
      </c>
      <c r="E68" s="63" t="s">
        <v>1704</v>
      </c>
    </row>
    <row r="69" spans="1:5" ht="15" customHeight="1" x14ac:dyDescent="0.2">
      <c r="A69" s="1">
        <v>148</v>
      </c>
      <c r="B69" s="1" t="s">
        <v>677</v>
      </c>
      <c r="C69" s="63" t="s">
        <v>1708</v>
      </c>
    </row>
    <row r="70" spans="1:5" ht="15" customHeight="1" x14ac:dyDescent="0.2">
      <c r="A70" s="1">
        <v>149</v>
      </c>
      <c r="B70" s="1" t="s">
        <v>686</v>
      </c>
      <c r="C70" s="63" t="s">
        <v>1713</v>
      </c>
    </row>
    <row r="71" spans="1:5" ht="15" customHeight="1" x14ac:dyDescent="0.2">
      <c r="A71" s="1">
        <v>150</v>
      </c>
      <c r="B71" s="1" t="s">
        <v>692</v>
      </c>
      <c r="C71" s="63" t="s">
        <v>1679</v>
      </c>
    </row>
    <row r="72" spans="1:5" ht="15" customHeight="1" x14ac:dyDescent="0.2">
      <c r="A72" s="1">
        <v>151</v>
      </c>
      <c r="B72" s="1" t="s">
        <v>1645</v>
      </c>
      <c r="C72" s="63" t="s">
        <v>1714</v>
      </c>
      <c r="D72" s="63" t="s">
        <v>1679</v>
      </c>
      <c r="E72" s="63" t="s">
        <v>1681</v>
      </c>
    </row>
    <row r="73" spans="1:5" ht="15" customHeight="1" x14ac:dyDescent="0.2">
      <c r="A73" s="1">
        <v>152</v>
      </c>
      <c r="B73" s="1" t="s">
        <v>713</v>
      </c>
      <c r="C73" s="63" t="s">
        <v>1679</v>
      </c>
    </row>
    <row r="74" spans="1:5" ht="15" customHeight="1" x14ac:dyDescent="0.2">
      <c r="A74" s="1">
        <v>153</v>
      </c>
      <c r="B74" s="1" t="s">
        <v>724</v>
      </c>
      <c r="C74" s="63" t="s">
        <v>1678</v>
      </c>
      <c r="D74" s="63" t="s">
        <v>1715</v>
      </c>
    </row>
    <row r="75" spans="1:5" ht="15" customHeight="1" x14ac:dyDescent="0.2">
      <c r="A75" s="1">
        <v>157</v>
      </c>
      <c r="B75" s="1" t="s">
        <v>732</v>
      </c>
      <c r="C75" s="63" t="s">
        <v>1675</v>
      </c>
    </row>
    <row r="76" spans="1:5" ht="15" customHeight="1" x14ac:dyDescent="0.2">
      <c r="A76" s="1">
        <v>156</v>
      </c>
      <c r="B76" s="1" t="s">
        <v>743</v>
      </c>
      <c r="C76" s="63" t="s">
        <v>1688</v>
      </c>
      <c r="D76" s="63" t="s">
        <v>1695</v>
      </c>
    </row>
    <row r="77" spans="1:5" ht="15" customHeight="1" x14ac:dyDescent="0.2">
      <c r="A77" s="1">
        <v>162</v>
      </c>
      <c r="B77" s="1" t="s">
        <v>753</v>
      </c>
      <c r="C77" s="63" t="s">
        <v>1695</v>
      </c>
    </row>
    <row r="78" spans="1:5" ht="15" customHeight="1" x14ac:dyDescent="0.2">
      <c r="A78" s="1">
        <v>164</v>
      </c>
      <c r="B78" s="1" t="s">
        <v>764</v>
      </c>
      <c r="C78" s="63" t="s">
        <v>1698</v>
      </c>
    </row>
    <row r="79" spans="1:5" ht="15" customHeight="1" x14ac:dyDescent="0.2">
      <c r="A79" s="1">
        <v>166</v>
      </c>
      <c r="B79" s="1" t="s">
        <v>770</v>
      </c>
      <c r="C79" s="63" t="s">
        <v>1674</v>
      </c>
    </row>
    <row r="80" spans="1:5" ht="15" customHeight="1" x14ac:dyDescent="0.2">
      <c r="A80" s="1">
        <v>170</v>
      </c>
      <c r="B80" s="1" t="s">
        <v>776</v>
      </c>
      <c r="C80" s="63" t="s">
        <v>1675</v>
      </c>
    </row>
    <row r="81" spans="1:6" ht="15" customHeight="1" x14ac:dyDescent="0.2">
      <c r="A81" s="1">
        <v>173</v>
      </c>
      <c r="B81" s="1" t="s">
        <v>787</v>
      </c>
      <c r="C81" s="63" t="s">
        <v>1676</v>
      </c>
    </row>
    <row r="82" spans="1:6" ht="15" customHeight="1" x14ac:dyDescent="0.2">
      <c r="A82" s="1">
        <v>175</v>
      </c>
      <c r="B82" s="1" t="s">
        <v>1544</v>
      </c>
      <c r="C82" s="63" t="s">
        <v>1716</v>
      </c>
      <c r="D82" s="63" t="s">
        <v>1689</v>
      </c>
      <c r="E82" s="63" t="s">
        <v>1717</v>
      </c>
    </row>
    <row r="83" spans="1:6" ht="15" customHeight="1" x14ac:dyDescent="0.2">
      <c r="A83" s="1">
        <v>178</v>
      </c>
      <c r="B83" s="1" t="s">
        <v>805</v>
      </c>
      <c r="C83" s="63" t="s">
        <v>1714</v>
      </c>
      <c r="D83" s="63" t="s">
        <v>1675</v>
      </c>
    </row>
    <row r="84" spans="1:6" ht="15" customHeight="1" x14ac:dyDescent="0.2">
      <c r="A84" s="1">
        <v>183</v>
      </c>
      <c r="B84" s="1" t="s">
        <v>814</v>
      </c>
      <c r="C84" s="63" t="s">
        <v>1714</v>
      </c>
      <c r="D84" s="63" t="s">
        <v>1675</v>
      </c>
    </row>
    <row r="85" spans="1:6" ht="15" customHeight="1" x14ac:dyDescent="0.2">
      <c r="A85" s="1">
        <v>185</v>
      </c>
      <c r="B85" s="1" t="s">
        <v>824</v>
      </c>
      <c r="C85" s="63" t="s">
        <v>1679</v>
      </c>
      <c r="D85" s="63">
        <v>9</v>
      </c>
    </row>
    <row r="86" spans="1:6" ht="15" customHeight="1" x14ac:dyDescent="0.2">
      <c r="A86" s="1">
        <v>186</v>
      </c>
      <c r="B86" s="1" t="s">
        <v>1646</v>
      </c>
      <c r="C86" s="63" t="s">
        <v>1690</v>
      </c>
    </row>
    <row r="87" spans="1:6" ht="15" customHeight="1" x14ac:dyDescent="0.2">
      <c r="A87" s="1">
        <v>189</v>
      </c>
      <c r="B87" s="1" t="s">
        <v>840</v>
      </c>
      <c r="C87" s="63" t="s">
        <v>1674</v>
      </c>
    </row>
    <row r="88" spans="1:6" ht="15" customHeight="1" x14ac:dyDescent="0.2">
      <c r="A88" s="1">
        <v>190</v>
      </c>
      <c r="B88" s="1" t="s">
        <v>1647</v>
      </c>
      <c r="C88" s="63" t="s">
        <v>1678</v>
      </c>
    </row>
    <row r="89" spans="1:6" ht="15" customHeight="1" x14ac:dyDescent="0.2">
      <c r="A89" s="1">
        <v>192</v>
      </c>
      <c r="B89" s="1" t="s">
        <v>858</v>
      </c>
      <c r="C89" s="63" t="s">
        <v>1675</v>
      </c>
    </row>
    <row r="90" spans="1:6" ht="15" customHeight="1" x14ac:dyDescent="0.2">
      <c r="A90" s="1">
        <v>193</v>
      </c>
      <c r="B90" s="1" t="s">
        <v>867</v>
      </c>
      <c r="C90" s="63" t="s">
        <v>1674</v>
      </c>
    </row>
    <row r="91" spans="1:6" ht="15" customHeight="1" x14ac:dyDescent="0.2">
      <c r="A91" s="1">
        <v>196</v>
      </c>
      <c r="B91" s="1" t="s">
        <v>876</v>
      </c>
      <c r="C91" s="63" t="s">
        <v>1679</v>
      </c>
    </row>
    <row r="92" spans="1:6" ht="15" customHeight="1" x14ac:dyDescent="0.2">
      <c r="A92" s="1">
        <v>197</v>
      </c>
      <c r="B92" s="1" t="s">
        <v>1648</v>
      </c>
      <c r="C92" s="63" t="s">
        <v>1676</v>
      </c>
      <c r="D92" s="63" t="s">
        <v>1679</v>
      </c>
      <c r="E92" s="63" t="s">
        <v>1685</v>
      </c>
      <c r="F92" s="42">
        <v>34</v>
      </c>
    </row>
    <row r="93" spans="1:6" ht="15" customHeight="1" x14ac:dyDescent="0.2">
      <c r="A93" s="1">
        <v>200</v>
      </c>
      <c r="B93" s="1" t="s">
        <v>891</v>
      </c>
      <c r="C93" s="63" t="s">
        <v>1694</v>
      </c>
    </row>
    <row r="94" spans="1:6" ht="15" customHeight="1" x14ac:dyDescent="0.2">
      <c r="A94" s="1">
        <v>203</v>
      </c>
      <c r="B94" s="1" t="s">
        <v>895</v>
      </c>
      <c r="C94" s="63" t="s">
        <v>1676</v>
      </c>
      <c r="D94" s="63" t="s">
        <v>1675</v>
      </c>
    </row>
    <row r="95" spans="1:6" ht="15" customHeight="1" x14ac:dyDescent="0.2">
      <c r="A95" s="1">
        <v>204</v>
      </c>
      <c r="B95" s="1" t="s">
        <v>1649</v>
      </c>
      <c r="C95" s="63" t="s">
        <v>1708</v>
      </c>
    </row>
    <row r="96" spans="1:6" ht="15" customHeight="1" x14ac:dyDescent="0.2">
      <c r="A96" s="1">
        <v>207</v>
      </c>
      <c r="B96" s="1" t="s">
        <v>1543</v>
      </c>
      <c r="C96" s="63" t="s">
        <v>1718</v>
      </c>
      <c r="D96" s="63">
        <v>13</v>
      </c>
    </row>
    <row r="97" spans="1:6" ht="15" customHeight="1" x14ac:dyDescent="0.2">
      <c r="A97" s="1">
        <v>208</v>
      </c>
      <c r="B97" s="1" t="s">
        <v>1650</v>
      </c>
      <c r="C97" s="63" t="s">
        <v>1676</v>
      </c>
      <c r="D97" s="63" t="s">
        <v>1679</v>
      </c>
    </row>
    <row r="98" spans="1:6" ht="15" customHeight="1" x14ac:dyDescent="0.2">
      <c r="A98" s="1">
        <v>210</v>
      </c>
      <c r="B98" s="1" t="s">
        <v>1651</v>
      </c>
      <c r="C98" s="63" t="s">
        <v>1679</v>
      </c>
    </row>
    <row r="99" spans="1:6" ht="15" customHeight="1" x14ac:dyDescent="0.2">
      <c r="A99" s="1">
        <v>212</v>
      </c>
      <c r="B99" s="1" t="s">
        <v>1652</v>
      </c>
      <c r="C99" s="63" t="s">
        <v>1676</v>
      </c>
    </row>
    <row r="100" spans="1:6" ht="15" customHeight="1" x14ac:dyDescent="0.2">
      <c r="A100" s="1">
        <v>215</v>
      </c>
      <c r="B100" s="1" t="s">
        <v>1653</v>
      </c>
      <c r="C100" s="63" t="s">
        <v>1719</v>
      </c>
    </row>
    <row r="101" spans="1:6" ht="15" customHeight="1" x14ac:dyDescent="0.2">
      <c r="A101" s="1">
        <v>217</v>
      </c>
      <c r="B101" s="1" t="s">
        <v>1654</v>
      </c>
    </row>
    <row r="102" spans="1:6" ht="15" customHeight="1" x14ac:dyDescent="0.2">
      <c r="A102" s="1">
        <v>219</v>
      </c>
      <c r="B102" s="1" t="s">
        <v>1655</v>
      </c>
      <c r="C102" s="63" t="s">
        <v>1675</v>
      </c>
    </row>
    <row r="103" spans="1:6" ht="15" customHeight="1" x14ac:dyDescent="0.2">
      <c r="A103" s="1">
        <v>221</v>
      </c>
      <c r="B103" s="1" t="s">
        <v>1542</v>
      </c>
      <c r="C103" s="64" t="s">
        <v>1677</v>
      </c>
      <c r="D103" s="64" t="s">
        <v>1681</v>
      </c>
      <c r="E103" s="64"/>
    </row>
    <row r="104" spans="1:6" ht="15" customHeight="1" x14ac:dyDescent="0.2">
      <c r="A104" s="1">
        <v>222</v>
      </c>
      <c r="B104" s="1" t="s">
        <v>980</v>
      </c>
      <c r="C104" s="63" t="s">
        <v>1675</v>
      </c>
    </row>
    <row r="105" spans="1:6" ht="15" customHeight="1" x14ac:dyDescent="0.2">
      <c r="A105" s="1">
        <v>223</v>
      </c>
      <c r="B105" s="1" t="s">
        <v>987</v>
      </c>
      <c r="C105" s="63" t="s">
        <v>1679</v>
      </c>
    </row>
    <row r="106" spans="1:6" ht="15" customHeight="1" x14ac:dyDescent="0.2">
      <c r="A106" s="1">
        <v>226</v>
      </c>
      <c r="B106" s="1" t="s">
        <v>992</v>
      </c>
      <c r="C106" s="63" t="s">
        <v>1708</v>
      </c>
    </row>
    <row r="107" spans="1:6" ht="15" customHeight="1" x14ac:dyDescent="0.2">
      <c r="A107" s="1">
        <v>231</v>
      </c>
      <c r="B107" s="1" t="s">
        <v>1656</v>
      </c>
      <c r="C107" s="63" t="s">
        <v>1675</v>
      </c>
      <c r="D107" s="63" t="s">
        <v>1690</v>
      </c>
      <c r="E107" s="63">
        <v>37</v>
      </c>
    </row>
    <row r="108" spans="1:6" ht="15" customHeight="1" x14ac:dyDescent="0.2">
      <c r="A108" s="1">
        <v>232</v>
      </c>
      <c r="B108" s="1" t="s">
        <v>1011</v>
      </c>
      <c r="C108" s="63" t="s">
        <v>1679</v>
      </c>
    </row>
    <row r="109" spans="1:6" ht="15" customHeight="1" x14ac:dyDescent="0.2">
      <c r="A109" s="1">
        <v>233</v>
      </c>
      <c r="B109" s="1" t="s">
        <v>1021</v>
      </c>
      <c r="C109" s="63" t="s">
        <v>1674</v>
      </c>
    </row>
    <row r="110" spans="1:6" ht="15" customHeight="1" x14ac:dyDescent="0.2">
      <c r="A110" s="1">
        <v>236</v>
      </c>
      <c r="B110" s="1" t="s">
        <v>1029</v>
      </c>
      <c r="C110" s="63" t="s">
        <v>1676</v>
      </c>
    </row>
    <row r="111" spans="1:6" ht="15" customHeight="1" x14ac:dyDescent="0.2">
      <c r="A111" s="1">
        <v>238</v>
      </c>
      <c r="B111" s="1" t="s">
        <v>1657</v>
      </c>
      <c r="C111" s="63" t="s">
        <v>1675</v>
      </c>
      <c r="D111" s="63">
        <v>37</v>
      </c>
      <c r="E111" s="63" t="s">
        <v>1711</v>
      </c>
      <c r="F111" s="42">
        <v>73</v>
      </c>
    </row>
    <row r="112" spans="1:6" ht="15" customHeight="1" x14ac:dyDescent="0.2">
      <c r="A112" s="1">
        <v>241</v>
      </c>
      <c r="B112" s="1" t="s">
        <v>1050</v>
      </c>
      <c r="C112" s="63" t="s">
        <v>1720</v>
      </c>
    </row>
    <row r="113" spans="1:6" ht="15" customHeight="1" x14ac:dyDescent="0.2">
      <c r="A113" s="1">
        <v>242</v>
      </c>
      <c r="B113" s="1" t="s">
        <v>1058</v>
      </c>
      <c r="C113" s="63" t="s">
        <v>1678</v>
      </c>
    </row>
    <row r="114" spans="1:6" ht="15" customHeight="1" x14ac:dyDescent="0.2">
      <c r="A114" s="1">
        <v>245</v>
      </c>
      <c r="B114" s="1" t="s">
        <v>1062</v>
      </c>
      <c r="C114" s="63" t="s">
        <v>1679</v>
      </c>
      <c r="D114" s="63">
        <v>37</v>
      </c>
    </row>
    <row r="115" spans="1:6" ht="15" customHeight="1" x14ac:dyDescent="0.2">
      <c r="A115" s="1">
        <v>247</v>
      </c>
      <c r="B115" s="1" t="s">
        <v>1071</v>
      </c>
      <c r="C115" s="63" t="s">
        <v>1716</v>
      </c>
    </row>
    <row r="116" spans="1:6" ht="15" customHeight="1" x14ac:dyDescent="0.2">
      <c r="A116" s="1">
        <v>249</v>
      </c>
      <c r="B116" s="1" t="s">
        <v>1658</v>
      </c>
      <c r="C116" s="63" t="s">
        <v>1676</v>
      </c>
      <c r="D116" s="63" t="s">
        <v>1714</v>
      </c>
      <c r="E116" s="63" t="s">
        <v>1675</v>
      </c>
      <c r="F116" s="42">
        <v>14</v>
      </c>
    </row>
    <row r="117" spans="1:6" ht="15" customHeight="1" x14ac:dyDescent="0.2">
      <c r="A117" s="1">
        <v>250</v>
      </c>
      <c r="B117" s="1" t="s">
        <v>1541</v>
      </c>
      <c r="C117" s="63" t="s">
        <v>1675</v>
      </c>
      <c r="D117" s="63" t="s">
        <v>1681</v>
      </c>
      <c r="E117" s="63" t="s">
        <v>1679</v>
      </c>
    </row>
    <row r="118" spans="1:6" ht="15" customHeight="1" x14ac:dyDescent="0.2">
      <c r="A118" s="1">
        <v>254</v>
      </c>
      <c r="B118" s="1" t="s">
        <v>1659</v>
      </c>
      <c r="C118" s="63" t="s">
        <v>1674</v>
      </c>
    </row>
    <row r="119" spans="1:6" ht="15" customHeight="1" x14ac:dyDescent="0.2">
      <c r="A119" s="1">
        <v>256</v>
      </c>
      <c r="B119" s="1" t="s">
        <v>1108</v>
      </c>
      <c r="C119" s="63" t="s">
        <v>1690</v>
      </c>
    </row>
    <row r="120" spans="1:6" ht="15" customHeight="1" x14ac:dyDescent="0.2">
      <c r="A120" s="1">
        <v>257</v>
      </c>
      <c r="B120" s="1" t="s">
        <v>1117</v>
      </c>
      <c r="C120" s="63" t="s">
        <v>1715</v>
      </c>
    </row>
    <row r="121" spans="1:6" ht="15" customHeight="1" x14ac:dyDescent="0.2">
      <c r="A121" s="1">
        <v>260</v>
      </c>
      <c r="B121" s="1" t="s">
        <v>1660</v>
      </c>
      <c r="C121" s="63" t="s">
        <v>1678</v>
      </c>
      <c r="D121" s="63" t="s">
        <v>1688</v>
      </c>
      <c r="E121" s="63" t="s">
        <v>1721</v>
      </c>
    </row>
    <row r="122" spans="1:6" ht="15" customHeight="1" x14ac:dyDescent="0.2">
      <c r="A122" s="1">
        <v>262</v>
      </c>
      <c r="B122" s="1" t="s">
        <v>1137</v>
      </c>
      <c r="C122" s="63" t="s">
        <v>1715</v>
      </c>
    </row>
    <row r="123" spans="1:6" ht="15" customHeight="1" x14ac:dyDescent="0.2">
      <c r="A123" s="1">
        <v>263</v>
      </c>
      <c r="B123" s="1" t="s">
        <v>1540</v>
      </c>
      <c r="C123" s="63" t="s">
        <v>1709</v>
      </c>
      <c r="D123" s="63">
        <v>22</v>
      </c>
    </row>
    <row r="124" spans="1:6" ht="15" customHeight="1" x14ac:dyDescent="0.2">
      <c r="A124" s="1">
        <v>272</v>
      </c>
      <c r="B124" s="1" t="s">
        <v>1661</v>
      </c>
      <c r="C124" s="63">
        <v>9</v>
      </c>
    </row>
    <row r="125" spans="1:6" ht="15" customHeight="1" x14ac:dyDescent="0.2">
      <c r="A125" s="1">
        <v>273</v>
      </c>
      <c r="B125" s="1" t="s">
        <v>1166</v>
      </c>
      <c r="C125" s="63" t="s">
        <v>1679</v>
      </c>
      <c r="D125" s="63">
        <v>9</v>
      </c>
    </row>
    <row r="126" spans="1:6" ht="15" customHeight="1" x14ac:dyDescent="0.2">
      <c r="A126" s="1">
        <v>280</v>
      </c>
      <c r="B126" s="1" t="s">
        <v>1175</v>
      </c>
      <c r="C126" s="63" t="s">
        <v>1681</v>
      </c>
      <c r="D126" s="63" t="s">
        <v>1722</v>
      </c>
      <c r="E126" s="63" t="s">
        <v>1689</v>
      </c>
    </row>
    <row r="127" spans="1:6" ht="15" customHeight="1" x14ac:dyDescent="0.2">
      <c r="A127" s="1">
        <v>282</v>
      </c>
      <c r="B127" s="1" t="s">
        <v>1662</v>
      </c>
      <c r="C127" s="63" t="s">
        <v>1690</v>
      </c>
    </row>
    <row r="128" spans="1:6" ht="15" customHeight="1" x14ac:dyDescent="0.2">
      <c r="A128" s="1">
        <v>286</v>
      </c>
      <c r="B128" s="1" t="s">
        <v>1663</v>
      </c>
      <c r="C128" s="63">
        <v>9</v>
      </c>
    </row>
    <row r="129" spans="1:5" ht="15" customHeight="1" x14ac:dyDescent="0.2">
      <c r="A129" s="1">
        <v>287</v>
      </c>
      <c r="B129" s="1" t="s">
        <v>1208</v>
      </c>
      <c r="C129" s="63" t="s">
        <v>1691</v>
      </c>
      <c r="D129" s="63" t="s">
        <v>1723</v>
      </c>
      <c r="E129" s="63" t="s">
        <v>1681</v>
      </c>
    </row>
    <row r="130" spans="1:5" ht="15" customHeight="1" x14ac:dyDescent="0.2">
      <c r="A130" s="1">
        <v>288</v>
      </c>
      <c r="B130" s="1" t="s">
        <v>1664</v>
      </c>
      <c r="C130" s="63" t="s">
        <v>1699</v>
      </c>
      <c r="D130" s="63" t="s">
        <v>1688</v>
      </c>
    </row>
    <row r="131" spans="1:5" ht="15" customHeight="1" x14ac:dyDescent="0.2">
      <c r="A131" s="1">
        <v>289</v>
      </c>
      <c r="B131" s="1" t="s">
        <v>1225</v>
      </c>
      <c r="C131" s="63" t="s">
        <v>1675</v>
      </c>
    </row>
    <row r="132" spans="1:5" ht="15" customHeight="1" x14ac:dyDescent="0.2">
      <c r="A132" s="1">
        <v>290</v>
      </c>
      <c r="B132" s="1" t="s">
        <v>1231</v>
      </c>
      <c r="C132" s="63" t="s">
        <v>1675</v>
      </c>
      <c r="D132" s="63" t="s">
        <v>1681</v>
      </c>
      <c r="E132" s="63" t="s">
        <v>1690</v>
      </c>
    </row>
    <row r="133" spans="1:5" ht="15" customHeight="1" x14ac:dyDescent="0.2">
      <c r="A133" s="1">
        <v>291</v>
      </c>
      <c r="B133" s="1" t="s">
        <v>1239</v>
      </c>
      <c r="C133" s="63" t="s">
        <v>1714</v>
      </c>
      <c r="D133" s="63">
        <v>9</v>
      </c>
    </row>
    <row r="134" spans="1:5" ht="15" customHeight="1" x14ac:dyDescent="0.2">
      <c r="A134" s="1">
        <v>293</v>
      </c>
      <c r="B134" s="1" t="s">
        <v>1247</v>
      </c>
      <c r="C134" s="63" t="s">
        <v>1675</v>
      </c>
      <c r="D134" s="63" t="s">
        <v>1690</v>
      </c>
    </row>
    <row r="135" spans="1:5" ht="15" customHeight="1" x14ac:dyDescent="0.2">
      <c r="A135" s="1">
        <v>294</v>
      </c>
      <c r="B135" s="1" t="s">
        <v>1258</v>
      </c>
      <c r="C135" s="63" t="s">
        <v>1693</v>
      </c>
    </row>
    <row r="136" spans="1:5" ht="15" customHeight="1" x14ac:dyDescent="0.2">
      <c r="A136" s="1">
        <v>295</v>
      </c>
      <c r="B136" s="1" t="s">
        <v>1266</v>
      </c>
      <c r="C136" s="63" t="s">
        <v>1715</v>
      </c>
    </row>
    <row r="137" spans="1:5" ht="15" customHeight="1" x14ac:dyDescent="0.2">
      <c r="A137" s="1">
        <v>297</v>
      </c>
      <c r="B137" s="1" t="s">
        <v>1275</v>
      </c>
      <c r="C137" s="63" t="s">
        <v>1681</v>
      </c>
      <c r="D137" s="63" t="s">
        <v>1687</v>
      </c>
      <c r="E137" s="63" t="s">
        <v>1723</v>
      </c>
    </row>
    <row r="138" spans="1:5" ht="15" customHeight="1" x14ac:dyDescent="0.2">
      <c r="A138" s="1">
        <v>298</v>
      </c>
      <c r="B138" s="1" t="s">
        <v>1285</v>
      </c>
      <c r="C138" s="63" t="s">
        <v>1708</v>
      </c>
    </row>
    <row r="139" spans="1:5" ht="15" customHeight="1" x14ac:dyDescent="0.2">
      <c r="A139" s="1">
        <v>300</v>
      </c>
      <c r="B139" s="1" t="s">
        <v>1665</v>
      </c>
      <c r="C139" s="63" t="s">
        <v>1698</v>
      </c>
    </row>
    <row r="140" spans="1:5" ht="15" customHeight="1" x14ac:dyDescent="0.2">
      <c r="A140" s="1">
        <v>301</v>
      </c>
      <c r="B140" s="1" t="s">
        <v>1666</v>
      </c>
      <c r="C140" s="63" t="s">
        <v>1688</v>
      </c>
    </row>
    <row r="141" spans="1:5" ht="15" customHeight="1" x14ac:dyDescent="0.2">
      <c r="A141" s="1">
        <v>302</v>
      </c>
      <c r="B141" s="1" t="s">
        <v>1539</v>
      </c>
      <c r="C141" s="63" t="s">
        <v>1679</v>
      </c>
      <c r="D141" s="63">
        <v>9</v>
      </c>
      <c r="E141" s="63" t="s">
        <v>1684</v>
      </c>
    </row>
    <row r="142" spans="1:5" ht="15" customHeight="1" x14ac:dyDescent="0.2">
      <c r="A142" s="43">
        <v>303</v>
      </c>
      <c r="B142" s="43" t="s">
        <v>1316</v>
      </c>
      <c r="C142" s="63" t="s">
        <v>1679</v>
      </c>
    </row>
    <row r="143" spans="1:5" ht="15" customHeight="1" x14ac:dyDescent="0.2">
      <c r="A143" s="1">
        <v>304</v>
      </c>
      <c r="B143" s="1" t="s">
        <v>1323</v>
      </c>
      <c r="C143" s="63" t="s">
        <v>1689</v>
      </c>
      <c r="D143" s="63" t="s">
        <v>1681</v>
      </c>
    </row>
    <row r="144" spans="1:5" ht="15" customHeight="1" x14ac:dyDescent="0.2">
      <c r="A144" s="1">
        <v>305</v>
      </c>
      <c r="B144" s="1" t="s">
        <v>1334</v>
      </c>
      <c r="C144" s="63" t="s">
        <v>1695</v>
      </c>
      <c r="D144" s="63" t="s">
        <v>1691</v>
      </c>
    </row>
    <row r="145" spans="1:6" ht="15" customHeight="1" x14ac:dyDescent="0.2">
      <c r="A145" s="1">
        <v>307</v>
      </c>
      <c r="B145" s="1" t="s">
        <v>1341</v>
      </c>
      <c r="C145" s="64" t="s">
        <v>1674</v>
      </c>
      <c r="D145" s="64" t="s">
        <v>1681</v>
      </c>
      <c r="E145" s="64"/>
    </row>
    <row r="146" spans="1:6" ht="15" customHeight="1" x14ac:dyDescent="0.2">
      <c r="A146" s="1">
        <v>308</v>
      </c>
      <c r="B146" s="1" t="s">
        <v>1667</v>
      </c>
      <c r="C146" s="63" t="s">
        <v>1714</v>
      </c>
      <c r="D146" s="63" t="s">
        <v>1674</v>
      </c>
      <c r="E146" s="63" t="s">
        <v>1688</v>
      </c>
      <c r="F146" s="42">
        <v>24</v>
      </c>
    </row>
    <row r="147" spans="1:6" ht="15" customHeight="1" x14ac:dyDescent="0.2">
      <c r="A147" s="1">
        <v>310</v>
      </c>
      <c r="B147" s="1" t="s">
        <v>1398</v>
      </c>
      <c r="C147" s="63" t="s">
        <v>1681</v>
      </c>
      <c r="D147" s="63" t="s">
        <v>1724</v>
      </c>
      <c r="E147" s="63" t="s">
        <v>1714</v>
      </c>
    </row>
    <row r="148" spans="1:6" ht="15" customHeight="1" x14ac:dyDescent="0.2">
      <c r="A148" s="1">
        <v>312</v>
      </c>
      <c r="B148" s="1" t="s">
        <v>1399</v>
      </c>
      <c r="C148" s="63" t="s">
        <v>1679</v>
      </c>
    </row>
    <row r="149" spans="1:6" ht="15" customHeight="1" x14ac:dyDescent="0.2">
      <c r="A149" s="1">
        <v>314</v>
      </c>
      <c r="B149" s="1" t="s">
        <v>1668</v>
      </c>
      <c r="C149" s="63" t="s">
        <v>1678</v>
      </c>
    </row>
    <row r="150" spans="1:6" ht="15" customHeight="1" x14ac:dyDescent="0.2">
      <c r="A150" s="1">
        <v>315</v>
      </c>
      <c r="B150" s="1" t="s">
        <v>1493</v>
      </c>
      <c r="C150" s="63" t="s">
        <v>1676</v>
      </c>
      <c r="D150" s="63" t="s">
        <v>1681</v>
      </c>
    </row>
    <row r="151" spans="1:6" ht="15" customHeight="1" x14ac:dyDescent="0.2">
      <c r="A151" s="1">
        <v>316</v>
      </c>
      <c r="B151" s="1" t="s">
        <v>1401</v>
      </c>
      <c r="C151" s="63" t="s">
        <v>1681</v>
      </c>
    </row>
    <row r="152" spans="1:6" ht="15" customHeight="1" x14ac:dyDescent="0.2">
      <c r="A152" s="1">
        <v>317</v>
      </c>
      <c r="B152" s="1" t="s">
        <v>1402</v>
      </c>
      <c r="C152" s="63" t="s">
        <v>1674</v>
      </c>
    </row>
    <row r="153" spans="1:6" ht="15" customHeight="1" x14ac:dyDescent="0.2">
      <c r="A153" s="1">
        <v>319</v>
      </c>
      <c r="B153" s="1" t="s">
        <v>1669</v>
      </c>
      <c r="C153" s="63" t="s">
        <v>1715</v>
      </c>
    </row>
    <row r="154" spans="1:6" ht="15" customHeight="1" x14ac:dyDescent="0.2">
      <c r="A154" s="1">
        <v>323</v>
      </c>
      <c r="B154" s="1" t="s">
        <v>1404</v>
      </c>
      <c r="C154" s="63" t="s">
        <v>1688</v>
      </c>
      <c r="D154" s="63">
        <v>9</v>
      </c>
      <c r="E154" s="63" t="s">
        <v>1685</v>
      </c>
    </row>
    <row r="155" spans="1:6" ht="15" customHeight="1" x14ac:dyDescent="0.2">
      <c r="A155" s="1">
        <v>324</v>
      </c>
      <c r="B155" s="1" t="s">
        <v>1670</v>
      </c>
      <c r="C155" s="63">
        <v>23</v>
      </c>
      <c r="D155" s="63" t="s">
        <v>1675</v>
      </c>
    </row>
    <row r="156" spans="1:6" ht="15" customHeight="1" x14ac:dyDescent="0.2">
      <c r="A156" s="1">
        <v>325</v>
      </c>
      <c r="B156" s="1" t="s">
        <v>1538</v>
      </c>
      <c r="C156" s="63">
        <v>9</v>
      </c>
      <c r="D156" s="63">
        <v>22</v>
      </c>
    </row>
    <row r="157" spans="1:6" ht="15" customHeight="1" x14ac:dyDescent="0.2">
      <c r="A157" s="1">
        <v>327</v>
      </c>
      <c r="B157" s="1" t="s">
        <v>1406</v>
      </c>
      <c r="C157" s="63" t="s">
        <v>1676</v>
      </c>
      <c r="D157" s="63" t="s">
        <v>1681</v>
      </c>
      <c r="E157" s="63">
        <v>23</v>
      </c>
    </row>
    <row r="158" spans="1:6" ht="15" customHeight="1" x14ac:dyDescent="0.2">
      <c r="A158" s="1">
        <v>328</v>
      </c>
      <c r="B158" s="1" t="s">
        <v>1407</v>
      </c>
      <c r="C158" s="63" t="s">
        <v>1694</v>
      </c>
    </row>
    <row r="159" spans="1:6" ht="15" customHeight="1" x14ac:dyDescent="0.2">
      <c r="A159" s="1">
        <v>329</v>
      </c>
      <c r="B159" s="1" t="s">
        <v>1408</v>
      </c>
      <c r="C159" s="63" t="s">
        <v>1725</v>
      </c>
    </row>
    <row r="160" spans="1:6" ht="15" customHeight="1" x14ac:dyDescent="0.2">
      <c r="A160" s="1">
        <v>331</v>
      </c>
      <c r="B160" s="1" t="s">
        <v>1671</v>
      </c>
      <c r="C160" s="63" t="s">
        <v>1688</v>
      </c>
      <c r="D160" s="63">
        <v>9</v>
      </c>
      <c r="E160" s="63" t="s">
        <v>1699</v>
      </c>
    </row>
    <row r="161" spans="1:4" ht="15" customHeight="1" x14ac:dyDescent="0.2">
      <c r="A161" s="1">
        <v>332</v>
      </c>
      <c r="B161" s="1" t="s">
        <v>1672</v>
      </c>
      <c r="C161" s="63" t="s">
        <v>1675</v>
      </c>
    </row>
    <row r="162" spans="1:4" ht="15" customHeight="1" x14ac:dyDescent="0.2">
      <c r="A162" s="1">
        <v>334</v>
      </c>
      <c r="B162" s="1" t="s">
        <v>1673</v>
      </c>
      <c r="C162" s="63" t="s">
        <v>1674</v>
      </c>
    </row>
    <row r="163" spans="1:4" ht="15" customHeight="1" x14ac:dyDescent="0.2">
      <c r="A163" s="1">
        <v>336</v>
      </c>
      <c r="B163" s="1"/>
    </row>
    <row r="164" spans="1:4" ht="15" customHeight="1" x14ac:dyDescent="0.2">
      <c r="A164" s="1">
        <v>337</v>
      </c>
      <c r="B164" s="1" t="s">
        <v>1536</v>
      </c>
      <c r="C164" s="63" t="s">
        <v>1711</v>
      </c>
      <c r="D164" s="63" t="s">
        <v>1681</v>
      </c>
    </row>
  </sheetData>
  <sortState ref="I2:L57">
    <sortCondition descending="1" ref="K2:K57"/>
  </sortState>
  <pageMargins left="0.7" right="0.7" top="0.75" bottom="0.75" header="0.3" footer="0.3"/>
  <pageSetup paperSize="9" orientation="portrait" verticalDpi="0"/>
  <ignoredErrors>
    <ignoredError sqref="D30" numberStoredAsText="1"/>
  </ignoredErrors>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164"/>
  <sheetViews>
    <sheetView topLeftCell="D1" zoomScale="80" zoomScaleNormal="80" zoomScalePageLayoutView="80" workbookViewId="0">
      <selection activeCell="J8" sqref="J8"/>
    </sheetView>
  </sheetViews>
  <sheetFormatPr baseColWidth="10" defaultColWidth="8.83203125" defaultRowHeight="15" customHeight="1" x14ac:dyDescent="0.2"/>
  <cols>
    <col min="1" max="1" width="13" customWidth="1"/>
    <col min="2" max="2" width="86.5" customWidth="1"/>
    <col min="3" max="3" width="3.33203125" style="8" bestFit="1" customWidth="1"/>
    <col min="4" max="5" width="3" style="8" bestFit="1" customWidth="1"/>
    <col min="6" max="6" width="9.1640625" style="8" customWidth="1"/>
    <col min="7" max="7" width="64.5" style="4" bestFit="1" customWidth="1"/>
    <col min="8" max="8" width="8.83203125" style="8"/>
    <col min="9" max="9" width="10.1640625" style="8" bestFit="1" customWidth="1"/>
    <col min="10" max="10" width="8.83203125" style="9"/>
  </cols>
  <sheetData>
    <row r="1" spans="1:12" ht="15" customHeight="1" x14ac:dyDescent="0.2">
      <c r="A1" s="45" t="s">
        <v>0</v>
      </c>
      <c r="B1" s="45" t="s">
        <v>21</v>
      </c>
      <c r="G1" s="4" t="s">
        <v>1727</v>
      </c>
      <c r="H1" s="8" t="s">
        <v>1728</v>
      </c>
      <c r="I1" s="8" t="s">
        <v>1726</v>
      </c>
      <c r="J1" s="3" t="s">
        <v>1729</v>
      </c>
      <c r="K1" s="8" t="s">
        <v>1375</v>
      </c>
      <c r="L1" t="s">
        <v>1375</v>
      </c>
    </row>
    <row r="2" spans="1:12" ht="15" customHeight="1" x14ac:dyDescent="0.2">
      <c r="A2" s="45">
        <v>2</v>
      </c>
      <c r="B2" s="45" t="s">
        <v>51</v>
      </c>
      <c r="C2" s="8">
        <v>1</v>
      </c>
      <c r="D2" s="8">
        <v>2</v>
      </c>
      <c r="E2" s="8">
        <v>3</v>
      </c>
      <c r="G2" s="4" t="s">
        <v>1834</v>
      </c>
      <c r="I2" s="8">
        <f>COUNTIF(C2:F164,"no")</f>
        <v>41</v>
      </c>
      <c r="J2" s="3"/>
      <c r="K2">
        <f>I2/(41+117)</f>
        <v>0.25949367088607594</v>
      </c>
    </row>
    <row r="3" spans="1:12" ht="15" customHeight="1" x14ac:dyDescent="0.2">
      <c r="A3" s="45">
        <v>5</v>
      </c>
      <c r="B3" s="45" t="s">
        <v>64</v>
      </c>
      <c r="C3" s="8">
        <v>4</v>
      </c>
      <c r="G3" s="4" t="s">
        <v>1878</v>
      </c>
      <c r="I3" s="8">
        <f>161-I2-COUNTIF(C2:E164,"0")</f>
        <v>117</v>
      </c>
      <c r="J3" s="3"/>
      <c r="K3">
        <f>I3/(41+117)</f>
        <v>0.740506329113924</v>
      </c>
      <c r="L3" t="s">
        <v>1560</v>
      </c>
    </row>
    <row r="4" spans="1:12" ht="15" customHeight="1" x14ac:dyDescent="0.2">
      <c r="A4" s="45">
        <v>6</v>
      </c>
      <c r="B4" s="45" t="s">
        <v>46</v>
      </c>
      <c r="C4" s="8" t="s">
        <v>270</v>
      </c>
      <c r="G4" s="4" t="s">
        <v>1752</v>
      </c>
      <c r="H4" s="8">
        <v>17</v>
      </c>
      <c r="I4" s="8">
        <f>COUNTIF($C$2:$E$164,"17")</f>
        <v>18</v>
      </c>
      <c r="J4" s="3" t="s">
        <v>1854</v>
      </c>
      <c r="L4">
        <f>I4/117</f>
        <v>0.15384615384615385</v>
      </c>
    </row>
    <row r="5" spans="1:12" ht="15" customHeight="1" x14ac:dyDescent="0.2">
      <c r="A5" s="45">
        <v>11</v>
      </c>
      <c r="B5" s="45" t="s">
        <v>85</v>
      </c>
      <c r="C5" s="8">
        <v>5</v>
      </c>
      <c r="G5" s="4" t="s">
        <v>1739</v>
      </c>
      <c r="H5" s="8">
        <v>2</v>
      </c>
      <c r="I5" s="8">
        <f>COUNTIF($C$2:$E$164,"2")</f>
        <v>16</v>
      </c>
      <c r="J5" s="9" t="s">
        <v>1837</v>
      </c>
      <c r="L5">
        <f t="shared" ref="L5:L42" si="0">I5/117</f>
        <v>0.13675213675213677</v>
      </c>
    </row>
    <row r="6" spans="1:12" ht="15" customHeight="1" x14ac:dyDescent="0.2">
      <c r="A6" s="45">
        <v>18</v>
      </c>
      <c r="B6" s="45" t="s">
        <v>95</v>
      </c>
      <c r="C6" s="8">
        <v>5</v>
      </c>
      <c r="G6" s="4" t="s">
        <v>1741</v>
      </c>
      <c r="H6" s="8">
        <v>5</v>
      </c>
      <c r="I6" s="8">
        <f>COUNTIF($C$2:$E$164,"5")</f>
        <v>16</v>
      </c>
      <c r="J6" s="3" t="s">
        <v>1841</v>
      </c>
      <c r="L6">
        <f t="shared" si="0"/>
        <v>0.13675213675213677</v>
      </c>
    </row>
    <row r="7" spans="1:12" ht="15" customHeight="1" x14ac:dyDescent="0.2">
      <c r="A7" s="45">
        <v>21</v>
      </c>
      <c r="B7" s="45" t="s">
        <v>102</v>
      </c>
      <c r="C7" s="8" t="s">
        <v>270</v>
      </c>
      <c r="G7" s="4" t="s">
        <v>1740</v>
      </c>
      <c r="H7" s="8">
        <v>4</v>
      </c>
      <c r="I7" s="8">
        <f>COUNTIF($C$2:$E$164,"4")</f>
        <v>13</v>
      </c>
      <c r="J7" s="3" t="s">
        <v>1840</v>
      </c>
      <c r="L7">
        <f t="shared" si="0"/>
        <v>0.1111111111111111</v>
      </c>
    </row>
    <row r="8" spans="1:12" ht="15" customHeight="1" x14ac:dyDescent="0.2">
      <c r="A8" s="45">
        <v>22</v>
      </c>
      <c r="B8" s="45" t="s">
        <v>46</v>
      </c>
      <c r="C8" s="8" t="s">
        <v>270</v>
      </c>
      <c r="G8" s="4" t="s">
        <v>1738</v>
      </c>
      <c r="H8" s="8">
        <v>1</v>
      </c>
      <c r="I8" s="8">
        <f>COUNTIF($C$2:$E$164,"1")</f>
        <v>11</v>
      </c>
      <c r="J8" s="9" t="s">
        <v>1836</v>
      </c>
      <c r="L8">
        <f t="shared" si="0"/>
        <v>9.4017094017094016E-2</v>
      </c>
    </row>
    <row r="9" spans="1:12" ht="15" customHeight="1" x14ac:dyDescent="0.2">
      <c r="A9" s="45">
        <v>26</v>
      </c>
      <c r="B9" s="45" t="s">
        <v>116</v>
      </c>
      <c r="C9" s="8">
        <v>6</v>
      </c>
      <c r="G9" s="4" t="s">
        <v>1852</v>
      </c>
      <c r="H9" s="8">
        <v>15</v>
      </c>
      <c r="I9" s="8">
        <f>COUNTIF($C$2:$E$164,"15")</f>
        <v>10</v>
      </c>
      <c r="J9" s="3" t="s">
        <v>1851</v>
      </c>
      <c r="L9">
        <f t="shared" si="0"/>
        <v>8.5470085470085472E-2</v>
      </c>
    </row>
    <row r="10" spans="1:12" ht="15" customHeight="1" x14ac:dyDescent="0.2">
      <c r="A10" s="45">
        <v>30</v>
      </c>
      <c r="B10" s="45" t="s">
        <v>126</v>
      </c>
      <c r="C10" s="8">
        <v>7</v>
      </c>
      <c r="D10" s="8">
        <v>8</v>
      </c>
      <c r="G10" s="4" t="s">
        <v>1748</v>
      </c>
      <c r="H10" s="8">
        <v>12</v>
      </c>
      <c r="I10" s="8">
        <f>COUNTIF($C$2:$E$164,"12")</f>
        <v>9</v>
      </c>
      <c r="J10" s="3" t="s">
        <v>1848</v>
      </c>
      <c r="L10">
        <f t="shared" si="0"/>
        <v>7.6923076923076927E-2</v>
      </c>
    </row>
    <row r="11" spans="1:12" ht="15" customHeight="1" x14ac:dyDescent="0.2">
      <c r="A11" s="45">
        <v>31</v>
      </c>
      <c r="B11" s="45" t="s">
        <v>136</v>
      </c>
      <c r="C11" s="8">
        <v>1</v>
      </c>
      <c r="G11" s="4" t="s">
        <v>1835</v>
      </c>
      <c r="H11" s="8">
        <v>99</v>
      </c>
      <c r="I11" s="8">
        <f>COUNTIF($C$2:$E$164,"99")</f>
        <v>9</v>
      </c>
      <c r="L11">
        <f t="shared" si="0"/>
        <v>7.6923076923076927E-2</v>
      </c>
    </row>
    <row r="12" spans="1:12" ht="15" customHeight="1" x14ac:dyDescent="0.2">
      <c r="A12" s="45">
        <v>28</v>
      </c>
      <c r="B12" s="45" t="s">
        <v>147</v>
      </c>
      <c r="C12" s="8">
        <v>4</v>
      </c>
      <c r="D12" s="8">
        <v>9</v>
      </c>
      <c r="G12" s="4" t="s">
        <v>1747</v>
      </c>
      <c r="H12" s="8">
        <v>11</v>
      </c>
      <c r="I12" s="8">
        <f>COUNTIF($C$2:$E$164,"11")</f>
        <v>4</v>
      </c>
      <c r="J12" s="3" t="s">
        <v>1847</v>
      </c>
      <c r="L12">
        <f t="shared" si="0"/>
        <v>3.4188034188034191E-2</v>
      </c>
    </row>
    <row r="13" spans="1:12" ht="15" customHeight="1" x14ac:dyDescent="0.2">
      <c r="A13" s="45">
        <v>32</v>
      </c>
      <c r="B13" s="45" t="s">
        <v>156</v>
      </c>
      <c r="C13" s="8">
        <v>99</v>
      </c>
      <c r="G13" s="4" t="s">
        <v>1749</v>
      </c>
      <c r="H13" s="8">
        <v>13</v>
      </c>
      <c r="I13" s="8">
        <f>COUNTIF($C$2:$E$164,"13")</f>
        <v>4</v>
      </c>
      <c r="J13" s="3" t="s">
        <v>1849</v>
      </c>
      <c r="L13">
        <f t="shared" si="0"/>
        <v>3.4188034188034191E-2</v>
      </c>
    </row>
    <row r="14" spans="1:12" ht="15" customHeight="1" x14ac:dyDescent="0.2">
      <c r="A14" s="45">
        <v>34</v>
      </c>
      <c r="B14" s="45" t="s">
        <v>169</v>
      </c>
      <c r="C14" s="8" t="s">
        <v>270</v>
      </c>
      <c r="G14" s="4" t="s">
        <v>1756</v>
      </c>
      <c r="H14" s="8">
        <v>23</v>
      </c>
      <c r="I14" s="8">
        <f>COUNTIF($C$2:$E$164,"23")</f>
        <v>4</v>
      </c>
      <c r="J14" s="3" t="s">
        <v>1862</v>
      </c>
      <c r="L14">
        <f t="shared" si="0"/>
        <v>3.4188034188034191E-2</v>
      </c>
    </row>
    <row r="15" spans="1:12" ht="15" customHeight="1" x14ac:dyDescent="0.2">
      <c r="A15" s="45">
        <v>35</v>
      </c>
      <c r="B15" s="45" t="s">
        <v>178</v>
      </c>
      <c r="C15" s="8">
        <v>10</v>
      </c>
      <c r="D15" s="8">
        <v>11</v>
      </c>
      <c r="G15" s="4" t="s">
        <v>1754</v>
      </c>
      <c r="H15" s="8">
        <v>21</v>
      </c>
      <c r="I15" s="8">
        <f>COUNTIF($C$2:$E$164,"21")</f>
        <v>3</v>
      </c>
      <c r="J15" s="3" t="s">
        <v>1860</v>
      </c>
      <c r="L15">
        <f t="shared" si="0"/>
        <v>2.564102564102564E-2</v>
      </c>
    </row>
    <row r="16" spans="1:12" ht="15" customHeight="1" x14ac:dyDescent="0.2">
      <c r="A16" s="45">
        <v>36</v>
      </c>
      <c r="B16" s="45" t="s">
        <v>190</v>
      </c>
      <c r="C16" s="8">
        <v>12</v>
      </c>
      <c r="G16" s="4" t="s">
        <v>1760</v>
      </c>
      <c r="H16" s="8">
        <v>28</v>
      </c>
      <c r="I16" s="8">
        <f>COUNTIF($C$2:$E$164,"28")</f>
        <v>3</v>
      </c>
      <c r="J16" s="3" t="s">
        <v>1869</v>
      </c>
      <c r="L16">
        <f t="shared" si="0"/>
        <v>2.564102564102564E-2</v>
      </c>
    </row>
    <row r="17" spans="1:12" ht="15" customHeight="1" x14ac:dyDescent="0.2">
      <c r="A17" s="45">
        <v>38</v>
      </c>
      <c r="B17" s="45" t="s">
        <v>200</v>
      </c>
      <c r="C17" s="8" t="s">
        <v>270</v>
      </c>
      <c r="G17" s="4" t="s">
        <v>1385</v>
      </c>
      <c r="H17" s="8">
        <v>31</v>
      </c>
      <c r="I17" s="8">
        <f>COUNTIF($C$2:$E$164,"31")</f>
        <v>3</v>
      </c>
      <c r="J17" s="3" t="s">
        <v>1872</v>
      </c>
      <c r="L17">
        <f t="shared" si="0"/>
        <v>2.564102564102564E-2</v>
      </c>
    </row>
    <row r="18" spans="1:12" ht="15" customHeight="1" x14ac:dyDescent="0.2">
      <c r="A18" s="45">
        <v>40</v>
      </c>
      <c r="B18" s="45" t="s">
        <v>210</v>
      </c>
      <c r="C18" s="8">
        <v>5</v>
      </c>
      <c r="G18" s="4" t="s">
        <v>1839</v>
      </c>
      <c r="H18" s="8">
        <v>3</v>
      </c>
      <c r="I18" s="8">
        <f>COUNTIF($C$2:$E$164,"3")</f>
        <v>2</v>
      </c>
      <c r="J18" s="3" t="s">
        <v>1838</v>
      </c>
      <c r="L18">
        <f t="shared" si="0"/>
        <v>1.7094017094017096E-2</v>
      </c>
    </row>
    <row r="19" spans="1:12" ht="15" customHeight="1" x14ac:dyDescent="0.2">
      <c r="A19" s="45">
        <v>41</v>
      </c>
      <c r="B19" s="45" t="s">
        <v>219</v>
      </c>
      <c r="C19" s="8">
        <v>2</v>
      </c>
      <c r="D19" s="8">
        <v>13</v>
      </c>
      <c r="E19" s="8">
        <v>14</v>
      </c>
      <c r="G19" s="4" t="s">
        <v>1742</v>
      </c>
      <c r="H19" s="8">
        <v>6</v>
      </c>
      <c r="I19" s="8">
        <f>COUNTIF($C$2:$E$164,"6")</f>
        <v>2</v>
      </c>
      <c r="J19" s="3" t="s">
        <v>1842</v>
      </c>
      <c r="L19">
        <f t="shared" si="0"/>
        <v>1.7094017094017096E-2</v>
      </c>
    </row>
    <row r="20" spans="1:12" ht="15" customHeight="1" x14ac:dyDescent="0.2">
      <c r="A20" s="45">
        <v>42</v>
      </c>
      <c r="B20" s="45" t="s">
        <v>227</v>
      </c>
      <c r="C20" s="8">
        <v>15</v>
      </c>
      <c r="G20" s="4" t="s">
        <v>1745</v>
      </c>
      <c r="H20" s="8">
        <v>9</v>
      </c>
      <c r="I20" s="8">
        <f>COUNTIF($C$2:$E$164,"9")</f>
        <v>2</v>
      </c>
      <c r="J20" s="3" t="s">
        <v>1845</v>
      </c>
      <c r="L20">
        <f t="shared" si="0"/>
        <v>1.7094017094017096E-2</v>
      </c>
    </row>
    <row r="21" spans="1:12" ht="15" customHeight="1" x14ac:dyDescent="0.2">
      <c r="A21" s="45">
        <v>44</v>
      </c>
      <c r="B21" s="45" t="s">
        <v>237</v>
      </c>
      <c r="C21" s="8">
        <v>16</v>
      </c>
      <c r="G21" s="4" t="s">
        <v>1750</v>
      </c>
      <c r="H21" s="8">
        <v>14</v>
      </c>
      <c r="I21" s="8">
        <f>COUNTIF($C$2:$E$164,"14")</f>
        <v>2</v>
      </c>
      <c r="J21" s="3" t="s">
        <v>1850</v>
      </c>
      <c r="L21">
        <f t="shared" si="0"/>
        <v>1.7094017094017096E-2</v>
      </c>
    </row>
    <row r="22" spans="1:12" ht="15" customHeight="1" x14ac:dyDescent="0.2">
      <c r="A22" s="45">
        <v>46</v>
      </c>
      <c r="B22" s="45" t="s">
        <v>248</v>
      </c>
      <c r="C22" s="8">
        <v>17</v>
      </c>
      <c r="D22" s="8">
        <v>1</v>
      </c>
      <c r="G22" s="4" t="s">
        <v>1753</v>
      </c>
      <c r="H22" s="8">
        <v>18</v>
      </c>
      <c r="I22" s="8">
        <f>COUNTIF($C$2:$E$164,"18")</f>
        <v>2</v>
      </c>
      <c r="J22" s="3" t="s">
        <v>1855</v>
      </c>
      <c r="L22">
        <f t="shared" si="0"/>
        <v>1.7094017094017096E-2</v>
      </c>
    </row>
    <row r="23" spans="1:12" ht="15" customHeight="1" x14ac:dyDescent="0.2">
      <c r="A23" s="45">
        <v>47</v>
      </c>
      <c r="B23" s="45" t="s">
        <v>258</v>
      </c>
      <c r="C23" s="8" t="s">
        <v>270</v>
      </c>
      <c r="G23" s="4" t="s">
        <v>1858</v>
      </c>
      <c r="H23" s="8">
        <v>20</v>
      </c>
      <c r="I23" s="8">
        <f>COUNTIF($C$2:$E$164,"20")</f>
        <v>2</v>
      </c>
      <c r="J23" s="9" t="s">
        <v>1857</v>
      </c>
      <c r="L23">
        <f t="shared" si="0"/>
        <v>1.7094017094017096E-2</v>
      </c>
    </row>
    <row r="24" spans="1:12" ht="15" customHeight="1" x14ac:dyDescent="0.2">
      <c r="A24" s="45">
        <v>49</v>
      </c>
      <c r="B24" s="45" t="s">
        <v>270</v>
      </c>
      <c r="C24" s="8" t="s">
        <v>270</v>
      </c>
      <c r="G24" s="4" t="s">
        <v>1759</v>
      </c>
      <c r="H24" s="8">
        <v>27</v>
      </c>
      <c r="I24" s="8">
        <f>COUNTIF($C$2:$E$164,"27")</f>
        <v>2</v>
      </c>
      <c r="J24" s="3" t="s">
        <v>1867</v>
      </c>
      <c r="L24">
        <f t="shared" si="0"/>
        <v>1.7094017094017096E-2</v>
      </c>
    </row>
    <row r="25" spans="1:12" ht="15" customHeight="1" x14ac:dyDescent="0.2">
      <c r="A25" s="45">
        <v>50</v>
      </c>
      <c r="B25" s="45" t="s">
        <v>278</v>
      </c>
      <c r="C25" s="8">
        <v>15</v>
      </c>
      <c r="G25" s="4" t="s">
        <v>1761</v>
      </c>
      <c r="H25" s="8">
        <v>29</v>
      </c>
      <c r="I25" s="8">
        <f>COUNTIF($C$2:$E$164,"29")</f>
        <v>2</v>
      </c>
      <c r="J25" s="3" t="s">
        <v>1870</v>
      </c>
      <c r="L25">
        <f t="shared" si="0"/>
        <v>1.7094017094017096E-2</v>
      </c>
    </row>
    <row r="26" spans="1:12" ht="15" customHeight="1" x14ac:dyDescent="0.2">
      <c r="A26" s="45">
        <v>51</v>
      </c>
      <c r="B26" s="45" t="s">
        <v>270</v>
      </c>
      <c r="C26" s="8" t="s">
        <v>270</v>
      </c>
      <c r="G26" s="4" t="s">
        <v>1762</v>
      </c>
      <c r="H26" s="8">
        <v>30</v>
      </c>
      <c r="I26" s="8">
        <f>COUNTIF($C$2:$E$164,"30")</f>
        <v>2</v>
      </c>
      <c r="J26" s="3" t="s">
        <v>1871</v>
      </c>
      <c r="L26">
        <f t="shared" si="0"/>
        <v>1.7094017094017096E-2</v>
      </c>
    </row>
    <row r="27" spans="1:12" ht="15" customHeight="1" x14ac:dyDescent="0.2">
      <c r="A27" s="45">
        <v>53</v>
      </c>
      <c r="B27" s="45" t="s">
        <v>293</v>
      </c>
      <c r="C27" s="8">
        <v>4</v>
      </c>
      <c r="G27" s="4" t="s">
        <v>1765</v>
      </c>
      <c r="H27" s="8">
        <v>34</v>
      </c>
      <c r="I27" s="8">
        <f>COUNTIF($C$2:$E$164,"34")</f>
        <v>2</v>
      </c>
      <c r="J27" s="3" t="s">
        <v>1875</v>
      </c>
      <c r="L27">
        <f t="shared" si="0"/>
        <v>1.7094017094017096E-2</v>
      </c>
    </row>
    <row r="28" spans="1:12" ht="15" customHeight="1" x14ac:dyDescent="0.2">
      <c r="A28" s="45">
        <v>55</v>
      </c>
      <c r="B28" s="45" t="s">
        <v>303</v>
      </c>
      <c r="C28" s="8" t="s">
        <v>270</v>
      </c>
      <c r="G28" s="4" t="s">
        <v>1743</v>
      </c>
      <c r="H28" s="8">
        <v>7</v>
      </c>
      <c r="I28" s="8">
        <f>COUNTIF($C$2:$E$164,"7")</f>
        <v>1</v>
      </c>
      <c r="J28" s="3" t="s">
        <v>1843</v>
      </c>
      <c r="L28">
        <f t="shared" si="0"/>
        <v>8.5470085470085479E-3</v>
      </c>
    </row>
    <row r="29" spans="1:12" ht="15" customHeight="1" x14ac:dyDescent="0.2">
      <c r="A29" s="45">
        <v>60</v>
      </c>
      <c r="B29" s="45" t="s">
        <v>312</v>
      </c>
      <c r="C29" s="8">
        <v>18</v>
      </c>
      <c r="G29" s="4" t="s">
        <v>1744</v>
      </c>
      <c r="H29" s="8">
        <v>8</v>
      </c>
      <c r="I29" s="8">
        <f>COUNTIF($C$2:$E$164,"8")</f>
        <v>1</v>
      </c>
      <c r="J29" s="3" t="s">
        <v>1844</v>
      </c>
      <c r="L29">
        <f t="shared" si="0"/>
        <v>8.5470085470085479E-3</v>
      </c>
    </row>
    <row r="30" spans="1:12" ht="15" customHeight="1" x14ac:dyDescent="0.2">
      <c r="A30" s="45">
        <v>61</v>
      </c>
      <c r="B30" s="45" t="s">
        <v>323</v>
      </c>
      <c r="C30" s="8">
        <v>1</v>
      </c>
      <c r="G30" s="4" t="s">
        <v>1746</v>
      </c>
      <c r="H30" s="8">
        <v>10</v>
      </c>
      <c r="I30" s="8">
        <f>COUNTIF($C$2:$E$164,"10")</f>
        <v>1</v>
      </c>
      <c r="J30" s="3" t="s">
        <v>1846</v>
      </c>
      <c r="L30">
        <f t="shared" si="0"/>
        <v>8.5470085470085479E-3</v>
      </c>
    </row>
    <row r="31" spans="1:12" ht="15" customHeight="1" x14ac:dyDescent="0.2">
      <c r="A31" s="45">
        <v>62</v>
      </c>
      <c r="B31" s="45" t="s">
        <v>333</v>
      </c>
      <c r="C31" s="8">
        <v>15</v>
      </c>
      <c r="G31" s="4" t="s">
        <v>1751</v>
      </c>
      <c r="H31" s="8">
        <v>16</v>
      </c>
      <c r="I31" s="8">
        <f>COUNTIF($C$2:$E$164,"16")</f>
        <v>1</v>
      </c>
      <c r="J31" s="3" t="s">
        <v>1853</v>
      </c>
      <c r="L31">
        <f t="shared" si="0"/>
        <v>8.5470085470085479E-3</v>
      </c>
    </row>
    <row r="32" spans="1:12" ht="15" customHeight="1" x14ac:dyDescent="0.2">
      <c r="A32" s="45">
        <v>65</v>
      </c>
      <c r="B32" s="45" t="s">
        <v>344</v>
      </c>
      <c r="C32" s="8">
        <v>1</v>
      </c>
      <c r="D32" s="8">
        <v>11</v>
      </c>
      <c r="G32" s="4" t="s">
        <v>1859</v>
      </c>
      <c r="H32" s="8">
        <v>19</v>
      </c>
      <c r="I32" s="8">
        <f>COUNTIF($C$2:$E$164,"19")</f>
        <v>1</v>
      </c>
      <c r="J32" s="3" t="s">
        <v>1856</v>
      </c>
      <c r="L32">
        <f t="shared" si="0"/>
        <v>8.5470085470085479E-3</v>
      </c>
    </row>
    <row r="33" spans="1:12" ht="15" customHeight="1" x14ac:dyDescent="0.2">
      <c r="A33" s="45">
        <v>70</v>
      </c>
      <c r="B33" s="45" t="s">
        <v>352</v>
      </c>
      <c r="C33" s="8">
        <v>4</v>
      </c>
      <c r="G33" s="4" t="s">
        <v>1755</v>
      </c>
      <c r="H33" s="8">
        <v>22</v>
      </c>
      <c r="I33" s="8">
        <f>COUNTIF($C$2:$E$164,"22")</f>
        <v>1</v>
      </c>
      <c r="J33" s="3" t="s">
        <v>1861</v>
      </c>
      <c r="L33">
        <f t="shared" si="0"/>
        <v>8.5470085470085479E-3</v>
      </c>
    </row>
    <row r="34" spans="1:12" ht="15" customHeight="1" x14ac:dyDescent="0.2">
      <c r="A34" s="45">
        <v>71</v>
      </c>
      <c r="B34" s="45" t="s">
        <v>361</v>
      </c>
      <c r="C34" s="8">
        <v>5</v>
      </c>
      <c r="G34" s="4" t="s">
        <v>1757</v>
      </c>
      <c r="H34" s="8">
        <v>24</v>
      </c>
      <c r="I34" s="8">
        <f>COUNTIF($C$2:$E$164,"24")</f>
        <v>1</v>
      </c>
      <c r="J34" s="3" t="s">
        <v>1863</v>
      </c>
      <c r="L34">
        <f t="shared" si="0"/>
        <v>8.5470085470085479E-3</v>
      </c>
    </row>
    <row r="35" spans="1:12" ht="15" customHeight="1" x14ac:dyDescent="0.2">
      <c r="A35" s="45">
        <v>72</v>
      </c>
      <c r="B35" s="45" t="s">
        <v>371</v>
      </c>
      <c r="C35" s="8">
        <v>19</v>
      </c>
      <c r="D35" s="8">
        <v>20</v>
      </c>
      <c r="G35" s="4" t="s">
        <v>1865</v>
      </c>
      <c r="H35" s="8">
        <v>25</v>
      </c>
      <c r="I35" s="8">
        <f>COUNTIF($C$2:$E$164,"25")</f>
        <v>1</v>
      </c>
      <c r="J35" s="3" t="s">
        <v>1864</v>
      </c>
      <c r="L35">
        <f t="shared" si="0"/>
        <v>8.5470085470085479E-3</v>
      </c>
    </row>
    <row r="36" spans="1:12" ht="15" customHeight="1" x14ac:dyDescent="0.2">
      <c r="A36" s="45">
        <v>74</v>
      </c>
      <c r="B36" s="45" t="s">
        <v>382</v>
      </c>
      <c r="C36" s="8">
        <v>15</v>
      </c>
      <c r="G36" s="4" t="s">
        <v>1758</v>
      </c>
      <c r="H36" s="8">
        <v>26</v>
      </c>
      <c r="I36" s="8">
        <f>COUNTIF($C$2:$E$164,"26")</f>
        <v>1</v>
      </c>
      <c r="J36" s="3" t="s">
        <v>1866</v>
      </c>
      <c r="L36">
        <f t="shared" si="0"/>
        <v>8.5470085470085479E-3</v>
      </c>
    </row>
    <row r="37" spans="1:12" ht="15" customHeight="1" x14ac:dyDescent="0.2">
      <c r="A37" s="45">
        <v>75</v>
      </c>
      <c r="B37" s="45" t="s">
        <v>390</v>
      </c>
      <c r="C37" s="8">
        <v>21</v>
      </c>
      <c r="G37" s="4" t="s">
        <v>1763</v>
      </c>
      <c r="H37" s="8">
        <v>32</v>
      </c>
      <c r="I37" s="8">
        <f>COUNTIF($C$2:$E$164,"32")</f>
        <v>1</v>
      </c>
      <c r="J37" s="3" t="s">
        <v>1873</v>
      </c>
      <c r="L37">
        <f t="shared" si="0"/>
        <v>8.5470085470085479E-3</v>
      </c>
    </row>
    <row r="38" spans="1:12" ht="15" customHeight="1" x14ac:dyDescent="0.2">
      <c r="A38" s="45">
        <v>76</v>
      </c>
      <c r="B38" s="45" t="s">
        <v>270</v>
      </c>
      <c r="C38" s="8" t="s">
        <v>270</v>
      </c>
      <c r="G38" s="4" t="s">
        <v>1764</v>
      </c>
      <c r="H38" s="8">
        <v>33</v>
      </c>
      <c r="I38" s="8">
        <f>COUNTIF($C$2:$E$164,"33")</f>
        <v>1</v>
      </c>
      <c r="J38" s="3" t="s">
        <v>1874</v>
      </c>
      <c r="L38">
        <f t="shared" si="0"/>
        <v>8.5470085470085479E-3</v>
      </c>
    </row>
    <row r="39" spans="1:12" ht="15" customHeight="1" x14ac:dyDescent="0.2">
      <c r="A39" s="45">
        <v>78</v>
      </c>
      <c r="B39" s="45" t="s">
        <v>270</v>
      </c>
      <c r="C39" s="8" t="s">
        <v>270</v>
      </c>
      <c r="G39" s="4" t="s">
        <v>1766</v>
      </c>
      <c r="H39" s="8">
        <v>36</v>
      </c>
      <c r="I39" s="8">
        <f>COUNTIF($C$2:$E$164,"36")</f>
        <v>1</v>
      </c>
      <c r="J39" s="3" t="s">
        <v>1876</v>
      </c>
      <c r="L39">
        <f t="shared" si="0"/>
        <v>8.5470085470085479E-3</v>
      </c>
    </row>
    <row r="40" spans="1:12" ht="15" customHeight="1" x14ac:dyDescent="0.2">
      <c r="A40" s="45">
        <v>79</v>
      </c>
      <c r="B40" s="45" t="s">
        <v>418</v>
      </c>
      <c r="C40" s="8">
        <v>2</v>
      </c>
      <c r="D40" s="8">
        <v>12</v>
      </c>
      <c r="G40" s="4" t="s">
        <v>1767</v>
      </c>
      <c r="H40" s="8">
        <v>37</v>
      </c>
      <c r="I40" s="8">
        <f>COUNTIF($C$2:$E$164,"37")</f>
        <v>1</v>
      </c>
      <c r="J40" s="3" t="s">
        <v>1877</v>
      </c>
      <c r="L40">
        <f t="shared" si="0"/>
        <v>8.5470085470085479E-3</v>
      </c>
    </row>
    <row r="41" spans="1:12" ht="15" customHeight="1" x14ac:dyDescent="0.2">
      <c r="A41" s="45">
        <v>80</v>
      </c>
      <c r="B41" s="45" t="s">
        <v>270</v>
      </c>
      <c r="C41" s="8" t="s">
        <v>270</v>
      </c>
      <c r="G41" s="4" t="s">
        <v>810</v>
      </c>
      <c r="H41" s="8">
        <v>38</v>
      </c>
      <c r="I41" s="8">
        <v>1</v>
      </c>
      <c r="J41" s="3" t="s">
        <v>1879</v>
      </c>
      <c r="L41">
        <f t="shared" si="0"/>
        <v>8.5470085470085479E-3</v>
      </c>
    </row>
    <row r="42" spans="1:12" ht="15" customHeight="1" x14ac:dyDescent="0.2">
      <c r="A42" s="45">
        <v>87</v>
      </c>
      <c r="B42" s="45" t="s">
        <v>436</v>
      </c>
      <c r="C42" s="8">
        <v>17</v>
      </c>
      <c r="D42" s="8">
        <v>13</v>
      </c>
      <c r="G42" s="4" t="s">
        <v>810</v>
      </c>
      <c r="H42" s="8">
        <v>39</v>
      </c>
      <c r="I42" s="8">
        <v>1</v>
      </c>
      <c r="J42" s="3" t="s">
        <v>1880</v>
      </c>
      <c r="L42">
        <f t="shared" si="0"/>
        <v>8.5470085470085479E-3</v>
      </c>
    </row>
    <row r="43" spans="1:12" ht="15" customHeight="1" x14ac:dyDescent="0.2">
      <c r="A43" s="45">
        <v>89</v>
      </c>
      <c r="B43" s="45" t="s">
        <v>447</v>
      </c>
      <c r="C43" s="8">
        <v>22</v>
      </c>
    </row>
    <row r="44" spans="1:12" ht="15" customHeight="1" x14ac:dyDescent="0.2">
      <c r="A44" s="45">
        <v>90</v>
      </c>
      <c r="B44" s="45" t="s">
        <v>458</v>
      </c>
      <c r="C44" s="8">
        <v>99</v>
      </c>
    </row>
    <row r="45" spans="1:12" ht="15" customHeight="1" x14ac:dyDescent="0.2">
      <c r="A45" s="45">
        <v>91</v>
      </c>
      <c r="B45" s="45" t="s">
        <v>467</v>
      </c>
      <c r="C45" s="8">
        <v>5</v>
      </c>
    </row>
    <row r="46" spans="1:12" ht="15" customHeight="1" x14ac:dyDescent="0.2">
      <c r="A46" s="45">
        <v>92</v>
      </c>
      <c r="B46" s="45" t="s">
        <v>474</v>
      </c>
      <c r="C46" s="8">
        <v>4</v>
      </c>
    </row>
    <row r="47" spans="1:12" ht="15" customHeight="1" x14ac:dyDescent="0.2">
      <c r="A47" s="45">
        <v>93</v>
      </c>
      <c r="B47" s="45" t="s">
        <v>483</v>
      </c>
      <c r="C47" s="8" t="s">
        <v>270</v>
      </c>
    </row>
    <row r="48" spans="1:12" ht="15" customHeight="1" x14ac:dyDescent="0.2">
      <c r="A48" s="45">
        <v>95</v>
      </c>
      <c r="B48" s="45" t="s">
        <v>494</v>
      </c>
      <c r="C48" s="8">
        <v>99</v>
      </c>
    </row>
    <row r="49" spans="1:4" ht="15" customHeight="1" x14ac:dyDescent="0.2">
      <c r="A49" s="45">
        <v>96</v>
      </c>
      <c r="B49" s="45" t="s">
        <v>46</v>
      </c>
      <c r="C49" s="8" t="s">
        <v>270</v>
      </c>
    </row>
    <row r="50" spans="1:4" ht="15" customHeight="1" x14ac:dyDescent="0.2">
      <c r="A50" s="45">
        <v>100</v>
      </c>
      <c r="B50" s="45" t="s">
        <v>513</v>
      </c>
      <c r="C50" s="8">
        <v>17</v>
      </c>
    </row>
    <row r="51" spans="1:4" ht="15" customHeight="1" x14ac:dyDescent="0.2">
      <c r="A51" s="45">
        <v>104</v>
      </c>
      <c r="B51" s="45" t="s">
        <v>521</v>
      </c>
      <c r="C51" s="8">
        <v>23</v>
      </c>
    </row>
    <row r="52" spans="1:4" ht="15" customHeight="1" x14ac:dyDescent="0.2">
      <c r="A52" s="45">
        <v>107</v>
      </c>
      <c r="B52" s="45" t="s">
        <v>529</v>
      </c>
      <c r="C52" s="8">
        <v>15</v>
      </c>
    </row>
    <row r="53" spans="1:4" ht="15" customHeight="1" x14ac:dyDescent="0.2">
      <c r="A53" s="45">
        <v>109</v>
      </c>
      <c r="B53" s="45" t="s">
        <v>540</v>
      </c>
      <c r="C53" s="8">
        <v>99</v>
      </c>
    </row>
    <row r="54" spans="1:4" ht="15" customHeight="1" x14ac:dyDescent="0.2">
      <c r="A54" s="45">
        <v>110</v>
      </c>
      <c r="B54" s="45" t="s">
        <v>549</v>
      </c>
      <c r="C54" s="8">
        <v>24</v>
      </c>
    </row>
    <row r="55" spans="1:4" ht="15" customHeight="1" x14ac:dyDescent="0.2">
      <c r="A55" s="45">
        <v>112</v>
      </c>
      <c r="B55" s="45" t="s">
        <v>557</v>
      </c>
      <c r="C55" s="8">
        <v>1</v>
      </c>
    </row>
    <row r="56" spans="1:4" ht="15" customHeight="1" x14ac:dyDescent="0.2">
      <c r="A56" s="45">
        <v>118</v>
      </c>
      <c r="B56" s="45" t="s">
        <v>567</v>
      </c>
      <c r="C56" s="8">
        <v>4</v>
      </c>
      <c r="D56" s="8">
        <v>5</v>
      </c>
    </row>
    <row r="57" spans="1:4" ht="15" customHeight="1" x14ac:dyDescent="0.2">
      <c r="A57" s="45">
        <v>119</v>
      </c>
      <c r="B57" s="45" t="s">
        <v>577</v>
      </c>
      <c r="C57" s="8" t="s">
        <v>270</v>
      </c>
    </row>
    <row r="58" spans="1:4" ht="15" customHeight="1" x14ac:dyDescent="0.2">
      <c r="A58" s="45">
        <v>120</v>
      </c>
      <c r="B58" s="45" t="s">
        <v>582</v>
      </c>
      <c r="C58" s="8">
        <v>0</v>
      </c>
    </row>
    <row r="59" spans="1:4" ht="15" customHeight="1" x14ac:dyDescent="0.2">
      <c r="A59" s="45">
        <v>121</v>
      </c>
      <c r="B59" s="45" t="s">
        <v>589</v>
      </c>
      <c r="C59" s="8">
        <v>17</v>
      </c>
    </row>
    <row r="60" spans="1:4" ht="15" customHeight="1" x14ac:dyDescent="0.2">
      <c r="A60" s="45">
        <v>122</v>
      </c>
      <c r="B60" s="45" t="s">
        <v>270</v>
      </c>
      <c r="C60" s="8" t="s">
        <v>270</v>
      </c>
    </row>
    <row r="61" spans="1:4" ht="15" customHeight="1" x14ac:dyDescent="0.2">
      <c r="A61" s="45">
        <v>127</v>
      </c>
      <c r="B61" s="45" t="s">
        <v>605</v>
      </c>
      <c r="C61" s="8" t="s">
        <v>270</v>
      </c>
    </row>
    <row r="62" spans="1:4" ht="15" customHeight="1" x14ac:dyDescent="0.2">
      <c r="A62" s="45">
        <v>128</v>
      </c>
      <c r="B62" s="45" t="s">
        <v>615</v>
      </c>
      <c r="C62" s="8">
        <v>2</v>
      </c>
    </row>
    <row r="63" spans="1:4" ht="15" customHeight="1" x14ac:dyDescent="0.2">
      <c r="A63" s="45">
        <v>132</v>
      </c>
      <c r="B63" s="45" t="s">
        <v>622</v>
      </c>
      <c r="C63" s="8">
        <v>23</v>
      </c>
      <c r="D63" s="8">
        <v>25</v>
      </c>
    </row>
    <row r="64" spans="1:4" ht="15" customHeight="1" x14ac:dyDescent="0.2">
      <c r="A64" s="45">
        <v>135</v>
      </c>
      <c r="B64" s="45" t="s">
        <v>631</v>
      </c>
      <c r="C64" s="8">
        <v>99</v>
      </c>
    </row>
    <row r="65" spans="1:5" ht="15" customHeight="1" x14ac:dyDescent="0.2">
      <c r="A65" s="45">
        <v>136</v>
      </c>
      <c r="B65" s="45" t="s">
        <v>641</v>
      </c>
      <c r="C65" s="8">
        <v>12</v>
      </c>
    </row>
    <row r="66" spans="1:5" ht="15" customHeight="1" x14ac:dyDescent="0.2">
      <c r="A66" s="45">
        <v>138</v>
      </c>
      <c r="B66" s="45" t="s">
        <v>650</v>
      </c>
      <c r="C66" s="8" t="s">
        <v>270</v>
      </c>
    </row>
    <row r="67" spans="1:5" ht="15" customHeight="1" x14ac:dyDescent="0.2">
      <c r="A67" s="45">
        <v>139</v>
      </c>
      <c r="B67" s="45" t="s">
        <v>658</v>
      </c>
      <c r="C67" s="8">
        <v>99</v>
      </c>
    </row>
    <row r="68" spans="1:5" ht="15" customHeight="1" x14ac:dyDescent="0.2">
      <c r="A68" s="45">
        <v>140</v>
      </c>
      <c r="B68" s="45" t="s">
        <v>669</v>
      </c>
      <c r="C68" s="8">
        <v>20</v>
      </c>
      <c r="D68" s="8">
        <v>26</v>
      </c>
    </row>
    <row r="69" spans="1:5" ht="15" customHeight="1" x14ac:dyDescent="0.2">
      <c r="A69" s="45">
        <v>148</v>
      </c>
      <c r="B69" s="45" t="s">
        <v>678</v>
      </c>
      <c r="C69" s="8" t="s">
        <v>270</v>
      </c>
    </row>
    <row r="70" spans="1:5" ht="15" customHeight="1" x14ac:dyDescent="0.2">
      <c r="A70" s="45">
        <v>149</v>
      </c>
      <c r="B70" s="45" t="s">
        <v>687</v>
      </c>
      <c r="C70" s="8" t="s">
        <v>270</v>
      </c>
    </row>
    <row r="71" spans="1:5" ht="15" customHeight="1" x14ac:dyDescent="0.2">
      <c r="A71" s="45">
        <v>150</v>
      </c>
      <c r="B71" s="45" t="s">
        <v>693</v>
      </c>
      <c r="C71" s="8">
        <v>1</v>
      </c>
    </row>
    <row r="72" spans="1:5" ht="15" customHeight="1" x14ac:dyDescent="0.2">
      <c r="A72" s="45">
        <v>151</v>
      </c>
      <c r="B72" s="45" t="s">
        <v>705</v>
      </c>
      <c r="C72" s="8">
        <v>99</v>
      </c>
    </row>
    <row r="73" spans="1:5" ht="15" customHeight="1" x14ac:dyDescent="0.2">
      <c r="A73" s="45">
        <v>152</v>
      </c>
      <c r="B73" s="45" t="s">
        <v>714</v>
      </c>
      <c r="C73" s="8">
        <v>4</v>
      </c>
    </row>
    <row r="74" spans="1:5" ht="15" customHeight="1" x14ac:dyDescent="0.2">
      <c r="A74" s="45">
        <v>153</v>
      </c>
      <c r="B74" s="45" t="s">
        <v>725</v>
      </c>
      <c r="C74" s="8">
        <v>6</v>
      </c>
    </row>
    <row r="75" spans="1:5" ht="15" customHeight="1" x14ac:dyDescent="0.2">
      <c r="A75" s="45">
        <v>157</v>
      </c>
      <c r="B75" s="45" t="s">
        <v>1868</v>
      </c>
      <c r="C75" s="8">
        <v>28</v>
      </c>
    </row>
    <row r="76" spans="1:5" ht="15" customHeight="1" x14ac:dyDescent="0.2">
      <c r="A76" s="45">
        <v>156</v>
      </c>
      <c r="B76" s="45" t="s">
        <v>744</v>
      </c>
      <c r="C76" s="8">
        <v>27</v>
      </c>
    </row>
    <row r="77" spans="1:5" ht="15" customHeight="1" x14ac:dyDescent="0.2">
      <c r="A77" s="45">
        <v>162</v>
      </c>
      <c r="B77" s="45" t="s">
        <v>754</v>
      </c>
      <c r="C77" s="8">
        <v>21</v>
      </c>
    </row>
    <row r="78" spans="1:5" ht="15" customHeight="1" x14ac:dyDescent="0.2">
      <c r="A78" s="45">
        <v>164</v>
      </c>
      <c r="B78" s="45" t="s">
        <v>765</v>
      </c>
      <c r="C78" s="8">
        <v>5</v>
      </c>
    </row>
    <row r="79" spans="1:5" ht="15" customHeight="1" x14ac:dyDescent="0.2">
      <c r="A79" s="45">
        <v>166</v>
      </c>
      <c r="B79" s="45" t="s">
        <v>771</v>
      </c>
      <c r="C79" s="8">
        <v>0</v>
      </c>
    </row>
    <row r="80" spans="1:5" ht="15" customHeight="1" x14ac:dyDescent="0.2">
      <c r="A80" s="45">
        <v>170</v>
      </c>
      <c r="B80" s="45" t="s">
        <v>777</v>
      </c>
      <c r="C80" s="8">
        <v>2</v>
      </c>
      <c r="D80" s="8">
        <v>29</v>
      </c>
      <c r="E80" s="8">
        <v>30</v>
      </c>
    </row>
    <row r="81" spans="1:4" ht="15" customHeight="1" x14ac:dyDescent="0.2">
      <c r="A81" s="45">
        <v>173</v>
      </c>
      <c r="B81" s="45" t="s">
        <v>788</v>
      </c>
      <c r="C81" s="8">
        <v>14</v>
      </c>
    </row>
    <row r="82" spans="1:4" ht="15" customHeight="1" x14ac:dyDescent="0.2">
      <c r="A82" s="45">
        <v>175</v>
      </c>
      <c r="B82" s="45" t="s">
        <v>797</v>
      </c>
      <c r="C82" s="8">
        <v>17</v>
      </c>
    </row>
    <row r="83" spans="1:4" ht="15" customHeight="1" x14ac:dyDescent="0.2">
      <c r="A83" s="45">
        <v>178</v>
      </c>
      <c r="B83" s="45" t="s">
        <v>806</v>
      </c>
      <c r="C83" s="8">
        <v>31</v>
      </c>
    </row>
    <row r="84" spans="1:4" ht="15" customHeight="1" x14ac:dyDescent="0.2">
      <c r="A84" s="45">
        <v>183</v>
      </c>
      <c r="B84" s="45" t="s">
        <v>815</v>
      </c>
      <c r="C84" s="8">
        <v>17</v>
      </c>
    </row>
    <row r="85" spans="1:4" ht="15" customHeight="1" x14ac:dyDescent="0.2">
      <c r="A85" s="45">
        <v>185</v>
      </c>
      <c r="B85" s="45" t="s">
        <v>825</v>
      </c>
      <c r="C85" s="8">
        <v>4</v>
      </c>
    </row>
    <row r="86" spans="1:4" ht="15" customHeight="1" x14ac:dyDescent="0.2">
      <c r="A86" s="45">
        <v>186</v>
      </c>
      <c r="B86" s="45" t="s">
        <v>200</v>
      </c>
      <c r="C86" s="8" t="s">
        <v>270</v>
      </c>
    </row>
    <row r="87" spans="1:4" ht="15" customHeight="1" x14ac:dyDescent="0.2">
      <c r="A87" s="45">
        <v>189</v>
      </c>
      <c r="B87" s="45" t="s">
        <v>841</v>
      </c>
      <c r="C87" s="8">
        <v>15</v>
      </c>
    </row>
    <row r="88" spans="1:4" ht="15" customHeight="1" x14ac:dyDescent="0.2">
      <c r="A88" s="45">
        <v>190</v>
      </c>
      <c r="B88" s="45" t="s">
        <v>847</v>
      </c>
      <c r="C88" s="8">
        <v>15</v>
      </c>
      <c r="D88" s="8">
        <v>2</v>
      </c>
    </row>
    <row r="89" spans="1:4" ht="15" customHeight="1" x14ac:dyDescent="0.2">
      <c r="A89" s="45">
        <v>192</v>
      </c>
      <c r="B89" s="45" t="s">
        <v>859</v>
      </c>
      <c r="C89" s="8">
        <v>9</v>
      </c>
    </row>
    <row r="90" spans="1:4" ht="15" customHeight="1" x14ac:dyDescent="0.2">
      <c r="A90" s="45">
        <v>193</v>
      </c>
      <c r="B90" s="45" t="s">
        <v>868</v>
      </c>
      <c r="C90" s="8">
        <v>5</v>
      </c>
    </row>
    <row r="91" spans="1:4" ht="15" customHeight="1" x14ac:dyDescent="0.2">
      <c r="A91" s="45">
        <v>196</v>
      </c>
      <c r="B91" s="45" t="s">
        <v>877</v>
      </c>
      <c r="C91" s="8">
        <v>99</v>
      </c>
    </row>
    <row r="92" spans="1:4" ht="15" customHeight="1" x14ac:dyDescent="0.2">
      <c r="A92" s="45">
        <v>197</v>
      </c>
      <c r="B92" s="45" t="s">
        <v>883</v>
      </c>
      <c r="C92" s="8" t="s">
        <v>270</v>
      </c>
    </row>
    <row r="93" spans="1:4" ht="15" customHeight="1" x14ac:dyDescent="0.2">
      <c r="A93" s="45">
        <v>200</v>
      </c>
      <c r="B93" s="45" t="s">
        <v>46</v>
      </c>
      <c r="C93" s="8" t="s">
        <v>270</v>
      </c>
    </row>
    <row r="94" spans="1:4" ht="15" customHeight="1" x14ac:dyDescent="0.2">
      <c r="A94" s="45">
        <v>203</v>
      </c>
      <c r="B94" s="45" t="s">
        <v>896</v>
      </c>
      <c r="C94" s="8" t="s">
        <v>270</v>
      </c>
    </row>
    <row r="95" spans="1:4" ht="15" customHeight="1" x14ac:dyDescent="0.2">
      <c r="A95" s="45">
        <v>204</v>
      </c>
      <c r="B95" s="45" t="s">
        <v>906</v>
      </c>
      <c r="C95" s="8">
        <v>31</v>
      </c>
    </row>
    <row r="96" spans="1:4" ht="15" customHeight="1" x14ac:dyDescent="0.2">
      <c r="A96" s="45">
        <v>207</v>
      </c>
      <c r="B96" s="45" t="s">
        <v>913</v>
      </c>
      <c r="C96" s="8">
        <v>18</v>
      </c>
    </row>
    <row r="97" spans="1:5" ht="15" customHeight="1" x14ac:dyDescent="0.2">
      <c r="A97" s="45">
        <v>208</v>
      </c>
      <c r="B97" s="45" t="s">
        <v>270</v>
      </c>
      <c r="C97" s="8" t="s">
        <v>270</v>
      </c>
    </row>
    <row r="98" spans="1:5" ht="15" customHeight="1" x14ac:dyDescent="0.2">
      <c r="A98" s="45">
        <v>210</v>
      </c>
      <c r="B98" s="45" t="s">
        <v>928</v>
      </c>
      <c r="C98" s="8">
        <v>31</v>
      </c>
      <c r="D98" s="8">
        <v>13</v>
      </c>
    </row>
    <row r="99" spans="1:5" ht="15" customHeight="1" x14ac:dyDescent="0.2">
      <c r="A99" s="45">
        <v>212</v>
      </c>
      <c r="B99" s="45" t="s">
        <v>937</v>
      </c>
      <c r="C99" s="8">
        <v>32</v>
      </c>
    </row>
    <row r="100" spans="1:5" ht="15" customHeight="1" x14ac:dyDescent="0.2">
      <c r="A100" s="45">
        <v>215</v>
      </c>
      <c r="B100" s="45" t="s">
        <v>948</v>
      </c>
      <c r="C100" s="8">
        <v>1</v>
      </c>
    </row>
    <row r="101" spans="1:5" ht="15" customHeight="1" x14ac:dyDescent="0.2">
      <c r="A101" s="45">
        <v>217</v>
      </c>
      <c r="B101" s="45" t="s">
        <v>650</v>
      </c>
      <c r="C101" s="8" t="s">
        <v>270</v>
      </c>
    </row>
    <row r="102" spans="1:5" ht="15" customHeight="1" x14ac:dyDescent="0.2">
      <c r="A102" s="45">
        <v>219</v>
      </c>
      <c r="B102" s="45" t="s">
        <v>964</v>
      </c>
      <c r="C102" s="8">
        <v>2</v>
      </c>
    </row>
    <row r="103" spans="1:5" ht="15" customHeight="1" x14ac:dyDescent="0.2">
      <c r="A103" s="45">
        <v>221</v>
      </c>
      <c r="B103" s="45" t="s">
        <v>973</v>
      </c>
      <c r="C103" s="8">
        <v>13</v>
      </c>
      <c r="D103" s="8">
        <v>2</v>
      </c>
      <c r="E103" s="8">
        <v>12</v>
      </c>
    </row>
    <row r="104" spans="1:5" ht="15" customHeight="1" x14ac:dyDescent="0.2">
      <c r="A104" s="45">
        <v>222</v>
      </c>
      <c r="B104" s="48" t="s">
        <v>981</v>
      </c>
      <c r="C104" s="8">
        <v>38</v>
      </c>
    </row>
    <row r="105" spans="1:5" ht="15" customHeight="1" x14ac:dyDescent="0.2">
      <c r="A105" s="45">
        <v>223</v>
      </c>
      <c r="B105" s="45" t="s">
        <v>987</v>
      </c>
      <c r="C105" s="8">
        <v>4</v>
      </c>
    </row>
    <row r="106" spans="1:5" ht="15" customHeight="1" x14ac:dyDescent="0.2">
      <c r="A106" s="45">
        <v>226</v>
      </c>
      <c r="B106" s="45" t="s">
        <v>993</v>
      </c>
      <c r="C106" s="8">
        <v>17</v>
      </c>
    </row>
    <row r="107" spans="1:5" ht="15" customHeight="1" x14ac:dyDescent="0.2">
      <c r="A107" s="45">
        <v>231</v>
      </c>
      <c r="B107" s="45" t="s">
        <v>1003</v>
      </c>
      <c r="C107" s="8">
        <v>17</v>
      </c>
    </row>
    <row r="108" spans="1:5" ht="15" customHeight="1" x14ac:dyDescent="0.2">
      <c r="A108" s="45">
        <v>232</v>
      </c>
      <c r="B108" s="45" t="s">
        <v>1012</v>
      </c>
      <c r="C108" s="8">
        <v>3</v>
      </c>
    </row>
    <row r="109" spans="1:5" ht="15" customHeight="1" x14ac:dyDescent="0.2">
      <c r="A109" s="45">
        <v>233</v>
      </c>
      <c r="B109" s="45" t="s">
        <v>1022</v>
      </c>
      <c r="C109" s="8" t="s">
        <v>270</v>
      </c>
    </row>
    <row r="110" spans="1:5" ht="15" customHeight="1" x14ac:dyDescent="0.2">
      <c r="A110" s="45">
        <v>236</v>
      </c>
      <c r="B110" s="45" t="s">
        <v>1030</v>
      </c>
      <c r="C110" s="8">
        <v>17</v>
      </c>
    </row>
    <row r="111" spans="1:5" ht="15" customHeight="1" x14ac:dyDescent="0.2">
      <c r="A111" s="45">
        <v>238</v>
      </c>
      <c r="B111" s="45" t="s">
        <v>1041</v>
      </c>
      <c r="C111" s="8">
        <v>2</v>
      </c>
      <c r="D111" s="8">
        <v>11</v>
      </c>
    </row>
    <row r="112" spans="1:5" ht="15" customHeight="1" x14ac:dyDescent="0.2">
      <c r="A112" s="45">
        <v>241</v>
      </c>
      <c r="B112" s="45" t="s">
        <v>1051</v>
      </c>
      <c r="C112" s="8">
        <v>23</v>
      </c>
    </row>
    <row r="113" spans="1:5" ht="15" customHeight="1" x14ac:dyDescent="0.2">
      <c r="A113" s="45">
        <v>242</v>
      </c>
      <c r="B113" s="45" t="s">
        <v>1059</v>
      </c>
      <c r="C113" s="8">
        <v>5</v>
      </c>
    </row>
    <row r="114" spans="1:5" ht="15" customHeight="1" x14ac:dyDescent="0.2">
      <c r="A114" s="45">
        <v>245</v>
      </c>
      <c r="B114" s="48" t="s">
        <v>1063</v>
      </c>
      <c r="C114" s="8">
        <v>39</v>
      </c>
    </row>
    <row r="115" spans="1:5" ht="15" customHeight="1" x14ac:dyDescent="0.2">
      <c r="A115" s="45">
        <v>247</v>
      </c>
      <c r="B115" s="45" t="s">
        <v>1072</v>
      </c>
      <c r="C115" s="8">
        <v>2</v>
      </c>
      <c r="D115" s="8">
        <v>4</v>
      </c>
      <c r="E115" s="8">
        <v>17</v>
      </c>
    </row>
    <row r="116" spans="1:5" ht="15" customHeight="1" x14ac:dyDescent="0.2">
      <c r="A116" s="45">
        <v>249</v>
      </c>
      <c r="B116" s="45" t="s">
        <v>1082</v>
      </c>
      <c r="C116" s="8" t="s">
        <v>270</v>
      </c>
    </row>
    <row r="117" spans="1:5" ht="15" customHeight="1" x14ac:dyDescent="0.2">
      <c r="A117" s="45">
        <v>250</v>
      </c>
      <c r="B117" s="45" t="s">
        <v>1548</v>
      </c>
      <c r="C117" s="8">
        <v>21</v>
      </c>
      <c r="D117" s="8">
        <v>4</v>
      </c>
      <c r="E117" s="8">
        <v>33</v>
      </c>
    </row>
    <row r="118" spans="1:5" ht="15" customHeight="1" x14ac:dyDescent="0.2">
      <c r="A118" s="45">
        <v>254</v>
      </c>
      <c r="B118" s="45" t="s">
        <v>1101</v>
      </c>
      <c r="C118" s="8">
        <v>5</v>
      </c>
    </row>
    <row r="119" spans="1:5" ht="15" customHeight="1" x14ac:dyDescent="0.2">
      <c r="A119" s="45">
        <v>256</v>
      </c>
      <c r="B119" s="45" t="s">
        <v>1109</v>
      </c>
      <c r="C119" s="8" t="s">
        <v>270</v>
      </c>
    </row>
    <row r="120" spans="1:5" ht="15" customHeight="1" x14ac:dyDescent="0.2">
      <c r="A120" s="45">
        <v>257</v>
      </c>
      <c r="B120" s="45" t="s">
        <v>1118</v>
      </c>
      <c r="C120" s="8">
        <v>28</v>
      </c>
    </row>
    <row r="121" spans="1:5" ht="15" customHeight="1" x14ac:dyDescent="0.2">
      <c r="A121" s="45">
        <v>260</v>
      </c>
      <c r="B121" s="45" t="s">
        <v>1129</v>
      </c>
      <c r="C121" s="8">
        <v>34</v>
      </c>
    </row>
    <row r="122" spans="1:5" ht="15" customHeight="1" x14ac:dyDescent="0.2">
      <c r="A122" s="45">
        <v>262</v>
      </c>
      <c r="B122" s="45" t="s">
        <v>1138</v>
      </c>
      <c r="C122" s="8">
        <v>17</v>
      </c>
      <c r="D122" s="8">
        <v>29</v>
      </c>
    </row>
    <row r="123" spans="1:5" ht="15" customHeight="1" x14ac:dyDescent="0.2">
      <c r="A123" s="45">
        <v>263</v>
      </c>
      <c r="B123" s="45" t="s">
        <v>1149</v>
      </c>
      <c r="C123" s="8">
        <v>5</v>
      </c>
    </row>
    <row r="124" spans="1:5" ht="15" customHeight="1" x14ac:dyDescent="0.2">
      <c r="A124" s="45">
        <v>272</v>
      </c>
      <c r="B124" s="45" t="s">
        <v>1159</v>
      </c>
      <c r="C124" s="8">
        <v>5</v>
      </c>
    </row>
    <row r="125" spans="1:5" ht="15" customHeight="1" x14ac:dyDescent="0.2">
      <c r="A125" s="45">
        <v>273</v>
      </c>
      <c r="B125" s="45" t="s">
        <v>1167</v>
      </c>
      <c r="C125" s="8">
        <v>12</v>
      </c>
    </row>
    <row r="126" spans="1:5" ht="15" customHeight="1" x14ac:dyDescent="0.2">
      <c r="A126" s="45">
        <v>280</v>
      </c>
      <c r="B126" s="45" t="s">
        <v>1176</v>
      </c>
      <c r="C126" s="8">
        <v>23</v>
      </c>
      <c r="D126" s="8">
        <v>1</v>
      </c>
    </row>
    <row r="127" spans="1:5" ht="15" customHeight="1" x14ac:dyDescent="0.2">
      <c r="A127" s="45">
        <v>282</v>
      </c>
      <c r="B127" s="45" t="s">
        <v>1187</v>
      </c>
      <c r="C127" s="8">
        <v>36</v>
      </c>
    </row>
    <row r="128" spans="1:5" ht="15" customHeight="1" x14ac:dyDescent="0.2">
      <c r="A128" s="45">
        <v>286</v>
      </c>
      <c r="B128" s="45" t="s">
        <v>1197</v>
      </c>
      <c r="C128" s="8">
        <v>17</v>
      </c>
      <c r="D128" s="8">
        <v>2</v>
      </c>
    </row>
    <row r="129" spans="1:5" ht="15" customHeight="1" x14ac:dyDescent="0.2">
      <c r="A129" s="45">
        <v>287</v>
      </c>
      <c r="B129" s="45" t="s">
        <v>1209</v>
      </c>
      <c r="C129" s="8">
        <v>4</v>
      </c>
      <c r="D129" s="8">
        <v>17</v>
      </c>
    </row>
    <row r="130" spans="1:5" ht="15" customHeight="1" x14ac:dyDescent="0.2">
      <c r="A130" s="45">
        <v>288</v>
      </c>
      <c r="B130" s="45" t="s">
        <v>1217</v>
      </c>
      <c r="C130" s="8">
        <v>5</v>
      </c>
    </row>
    <row r="131" spans="1:5" ht="15" customHeight="1" x14ac:dyDescent="0.2">
      <c r="A131" s="45">
        <v>289</v>
      </c>
      <c r="B131" s="45" t="s">
        <v>1226</v>
      </c>
      <c r="C131" s="8">
        <v>5</v>
      </c>
    </row>
    <row r="132" spans="1:5" ht="15" customHeight="1" x14ac:dyDescent="0.2">
      <c r="A132" s="45">
        <v>290</v>
      </c>
      <c r="B132" s="45" t="s">
        <v>1232</v>
      </c>
      <c r="C132" s="8" t="s">
        <v>270</v>
      </c>
    </row>
    <row r="133" spans="1:5" ht="15" customHeight="1" x14ac:dyDescent="0.2">
      <c r="A133" s="45">
        <v>291</v>
      </c>
      <c r="B133" s="45" t="s">
        <v>1240</v>
      </c>
      <c r="C133" s="8">
        <v>17</v>
      </c>
      <c r="D133" s="8">
        <v>2</v>
      </c>
    </row>
    <row r="134" spans="1:5" ht="15" customHeight="1" x14ac:dyDescent="0.2">
      <c r="A134" s="45">
        <v>293</v>
      </c>
      <c r="B134" s="45" t="s">
        <v>1248</v>
      </c>
      <c r="C134" s="8">
        <v>17</v>
      </c>
      <c r="D134" s="8">
        <v>27</v>
      </c>
    </row>
    <row r="135" spans="1:5" ht="15" customHeight="1" x14ac:dyDescent="0.2">
      <c r="A135" s="45">
        <v>294</v>
      </c>
      <c r="B135" s="45" t="s">
        <v>270</v>
      </c>
      <c r="C135" s="8" t="s">
        <v>270</v>
      </c>
    </row>
    <row r="136" spans="1:5" ht="15" customHeight="1" x14ac:dyDescent="0.2">
      <c r="A136" s="45">
        <v>295</v>
      </c>
      <c r="B136" s="45" t="s">
        <v>1267</v>
      </c>
      <c r="C136" s="8">
        <v>1</v>
      </c>
      <c r="D136" s="8">
        <v>12</v>
      </c>
    </row>
    <row r="137" spans="1:5" ht="15" customHeight="1" x14ac:dyDescent="0.2">
      <c r="A137" s="45">
        <v>297</v>
      </c>
      <c r="B137" s="45" t="s">
        <v>1276</v>
      </c>
      <c r="C137" s="8" t="s">
        <v>270</v>
      </c>
    </row>
    <row r="138" spans="1:5" ht="15" customHeight="1" x14ac:dyDescent="0.2">
      <c r="A138" s="45">
        <v>298</v>
      </c>
      <c r="B138" s="45" t="s">
        <v>1286</v>
      </c>
      <c r="C138" s="8" t="s">
        <v>270</v>
      </c>
    </row>
    <row r="139" spans="1:5" ht="15" customHeight="1" x14ac:dyDescent="0.2">
      <c r="A139" s="45">
        <v>300</v>
      </c>
      <c r="B139" s="45" t="s">
        <v>1294</v>
      </c>
      <c r="C139" s="8">
        <v>2</v>
      </c>
      <c r="D139" s="8">
        <v>5</v>
      </c>
    </row>
    <row r="140" spans="1:5" ht="15" customHeight="1" x14ac:dyDescent="0.2">
      <c r="A140" s="45">
        <v>301</v>
      </c>
      <c r="B140" s="45" t="s">
        <v>270</v>
      </c>
      <c r="C140" s="8" t="s">
        <v>270</v>
      </c>
    </row>
    <row r="141" spans="1:5" ht="15" customHeight="1" x14ac:dyDescent="0.2">
      <c r="A141" s="45">
        <v>302</v>
      </c>
      <c r="B141" s="45" t="s">
        <v>1308</v>
      </c>
      <c r="C141" s="8">
        <v>2</v>
      </c>
      <c r="D141" s="8">
        <v>17</v>
      </c>
      <c r="E141" s="8">
        <v>30</v>
      </c>
    </row>
    <row r="142" spans="1:5" ht="15" customHeight="1" x14ac:dyDescent="0.2">
      <c r="A142" s="45">
        <v>303</v>
      </c>
      <c r="B142" s="45" t="s">
        <v>270</v>
      </c>
      <c r="C142" s="8" t="s">
        <v>270</v>
      </c>
    </row>
    <row r="143" spans="1:5" ht="15" customHeight="1" x14ac:dyDescent="0.2">
      <c r="A143" s="45">
        <v>304</v>
      </c>
      <c r="B143" s="45" t="s">
        <v>1324</v>
      </c>
      <c r="C143" s="8">
        <v>2</v>
      </c>
    </row>
    <row r="144" spans="1:5" ht="15" customHeight="1" x14ac:dyDescent="0.2">
      <c r="A144" s="45">
        <v>305</v>
      </c>
      <c r="B144" s="45" t="s">
        <v>650</v>
      </c>
      <c r="C144" s="8" t="s">
        <v>270</v>
      </c>
    </row>
    <row r="145" spans="1:5" ht="15" customHeight="1" x14ac:dyDescent="0.2">
      <c r="A145" s="45">
        <v>307</v>
      </c>
      <c r="B145" s="45" t="s">
        <v>270</v>
      </c>
      <c r="C145" s="8" t="s">
        <v>270</v>
      </c>
    </row>
    <row r="146" spans="1:5" ht="15" customHeight="1" x14ac:dyDescent="0.2">
      <c r="A146" s="45">
        <v>308</v>
      </c>
      <c r="B146" s="45" t="s">
        <v>1349</v>
      </c>
      <c r="C146" s="8">
        <v>5</v>
      </c>
    </row>
    <row r="147" spans="1:5" ht="15" customHeight="1" x14ac:dyDescent="0.2">
      <c r="A147" s="1">
        <v>310</v>
      </c>
      <c r="B147" s="1" t="s">
        <v>1409</v>
      </c>
      <c r="C147" s="8">
        <v>99</v>
      </c>
    </row>
    <row r="148" spans="1:5" ht="15" customHeight="1" x14ac:dyDescent="0.2">
      <c r="A148" s="1">
        <v>312</v>
      </c>
      <c r="B148" s="1" t="s">
        <v>650</v>
      </c>
      <c r="C148" s="8" t="s">
        <v>270</v>
      </c>
    </row>
    <row r="149" spans="1:5" ht="15" customHeight="1" x14ac:dyDescent="0.2">
      <c r="A149" s="1">
        <v>314</v>
      </c>
      <c r="B149" s="1" t="s">
        <v>1410</v>
      </c>
      <c r="C149" s="8" t="s">
        <v>270</v>
      </c>
    </row>
    <row r="150" spans="1:5" ht="15" customHeight="1" x14ac:dyDescent="0.2">
      <c r="A150" s="1">
        <v>315</v>
      </c>
      <c r="B150" s="1" t="s">
        <v>1411</v>
      </c>
      <c r="C150" s="8">
        <v>12</v>
      </c>
    </row>
    <row r="151" spans="1:5" ht="15" customHeight="1" x14ac:dyDescent="0.2">
      <c r="A151" s="1">
        <v>316</v>
      </c>
      <c r="B151" s="1" t="s">
        <v>1412</v>
      </c>
      <c r="C151" s="8">
        <v>1</v>
      </c>
    </row>
    <row r="152" spans="1:5" ht="15" customHeight="1" x14ac:dyDescent="0.2">
      <c r="A152" s="1">
        <v>317</v>
      </c>
      <c r="B152" s="1" t="s">
        <v>1413</v>
      </c>
      <c r="C152" s="8">
        <v>28</v>
      </c>
    </row>
    <row r="153" spans="1:5" ht="15" customHeight="1" x14ac:dyDescent="0.2">
      <c r="A153" s="1">
        <v>319</v>
      </c>
      <c r="B153" s="1" t="s">
        <v>1414</v>
      </c>
      <c r="C153" s="8">
        <v>17</v>
      </c>
    </row>
    <row r="154" spans="1:5" ht="15" customHeight="1" x14ac:dyDescent="0.2">
      <c r="A154" s="1">
        <v>323</v>
      </c>
      <c r="B154" s="1" t="s">
        <v>1415</v>
      </c>
      <c r="C154" s="8">
        <v>34</v>
      </c>
    </row>
    <row r="155" spans="1:5" ht="15" customHeight="1" x14ac:dyDescent="0.2">
      <c r="A155" s="1">
        <v>324</v>
      </c>
      <c r="B155" s="1" t="s">
        <v>1416</v>
      </c>
      <c r="C155" s="8">
        <v>12</v>
      </c>
      <c r="D155" s="8">
        <v>11</v>
      </c>
    </row>
    <row r="156" spans="1:5" ht="15" customHeight="1" x14ac:dyDescent="0.2">
      <c r="A156" s="1">
        <v>325</v>
      </c>
      <c r="B156" s="1" t="s">
        <v>1417</v>
      </c>
      <c r="C156" s="8">
        <v>2</v>
      </c>
    </row>
    <row r="157" spans="1:5" ht="15" customHeight="1" x14ac:dyDescent="0.2">
      <c r="A157" s="1">
        <v>327</v>
      </c>
      <c r="B157" s="1" t="s">
        <v>1418</v>
      </c>
      <c r="C157" s="8">
        <v>17</v>
      </c>
    </row>
    <row r="158" spans="1:5" ht="15" customHeight="1" x14ac:dyDescent="0.2">
      <c r="A158" s="1">
        <v>328</v>
      </c>
      <c r="B158" s="1" t="s">
        <v>46</v>
      </c>
      <c r="C158" s="8" t="s">
        <v>270</v>
      </c>
    </row>
    <row r="159" spans="1:5" ht="15" customHeight="1" x14ac:dyDescent="0.2">
      <c r="A159" s="1">
        <v>329</v>
      </c>
      <c r="B159" s="1" t="s">
        <v>270</v>
      </c>
      <c r="C159" s="8" t="s">
        <v>270</v>
      </c>
    </row>
    <row r="160" spans="1:5" ht="15" customHeight="1" x14ac:dyDescent="0.2">
      <c r="A160" s="8">
        <v>331</v>
      </c>
      <c r="B160" s="1" t="s">
        <v>1506</v>
      </c>
      <c r="C160" s="8">
        <v>4</v>
      </c>
      <c r="D160" s="8">
        <v>15</v>
      </c>
      <c r="E160" s="8">
        <v>37</v>
      </c>
    </row>
    <row r="161" spans="1:3" ht="15" customHeight="1" x14ac:dyDescent="0.2">
      <c r="A161" s="8">
        <v>332</v>
      </c>
      <c r="B161" s="1" t="s">
        <v>1507</v>
      </c>
      <c r="C161" s="8">
        <v>15</v>
      </c>
    </row>
    <row r="162" spans="1:3" ht="15" customHeight="1" x14ac:dyDescent="0.2">
      <c r="A162" s="8">
        <v>334</v>
      </c>
      <c r="B162" s="1" t="s">
        <v>1508</v>
      </c>
      <c r="C162" s="8">
        <v>15</v>
      </c>
    </row>
    <row r="163" spans="1:3" ht="15" customHeight="1" x14ac:dyDescent="0.2">
      <c r="A163" s="8">
        <v>336</v>
      </c>
      <c r="B163" s="1" t="s">
        <v>1502</v>
      </c>
      <c r="C163" s="8">
        <v>0</v>
      </c>
    </row>
    <row r="164" spans="1:3" ht="15" customHeight="1" x14ac:dyDescent="0.2">
      <c r="A164" s="8">
        <v>337</v>
      </c>
      <c r="B164" s="1" t="s">
        <v>1509</v>
      </c>
      <c r="C164" s="8">
        <v>12</v>
      </c>
    </row>
  </sheetData>
  <sortState ref="G4:K40">
    <sortCondition descending="1" ref="I4:I40"/>
  </sortState>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64"/>
  <sheetViews>
    <sheetView topLeftCell="B1" zoomScale="90" zoomScaleNormal="90" zoomScalePageLayoutView="90" workbookViewId="0">
      <selection activeCell="J34" sqref="J34"/>
    </sheetView>
  </sheetViews>
  <sheetFormatPr baseColWidth="10" defaultColWidth="66.33203125" defaultRowHeight="15" customHeight="1" x14ac:dyDescent="0.2"/>
  <cols>
    <col min="1" max="1" width="11.83203125" style="8" bestFit="1" customWidth="1"/>
    <col min="2" max="2" width="66.33203125" style="8"/>
    <col min="3" max="5" width="3.33203125" style="8" bestFit="1" customWidth="1"/>
    <col min="6" max="6" width="7.83203125" style="8" customWidth="1"/>
    <col min="7" max="7" width="55" style="4" bestFit="1" customWidth="1"/>
    <col min="8" max="8" width="8.5" style="8" customWidth="1"/>
    <col min="9" max="9" width="12.1640625" style="8" customWidth="1"/>
    <col min="10" max="10" width="25.83203125" style="3" customWidth="1"/>
    <col min="11" max="11" width="10" style="8" customWidth="1"/>
    <col min="12" max="12" width="9.83203125" style="8" customWidth="1"/>
    <col min="13" max="16384" width="66.33203125" style="8"/>
  </cols>
  <sheetData>
    <row r="1" spans="1:13" ht="15" customHeight="1" x14ac:dyDescent="0.2">
      <c r="A1" s="6" t="s">
        <v>0</v>
      </c>
      <c r="B1" s="6" t="s">
        <v>22</v>
      </c>
      <c r="C1" s="47"/>
      <c r="G1" s="4" t="s">
        <v>1727</v>
      </c>
      <c r="H1" s="8" t="s">
        <v>1728</v>
      </c>
      <c r="I1" s="8" t="s">
        <v>1726</v>
      </c>
      <c r="J1" s="3" t="s">
        <v>1729</v>
      </c>
      <c r="K1" s="8" t="s">
        <v>1375</v>
      </c>
      <c r="L1" s="8" t="s">
        <v>1375</v>
      </c>
    </row>
    <row r="2" spans="1:13" ht="15" customHeight="1" x14ac:dyDescent="0.2">
      <c r="A2" s="6">
        <v>2</v>
      </c>
      <c r="B2" s="6" t="s">
        <v>52</v>
      </c>
      <c r="C2" s="8">
        <v>1</v>
      </c>
      <c r="D2" s="8">
        <v>2</v>
      </c>
      <c r="G2" s="4" t="s">
        <v>1834</v>
      </c>
      <c r="I2" s="8">
        <f>COUNTIF(C2:F164,"no")</f>
        <v>42</v>
      </c>
      <c r="K2" s="8">
        <f>I2/(42+115)</f>
        <v>0.26751592356687898</v>
      </c>
    </row>
    <row r="3" spans="1:13" ht="15" customHeight="1" x14ac:dyDescent="0.2">
      <c r="A3" s="6">
        <v>5</v>
      </c>
      <c r="B3" s="6" t="s">
        <v>65</v>
      </c>
      <c r="C3" s="8">
        <v>18</v>
      </c>
      <c r="D3" s="8">
        <v>4</v>
      </c>
      <c r="G3" s="4" t="s">
        <v>1878</v>
      </c>
      <c r="I3" s="8">
        <f>163-I2-COUNTIF(C2:E164,"0")</f>
        <v>115</v>
      </c>
      <c r="K3" s="8">
        <f>I3/(42+115)</f>
        <v>0.73248407643312097</v>
      </c>
    </row>
    <row r="4" spans="1:13" ht="15" customHeight="1" x14ac:dyDescent="0.2">
      <c r="A4" s="6">
        <v>6</v>
      </c>
      <c r="B4" s="6" t="s">
        <v>46</v>
      </c>
      <c r="C4" s="8" t="s">
        <v>270</v>
      </c>
      <c r="G4" s="4" t="s">
        <v>1740</v>
      </c>
      <c r="H4" s="8">
        <v>8</v>
      </c>
      <c r="I4" s="8">
        <f>COUNTIF($C$2:$E$164, "8")</f>
        <v>26</v>
      </c>
      <c r="J4" s="3" t="s">
        <v>1909</v>
      </c>
      <c r="L4" s="8">
        <f>I4/115</f>
        <v>0.22608695652173913</v>
      </c>
    </row>
    <row r="5" spans="1:13" ht="15" customHeight="1" x14ac:dyDescent="0.2">
      <c r="A5" s="6">
        <v>11</v>
      </c>
      <c r="B5" s="6" t="s">
        <v>86</v>
      </c>
      <c r="C5" s="8">
        <v>5</v>
      </c>
      <c r="G5" s="4" t="s">
        <v>1890</v>
      </c>
      <c r="H5" s="8">
        <v>14</v>
      </c>
      <c r="I5" s="8">
        <f>COUNTIF($C$2:$E$164, "14")</f>
        <v>26</v>
      </c>
      <c r="J5" s="3" t="s">
        <v>1915</v>
      </c>
      <c r="L5" s="8">
        <f t="shared" ref="L5:L29" si="0">I5/115</f>
        <v>0.22608695652173913</v>
      </c>
    </row>
    <row r="6" spans="1:13" ht="15" customHeight="1" x14ac:dyDescent="0.2">
      <c r="A6" s="6">
        <v>18</v>
      </c>
      <c r="B6" s="6" t="s">
        <v>96</v>
      </c>
      <c r="C6" s="8" t="s">
        <v>270</v>
      </c>
      <c r="G6" s="4" t="s">
        <v>1892</v>
      </c>
      <c r="H6" s="8">
        <v>18</v>
      </c>
      <c r="I6" s="8">
        <f>COUNTIF($C$2:$E$164, "18")</f>
        <v>19</v>
      </c>
      <c r="J6" s="3" t="s">
        <v>1918</v>
      </c>
      <c r="L6" s="8">
        <f t="shared" si="0"/>
        <v>0.16521739130434782</v>
      </c>
    </row>
    <row r="7" spans="1:13" ht="15" customHeight="1" x14ac:dyDescent="0.2">
      <c r="A7" s="6">
        <v>21</v>
      </c>
      <c r="B7" s="6" t="s">
        <v>46</v>
      </c>
      <c r="C7" s="8" t="s">
        <v>270</v>
      </c>
      <c r="G7" s="4" t="s">
        <v>1883</v>
      </c>
      <c r="H7" s="8">
        <v>4</v>
      </c>
      <c r="I7" s="8">
        <f>COUNTIF($C$2:$E$164, "4")</f>
        <v>17</v>
      </c>
      <c r="J7" s="3" t="s">
        <v>1905</v>
      </c>
      <c r="L7" s="8">
        <f>20/115</f>
        <v>0.17391304347826086</v>
      </c>
      <c r="M7" s="8" t="s">
        <v>2173</v>
      </c>
    </row>
    <row r="8" spans="1:13" ht="15" customHeight="1" x14ac:dyDescent="0.2">
      <c r="A8" s="6">
        <v>22</v>
      </c>
      <c r="B8" s="6" t="s">
        <v>46</v>
      </c>
      <c r="C8" s="8" t="s">
        <v>270</v>
      </c>
      <c r="G8" s="4" t="s">
        <v>1893</v>
      </c>
      <c r="H8" s="8">
        <v>5</v>
      </c>
      <c r="I8" s="8">
        <f>COUNTIF($C$2:$E$164, "5")</f>
        <v>12</v>
      </c>
      <c r="J8" s="3" t="s">
        <v>1906</v>
      </c>
      <c r="L8" s="8">
        <f t="shared" si="0"/>
        <v>0.10434782608695652</v>
      </c>
    </row>
    <row r="9" spans="1:13" ht="15" customHeight="1" x14ac:dyDescent="0.2">
      <c r="A9" s="6">
        <v>26</v>
      </c>
      <c r="B9" s="6" t="s">
        <v>117</v>
      </c>
      <c r="C9" s="8">
        <v>5</v>
      </c>
      <c r="D9" s="8">
        <v>6</v>
      </c>
      <c r="E9" s="8">
        <v>7</v>
      </c>
      <c r="G9" s="4" t="s">
        <v>1852</v>
      </c>
      <c r="H9" s="8">
        <v>6</v>
      </c>
      <c r="I9" s="8">
        <f>COUNTIF($C$2:$E$164, "6")</f>
        <v>11</v>
      </c>
      <c r="J9" s="3" t="s">
        <v>1907</v>
      </c>
      <c r="L9" s="8">
        <f t="shared" si="0"/>
        <v>9.5652173913043481E-2</v>
      </c>
    </row>
    <row r="10" spans="1:13" ht="15" customHeight="1" x14ac:dyDescent="0.2">
      <c r="A10" s="6">
        <v>30</v>
      </c>
      <c r="B10" s="6" t="s">
        <v>125</v>
      </c>
      <c r="C10" s="8">
        <v>8</v>
      </c>
      <c r="D10" s="8">
        <v>9</v>
      </c>
      <c r="E10" s="8">
        <v>5</v>
      </c>
      <c r="G10" s="4" t="s">
        <v>1835</v>
      </c>
      <c r="H10" s="8">
        <v>99</v>
      </c>
      <c r="I10" s="8">
        <f>COUNTIF($C$2:$E$164, "99")</f>
        <v>10</v>
      </c>
      <c r="L10" s="8">
        <f t="shared" si="0"/>
        <v>8.6956521739130432E-2</v>
      </c>
    </row>
    <row r="11" spans="1:13" ht="15" customHeight="1" x14ac:dyDescent="0.2">
      <c r="A11" s="6">
        <v>31</v>
      </c>
      <c r="B11" s="6" t="s">
        <v>1376</v>
      </c>
      <c r="C11" s="8">
        <v>10</v>
      </c>
      <c r="G11" s="4" t="s">
        <v>1888</v>
      </c>
      <c r="H11" s="8">
        <v>12</v>
      </c>
      <c r="I11" s="8">
        <f>COUNTIF($C$2:$E$164, "12")</f>
        <v>5</v>
      </c>
      <c r="J11" s="3" t="s">
        <v>1913</v>
      </c>
      <c r="L11" s="8">
        <f t="shared" si="0"/>
        <v>4.3478260869565216E-2</v>
      </c>
    </row>
    <row r="12" spans="1:13" ht="15" customHeight="1" x14ac:dyDescent="0.2">
      <c r="A12" s="6">
        <v>28</v>
      </c>
      <c r="B12" s="6" t="s">
        <v>148</v>
      </c>
      <c r="C12" s="8">
        <v>8</v>
      </c>
      <c r="D12" s="8">
        <v>5</v>
      </c>
      <c r="G12" s="4" t="s">
        <v>1894</v>
      </c>
      <c r="H12" s="8">
        <v>20</v>
      </c>
      <c r="I12" s="8">
        <f>COUNTIF($C$2:$E$164, "20")</f>
        <v>5</v>
      </c>
      <c r="J12" s="3" t="s">
        <v>1919</v>
      </c>
      <c r="L12" s="8">
        <f t="shared" si="0"/>
        <v>4.3478260869565216E-2</v>
      </c>
    </row>
    <row r="13" spans="1:13" ht="15" customHeight="1" x14ac:dyDescent="0.2">
      <c r="A13" s="6">
        <v>32</v>
      </c>
      <c r="B13" s="6" t="s">
        <v>157</v>
      </c>
      <c r="C13" s="8">
        <v>8</v>
      </c>
      <c r="G13" s="4" t="s">
        <v>1881</v>
      </c>
      <c r="H13" s="8">
        <v>1</v>
      </c>
      <c r="I13" s="8">
        <f>COUNTIF($C$2:$E$164, "1")</f>
        <v>3</v>
      </c>
      <c r="J13" s="3" t="s">
        <v>1903</v>
      </c>
      <c r="L13" s="8">
        <f t="shared" si="0"/>
        <v>2.6086956521739129E-2</v>
      </c>
    </row>
    <row r="14" spans="1:13" ht="15" customHeight="1" x14ac:dyDescent="0.2">
      <c r="A14" s="6">
        <v>34</v>
      </c>
      <c r="B14" s="6" t="s">
        <v>170</v>
      </c>
      <c r="C14" s="8">
        <v>11</v>
      </c>
      <c r="G14" s="4" t="s">
        <v>1882</v>
      </c>
      <c r="H14" s="8">
        <v>2</v>
      </c>
      <c r="I14" s="8">
        <f>COUNTIF($C$2:$E$164, "2")</f>
        <v>3</v>
      </c>
      <c r="J14" s="3" t="s">
        <v>1904</v>
      </c>
      <c r="L14" s="8">
        <f t="shared" si="0"/>
        <v>2.6086956521739129E-2</v>
      </c>
    </row>
    <row r="15" spans="1:13" ht="15" customHeight="1" x14ac:dyDescent="0.2">
      <c r="A15" s="6">
        <v>35</v>
      </c>
      <c r="B15" s="6" t="s">
        <v>179</v>
      </c>
      <c r="C15" s="8">
        <v>4</v>
      </c>
      <c r="D15" s="8">
        <v>12</v>
      </c>
      <c r="G15" s="4" t="s">
        <v>1901</v>
      </c>
      <c r="H15" s="8">
        <v>15</v>
      </c>
      <c r="I15" s="8">
        <f>COUNTIF($C$2:$E$164, "15")</f>
        <v>3</v>
      </c>
      <c r="J15" s="3" t="s">
        <v>1916</v>
      </c>
      <c r="L15" s="8">
        <f t="shared" si="0"/>
        <v>2.6086956521739129E-2</v>
      </c>
    </row>
    <row r="16" spans="1:13" ht="15" customHeight="1" x14ac:dyDescent="0.2">
      <c r="A16" s="6">
        <v>36</v>
      </c>
      <c r="B16" s="6" t="s">
        <v>191</v>
      </c>
      <c r="C16" s="8" t="s">
        <v>270</v>
      </c>
      <c r="G16" s="4" t="s">
        <v>1899</v>
      </c>
      <c r="H16" s="8">
        <v>26</v>
      </c>
      <c r="I16" s="8">
        <f>COUNTIF($C$2:$E$164, "26")</f>
        <v>3</v>
      </c>
      <c r="J16" s="3" t="s">
        <v>1926</v>
      </c>
      <c r="L16" s="8">
        <f t="shared" si="0"/>
        <v>2.6086956521739129E-2</v>
      </c>
    </row>
    <row r="17" spans="1:12" ht="15" customHeight="1" x14ac:dyDescent="0.2">
      <c r="A17" s="6">
        <v>38</v>
      </c>
      <c r="B17" s="6" t="s">
        <v>201</v>
      </c>
      <c r="C17" s="8">
        <v>99</v>
      </c>
      <c r="G17" s="4" t="s">
        <v>1884</v>
      </c>
      <c r="H17" s="8">
        <v>7</v>
      </c>
      <c r="I17" s="8">
        <f>COUNTIF($C$2:$E$164, "7")</f>
        <v>2</v>
      </c>
      <c r="J17" s="3" t="s">
        <v>1908</v>
      </c>
      <c r="L17" s="8">
        <f t="shared" si="0"/>
        <v>1.7391304347826087E-2</v>
      </c>
    </row>
    <row r="18" spans="1:12" ht="15" customHeight="1" x14ac:dyDescent="0.2">
      <c r="A18" s="6">
        <v>40</v>
      </c>
      <c r="B18" s="6" t="s">
        <v>211</v>
      </c>
      <c r="C18" s="8">
        <v>13</v>
      </c>
      <c r="G18" s="4" t="s">
        <v>1885</v>
      </c>
      <c r="H18" s="8">
        <v>9</v>
      </c>
      <c r="I18" s="8">
        <f>COUNTIF($C$2:$E$164, "9")</f>
        <v>2</v>
      </c>
      <c r="J18" s="3" t="s">
        <v>1910</v>
      </c>
      <c r="L18" s="8">
        <f t="shared" si="0"/>
        <v>1.7391304347826087E-2</v>
      </c>
    </row>
    <row r="19" spans="1:12" ht="15" customHeight="1" x14ac:dyDescent="0.2">
      <c r="A19" s="6">
        <v>41</v>
      </c>
      <c r="B19" s="6" t="s">
        <v>220</v>
      </c>
      <c r="C19" s="8">
        <v>1</v>
      </c>
      <c r="G19" s="4" t="s">
        <v>1889</v>
      </c>
      <c r="H19" s="8">
        <v>13</v>
      </c>
      <c r="I19" s="8">
        <f>COUNTIF($C$2:$E$164, "13")</f>
        <v>2</v>
      </c>
      <c r="J19" s="3" t="s">
        <v>1914</v>
      </c>
      <c r="L19" s="8">
        <f t="shared" si="0"/>
        <v>1.7391304347826087E-2</v>
      </c>
    </row>
    <row r="20" spans="1:12" ht="15" customHeight="1" x14ac:dyDescent="0.2">
      <c r="A20" s="6">
        <v>42</v>
      </c>
      <c r="B20" s="6" t="s">
        <v>228</v>
      </c>
      <c r="C20" s="8">
        <v>99</v>
      </c>
      <c r="G20" s="4" t="s">
        <v>1921</v>
      </c>
      <c r="H20" s="8">
        <v>21</v>
      </c>
      <c r="I20" s="8">
        <f>COUNTIF($C$2:$E$164, "21")</f>
        <v>2</v>
      </c>
      <c r="J20" s="3" t="s">
        <v>1920</v>
      </c>
      <c r="L20" s="8">
        <f t="shared" si="0"/>
        <v>1.7391304347826087E-2</v>
      </c>
    </row>
    <row r="21" spans="1:12" ht="15" customHeight="1" x14ac:dyDescent="0.2">
      <c r="A21" s="6">
        <v>44</v>
      </c>
      <c r="B21" s="6" t="s">
        <v>238</v>
      </c>
      <c r="C21" s="8" t="s">
        <v>270</v>
      </c>
      <c r="G21" s="4" t="s">
        <v>1886</v>
      </c>
      <c r="H21" s="8">
        <v>10</v>
      </c>
      <c r="I21" s="8">
        <f>COUNTIF($C$2:$E$164, "10")</f>
        <v>1</v>
      </c>
      <c r="J21" s="3" t="s">
        <v>1911</v>
      </c>
      <c r="L21" s="8">
        <f t="shared" si="0"/>
        <v>8.6956521739130436E-3</v>
      </c>
    </row>
    <row r="22" spans="1:12" ht="15" customHeight="1" x14ac:dyDescent="0.2">
      <c r="A22" s="6">
        <v>46</v>
      </c>
      <c r="B22" s="6" t="s">
        <v>249</v>
      </c>
      <c r="C22" s="8">
        <v>8</v>
      </c>
      <c r="D22" s="8">
        <v>6</v>
      </c>
      <c r="G22" s="4" t="s">
        <v>1887</v>
      </c>
      <c r="H22" s="8">
        <v>11</v>
      </c>
      <c r="I22" s="8">
        <f>COUNTIF($C$2:$E$164, "11")</f>
        <v>1</v>
      </c>
      <c r="J22" s="3" t="s">
        <v>1912</v>
      </c>
      <c r="L22" s="8">
        <f t="shared" si="0"/>
        <v>8.6956521739130436E-3</v>
      </c>
    </row>
    <row r="23" spans="1:12" ht="15" customHeight="1" x14ac:dyDescent="0.2">
      <c r="A23" s="6">
        <v>47</v>
      </c>
      <c r="B23" s="6" t="s">
        <v>259</v>
      </c>
      <c r="C23" s="8">
        <v>14</v>
      </c>
      <c r="G23" s="4" t="s">
        <v>1891</v>
      </c>
      <c r="H23" s="8">
        <v>16</v>
      </c>
      <c r="I23" s="8">
        <f>COUNTIF($C$2:$E$164, "16")</f>
        <v>1</v>
      </c>
      <c r="J23" s="3" t="s">
        <v>1917</v>
      </c>
      <c r="L23" s="8">
        <f t="shared" si="0"/>
        <v>8.6956521739130436E-3</v>
      </c>
    </row>
    <row r="24" spans="1:12" ht="15" customHeight="1" x14ac:dyDescent="0.2">
      <c r="A24" s="6">
        <v>49</v>
      </c>
      <c r="B24" s="6" t="s">
        <v>270</v>
      </c>
      <c r="C24" s="8" t="s">
        <v>270</v>
      </c>
      <c r="G24" s="4" t="s">
        <v>1895</v>
      </c>
      <c r="H24" s="8">
        <v>22</v>
      </c>
      <c r="I24" s="8">
        <f>COUNTIF($C$2:$E$164, "22")</f>
        <v>1</v>
      </c>
      <c r="J24" s="3" t="s">
        <v>1922</v>
      </c>
      <c r="L24" s="8">
        <f t="shared" si="0"/>
        <v>8.6956521739130436E-3</v>
      </c>
    </row>
    <row r="25" spans="1:12" ht="15" customHeight="1" x14ac:dyDescent="0.2">
      <c r="A25" s="6">
        <v>50</v>
      </c>
      <c r="B25" s="6" t="s">
        <v>279</v>
      </c>
      <c r="C25" s="8" t="s">
        <v>270</v>
      </c>
      <c r="G25" s="4" t="s">
        <v>1896</v>
      </c>
      <c r="H25" s="8">
        <v>23</v>
      </c>
      <c r="I25" s="8">
        <f>COUNTIF($C$2:$E$164, "23")</f>
        <v>1</v>
      </c>
      <c r="J25" s="5" t="s">
        <v>1923</v>
      </c>
      <c r="L25" s="8">
        <f t="shared" si="0"/>
        <v>8.6956521739130436E-3</v>
      </c>
    </row>
    <row r="26" spans="1:12" ht="15" customHeight="1" x14ac:dyDescent="0.2">
      <c r="A26" s="6">
        <v>51</v>
      </c>
      <c r="B26" s="6" t="s">
        <v>270</v>
      </c>
      <c r="C26" s="8" t="s">
        <v>270</v>
      </c>
      <c r="G26" s="4" t="s">
        <v>1897</v>
      </c>
      <c r="H26" s="8">
        <v>24</v>
      </c>
      <c r="I26" s="8">
        <f>COUNTIF($C$2:$E$164, "24")</f>
        <v>1</v>
      </c>
      <c r="J26" s="3" t="s">
        <v>1924</v>
      </c>
      <c r="L26" s="8">
        <f t="shared" si="0"/>
        <v>8.6956521739130436E-3</v>
      </c>
    </row>
    <row r="27" spans="1:12" ht="15" customHeight="1" x14ac:dyDescent="0.2">
      <c r="A27" s="6">
        <v>53</v>
      </c>
      <c r="B27" s="6" t="s">
        <v>294</v>
      </c>
      <c r="C27" s="8">
        <v>99</v>
      </c>
      <c r="G27" s="4" t="s">
        <v>1898</v>
      </c>
      <c r="H27" s="8">
        <v>25</v>
      </c>
      <c r="I27" s="8">
        <f>COUNTIF($C$2:$E$164, "25")</f>
        <v>1</v>
      </c>
      <c r="J27" s="3" t="s">
        <v>1925</v>
      </c>
      <c r="L27" s="8">
        <f t="shared" si="0"/>
        <v>8.6956521739130436E-3</v>
      </c>
    </row>
    <row r="28" spans="1:12" ht="15" customHeight="1" x14ac:dyDescent="0.2">
      <c r="A28" s="6">
        <v>55</v>
      </c>
      <c r="B28" s="6" t="s">
        <v>304</v>
      </c>
      <c r="C28" s="8">
        <v>0</v>
      </c>
      <c r="G28" s="4" t="s">
        <v>1900</v>
      </c>
      <c r="H28" s="8">
        <v>27</v>
      </c>
      <c r="I28" s="8">
        <f>COUNTIF($C$2:$E$164, "27")</f>
        <v>1</v>
      </c>
      <c r="J28" s="3" t="s">
        <v>1927</v>
      </c>
      <c r="L28" s="8">
        <f t="shared" si="0"/>
        <v>8.6956521739130436E-3</v>
      </c>
    </row>
    <row r="29" spans="1:12" ht="15" customHeight="1" x14ac:dyDescent="0.2">
      <c r="A29" s="6">
        <v>60</v>
      </c>
      <c r="B29" s="6" t="s">
        <v>313</v>
      </c>
      <c r="C29" s="8">
        <v>8</v>
      </c>
      <c r="G29" s="4" t="s">
        <v>1902</v>
      </c>
      <c r="H29" s="8">
        <v>28</v>
      </c>
      <c r="I29" s="8">
        <f>COUNTIF($C$2:$E$164, "28")</f>
        <v>1</v>
      </c>
      <c r="J29" s="3" t="s">
        <v>1928</v>
      </c>
      <c r="L29" s="8">
        <f t="shared" si="0"/>
        <v>8.6956521739130436E-3</v>
      </c>
    </row>
    <row r="30" spans="1:12" ht="15" customHeight="1" x14ac:dyDescent="0.2">
      <c r="A30" s="6">
        <v>61</v>
      </c>
      <c r="B30" s="6" t="s">
        <v>324</v>
      </c>
      <c r="C30" s="8">
        <v>14</v>
      </c>
      <c r="D30" s="8">
        <v>15</v>
      </c>
      <c r="E30" s="8">
        <v>16</v>
      </c>
    </row>
    <row r="31" spans="1:12" ht="15" customHeight="1" x14ac:dyDescent="0.2">
      <c r="A31" s="6">
        <v>62</v>
      </c>
      <c r="B31" s="6" t="s">
        <v>334</v>
      </c>
      <c r="C31" s="8">
        <v>4</v>
      </c>
    </row>
    <row r="32" spans="1:12" ht="15" customHeight="1" x14ac:dyDescent="0.2">
      <c r="A32" s="6">
        <v>65</v>
      </c>
      <c r="B32" s="6" t="s">
        <v>345</v>
      </c>
      <c r="C32" s="8">
        <v>14</v>
      </c>
    </row>
    <row r="33" spans="1:4" ht="15" customHeight="1" x14ac:dyDescent="0.2">
      <c r="A33" s="6">
        <v>70</v>
      </c>
      <c r="B33" s="6" t="s">
        <v>353</v>
      </c>
      <c r="C33" s="8">
        <v>4</v>
      </c>
      <c r="D33" s="8">
        <v>6</v>
      </c>
    </row>
    <row r="34" spans="1:4" ht="15" customHeight="1" x14ac:dyDescent="0.2">
      <c r="A34" s="6">
        <v>71</v>
      </c>
      <c r="B34" s="6" t="s">
        <v>362</v>
      </c>
      <c r="C34" s="8">
        <v>14</v>
      </c>
    </row>
    <row r="35" spans="1:4" ht="15" customHeight="1" x14ac:dyDescent="0.2">
      <c r="A35" s="6">
        <v>72</v>
      </c>
      <c r="B35" s="6" t="s">
        <v>372</v>
      </c>
      <c r="C35" s="8">
        <v>14</v>
      </c>
      <c r="D35" s="8">
        <v>8</v>
      </c>
    </row>
    <row r="36" spans="1:4" ht="15" customHeight="1" x14ac:dyDescent="0.2">
      <c r="A36" s="6">
        <v>74</v>
      </c>
      <c r="B36" s="6" t="s">
        <v>383</v>
      </c>
      <c r="C36" s="8">
        <v>8</v>
      </c>
    </row>
    <row r="37" spans="1:4" ht="15" customHeight="1" x14ac:dyDescent="0.2">
      <c r="A37" s="6">
        <v>75</v>
      </c>
      <c r="B37" s="6" t="s">
        <v>391</v>
      </c>
      <c r="C37" s="8">
        <v>26</v>
      </c>
    </row>
    <row r="38" spans="1:4" ht="15" customHeight="1" x14ac:dyDescent="0.2">
      <c r="A38" s="6">
        <v>76</v>
      </c>
      <c r="B38" s="6" t="s">
        <v>402</v>
      </c>
      <c r="C38" s="8">
        <v>18</v>
      </c>
    </row>
    <row r="39" spans="1:4" ht="15" customHeight="1" x14ac:dyDescent="0.2">
      <c r="A39" s="6">
        <v>78</v>
      </c>
      <c r="B39" s="6" t="s">
        <v>270</v>
      </c>
      <c r="C39" s="8" t="s">
        <v>270</v>
      </c>
    </row>
    <row r="40" spans="1:4" ht="15" customHeight="1" x14ac:dyDescent="0.2">
      <c r="A40" s="6">
        <v>79</v>
      </c>
      <c r="B40" s="6" t="s">
        <v>419</v>
      </c>
      <c r="C40" s="8">
        <v>6</v>
      </c>
    </row>
    <row r="41" spans="1:4" ht="15" customHeight="1" x14ac:dyDescent="0.2">
      <c r="A41" s="6">
        <v>80</v>
      </c>
      <c r="B41" s="6" t="s">
        <v>270</v>
      </c>
      <c r="C41" s="8" t="s">
        <v>270</v>
      </c>
    </row>
    <row r="42" spans="1:4" ht="15" customHeight="1" x14ac:dyDescent="0.2">
      <c r="A42" s="6">
        <v>87</v>
      </c>
      <c r="B42" s="6" t="s">
        <v>437</v>
      </c>
      <c r="C42" s="8">
        <v>6</v>
      </c>
    </row>
    <row r="43" spans="1:4" ht="15" customHeight="1" x14ac:dyDescent="0.2">
      <c r="A43" s="6">
        <v>89</v>
      </c>
      <c r="B43" s="6" t="s">
        <v>448</v>
      </c>
      <c r="C43" s="8">
        <v>19</v>
      </c>
    </row>
    <row r="44" spans="1:4" ht="15" customHeight="1" x14ac:dyDescent="0.2">
      <c r="A44" s="6">
        <v>90</v>
      </c>
      <c r="B44" s="6" t="s">
        <v>459</v>
      </c>
      <c r="C44" s="8">
        <v>14</v>
      </c>
    </row>
    <row r="45" spans="1:4" ht="15" customHeight="1" x14ac:dyDescent="0.2">
      <c r="A45" s="6">
        <v>91</v>
      </c>
      <c r="B45" s="6" t="s">
        <v>270</v>
      </c>
      <c r="C45" s="8" t="s">
        <v>270</v>
      </c>
    </row>
    <row r="46" spans="1:4" ht="15" customHeight="1" x14ac:dyDescent="0.2">
      <c r="A46" s="6">
        <v>92</v>
      </c>
      <c r="B46" s="6" t="s">
        <v>475</v>
      </c>
      <c r="C46" s="8">
        <v>18</v>
      </c>
    </row>
    <row r="47" spans="1:4" ht="15" customHeight="1" x14ac:dyDescent="0.2">
      <c r="A47" s="6">
        <v>93</v>
      </c>
      <c r="B47" s="6" t="s">
        <v>484</v>
      </c>
      <c r="C47" s="8">
        <v>18</v>
      </c>
      <c r="D47" s="8">
        <v>14</v>
      </c>
    </row>
    <row r="48" spans="1:4" ht="15" customHeight="1" x14ac:dyDescent="0.2">
      <c r="A48" s="6">
        <v>95</v>
      </c>
      <c r="B48" s="6" t="s">
        <v>494</v>
      </c>
      <c r="C48" s="8">
        <v>99</v>
      </c>
    </row>
    <row r="49" spans="1:5" ht="15" customHeight="1" x14ac:dyDescent="0.2">
      <c r="A49" s="6">
        <v>96</v>
      </c>
      <c r="B49" s="6" t="s">
        <v>504</v>
      </c>
      <c r="C49" s="8">
        <v>5</v>
      </c>
    </row>
    <row r="50" spans="1:5" ht="15" customHeight="1" x14ac:dyDescent="0.2">
      <c r="A50" s="6">
        <v>100</v>
      </c>
      <c r="B50" s="6" t="s">
        <v>514</v>
      </c>
      <c r="C50" s="8">
        <v>8</v>
      </c>
      <c r="D50" s="8">
        <v>4</v>
      </c>
      <c r="E50" s="8">
        <v>5</v>
      </c>
    </row>
    <row r="51" spans="1:5" ht="15" customHeight="1" x14ac:dyDescent="0.2">
      <c r="A51" s="6">
        <v>104</v>
      </c>
      <c r="B51" s="6" t="s">
        <v>522</v>
      </c>
      <c r="C51" s="8">
        <v>20</v>
      </c>
    </row>
    <row r="52" spans="1:5" ht="15" customHeight="1" x14ac:dyDescent="0.2">
      <c r="A52" s="6">
        <v>107</v>
      </c>
      <c r="B52" s="6" t="s">
        <v>530</v>
      </c>
      <c r="C52" s="8">
        <v>4</v>
      </c>
    </row>
    <row r="53" spans="1:5" ht="15" customHeight="1" x14ac:dyDescent="0.2">
      <c r="A53" s="6">
        <v>109</v>
      </c>
      <c r="B53" s="6" t="s">
        <v>541</v>
      </c>
      <c r="C53" s="8">
        <v>8</v>
      </c>
    </row>
    <row r="54" spans="1:5" ht="15" customHeight="1" x14ac:dyDescent="0.2">
      <c r="A54" s="6">
        <v>110</v>
      </c>
      <c r="B54" s="6" t="s">
        <v>550</v>
      </c>
      <c r="C54" s="8">
        <v>4</v>
      </c>
    </row>
    <row r="55" spans="1:5" ht="15" customHeight="1" x14ac:dyDescent="0.2">
      <c r="A55" s="6">
        <v>112</v>
      </c>
      <c r="B55" s="6" t="s">
        <v>558</v>
      </c>
      <c r="C55" s="8">
        <v>14</v>
      </c>
    </row>
    <row r="56" spans="1:5" ht="15" customHeight="1" x14ac:dyDescent="0.2">
      <c r="A56" s="6">
        <v>118</v>
      </c>
      <c r="B56" s="6" t="s">
        <v>568</v>
      </c>
      <c r="C56" s="8">
        <v>99</v>
      </c>
    </row>
    <row r="57" spans="1:5" ht="15" customHeight="1" x14ac:dyDescent="0.2">
      <c r="A57" s="6">
        <v>119</v>
      </c>
      <c r="B57" s="6" t="s">
        <v>577</v>
      </c>
      <c r="C57" s="8" t="s">
        <v>270</v>
      </c>
    </row>
    <row r="58" spans="1:5" ht="15" customHeight="1" x14ac:dyDescent="0.2">
      <c r="A58" s="6">
        <v>120</v>
      </c>
      <c r="B58" s="6" t="s">
        <v>582</v>
      </c>
      <c r="C58" s="8">
        <v>0</v>
      </c>
    </row>
    <row r="59" spans="1:5" ht="15" customHeight="1" x14ac:dyDescent="0.2">
      <c r="A59" s="6">
        <v>121</v>
      </c>
      <c r="B59" s="6" t="s">
        <v>590</v>
      </c>
      <c r="C59" s="8" t="s">
        <v>270</v>
      </c>
    </row>
    <row r="60" spans="1:5" ht="15" customHeight="1" x14ac:dyDescent="0.2">
      <c r="A60" s="6">
        <v>122</v>
      </c>
      <c r="B60" s="6" t="s">
        <v>270</v>
      </c>
      <c r="C60" s="8" t="s">
        <v>270</v>
      </c>
    </row>
    <row r="61" spans="1:5" ht="15" customHeight="1" x14ac:dyDescent="0.2">
      <c r="A61" s="6">
        <v>127</v>
      </c>
      <c r="B61" s="6" t="s">
        <v>606</v>
      </c>
      <c r="C61" s="8">
        <v>4</v>
      </c>
      <c r="D61" s="8">
        <v>20</v>
      </c>
    </row>
    <row r="62" spans="1:5" ht="15" customHeight="1" x14ac:dyDescent="0.2">
      <c r="A62" s="6">
        <v>128</v>
      </c>
      <c r="B62" s="6" t="s">
        <v>56</v>
      </c>
      <c r="C62" s="8">
        <v>0</v>
      </c>
    </row>
    <row r="63" spans="1:5" ht="15" customHeight="1" x14ac:dyDescent="0.2">
      <c r="A63" s="6">
        <v>132</v>
      </c>
      <c r="B63" s="6" t="s">
        <v>623</v>
      </c>
      <c r="C63" s="8">
        <v>14</v>
      </c>
    </row>
    <row r="64" spans="1:5" ht="15" customHeight="1" x14ac:dyDescent="0.2">
      <c r="A64" s="6">
        <v>135</v>
      </c>
      <c r="B64" s="6" t="s">
        <v>632</v>
      </c>
      <c r="C64" s="8" t="s">
        <v>270</v>
      </c>
    </row>
    <row r="65" spans="1:4" ht="15" customHeight="1" x14ac:dyDescent="0.2">
      <c r="A65" s="6">
        <v>136</v>
      </c>
      <c r="B65" s="6" t="s">
        <v>642</v>
      </c>
      <c r="C65" s="8">
        <v>4</v>
      </c>
    </row>
    <row r="66" spans="1:4" ht="15" customHeight="1" x14ac:dyDescent="0.2">
      <c r="A66" s="6">
        <v>138</v>
      </c>
      <c r="B66" s="6" t="s">
        <v>650</v>
      </c>
      <c r="C66" s="8" t="s">
        <v>270</v>
      </c>
    </row>
    <row r="67" spans="1:4" ht="15" customHeight="1" x14ac:dyDescent="0.2">
      <c r="A67" s="6">
        <v>139</v>
      </c>
      <c r="B67" s="6" t="s">
        <v>659</v>
      </c>
      <c r="C67" s="8">
        <v>14</v>
      </c>
    </row>
    <row r="68" spans="1:4" ht="15" customHeight="1" x14ac:dyDescent="0.2">
      <c r="A68" s="6">
        <v>140</v>
      </c>
      <c r="B68" s="6" t="s">
        <v>1551</v>
      </c>
      <c r="C68" s="8">
        <v>18</v>
      </c>
    </row>
    <row r="69" spans="1:4" ht="15" customHeight="1" x14ac:dyDescent="0.2">
      <c r="A69" s="6">
        <v>148</v>
      </c>
      <c r="B69" s="6" t="s">
        <v>679</v>
      </c>
      <c r="C69" s="8">
        <v>4</v>
      </c>
    </row>
    <row r="70" spans="1:4" ht="15" customHeight="1" x14ac:dyDescent="0.2">
      <c r="A70" s="6">
        <v>149</v>
      </c>
      <c r="B70" s="6" t="s">
        <v>46</v>
      </c>
      <c r="C70" s="8" t="s">
        <v>270</v>
      </c>
    </row>
    <row r="71" spans="1:4" ht="15" customHeight="1" x14ac:dyDescent="0.2">
      <c r="A71" s="6">
        <v>150</v>
      </c>
      <c r="B71" s="6" t="s">
        <v>694</v>
      </c>
      <c r="C71" s="8">
        <v>18</v>
      </c>
    </row>
    <row r="72" spans="1:4" ht="15" customHeight="1" x14ac:dyDescent="0.2">
      <c r="A72" s="6">
        <v>151</v>
      </c>
      <c r="B72" s="6" t="s">
        <v>706</v>
      </c>
      <c r="C72" s="8">
        <v>99</v>
      </c>
    </row>
    <row r="73" spans="1:4" ht="15" customHeight="1" x14ac:dyDescent="0.2">
      <c r="A73" s="6">
        <v>152</v>
      </c>
      <c r="B73" s="6" t="s">
        <v>715</v>
      </c>
      <c r="C73" s="8">
        <v>8</v>
      </c>
    </row>
    <row r="74" spans="1:4" ht="15" customHeight="1" x14ac:dyDescent="0.2">
      <c r="A74" s="6">
        <v>153</v>
      </c>
      <c r="B74" s="6" t="s">
        <v>46</v>
      </c>
      <c r="C74" s="8" t="s">
        <v>270</v>
      </c>
    </row>
    <row r="75" spans="1:4" ht="15" customHeight="1" x14ac:dyDescent="0.2">
      <c r="A75" s="6">
        <v>157</v>
      </c>
      <c r="B75" s="6" t="s">
        <v>734</v>
      </c>
      <c r="C75" s="8">
        <v>5</v>
      </c>
      <c r="D75" s="8">
        <v>18</v>
      </c>
    </row>
    <row r="76" spans="1:4" ht="15" customHeight="1" x14ac:dyDescent="0.2">
      <c r="A76" s="6">
        <v>156</v>
      </c>
      <c r="B76" s="6" t="s">
        <v>745</v>
      </c>
      <c r="C76" s="8">
        <v>21</v>
      </c>
    </row>
    <row r="77" spans="1:4" ht="15" customHeight="1" x14ac:dyDescent="0.2">
      <c r="A77" s="6">
        <v>162</v>
      </c>
      <c r="B77" s="6" t="s">
        <v>755</v>
      </c>
      <c r="C77" s="8">
        <v>99</v>
      </c>
    </row>
    <row r="78" spans="1:4" ht="15" customHeight="1" x14ac:dyDescent="0.2">
      <c r="A78" s="6">
        <v>164</v>
      </c>
      <c r="B78" s="6" t="s">
        <v>270</v>
      </c>
      <c r="C78" s="8" t="s">
        <v>270</v>
      </c>
    </row>
    <row r="79" spans="1:4" ht="15" customHeight="1" x14ac:dyDescent="0.2">
      <c r="A79" s="6">
        <v>166</v>
      </c>
      <c r="B79" s="6" t="s">
        <v>771</v>
      </c>
      <c r="C79" s="8">
        <v>0</v>
      </c>
    </row>
    <row r="80" spans="1:4" ht="15" customHeight="1" x14ac:dyDescent="0.2">
      <c r="A80" s="6">
        <v>170</v>
      </c>
      <c r="B80" s="6" t="s">
        <v>778</v>
      </c>
      <c r="C80" s="8">
        <v>6</v>
      </c>
    </row>
    <row r="81" spans="1:5" ht="15" customHeight="1" x14ac:dyDescent="0.2">
      <c r="A81" s="6">
        <v>173</v>
      </c>
      <c r="B81" s="6" t="s">
        <v>789</v>
      </c>
      <c r="C81" s="8">
        <v>14</v>
      </c>
      <c r="D81" s="8">
        <v>1</v>
      </c>
    </row>
    <row r="82" spans="1:5" ht="15" customHeight="1" x14ac:dyDescent="0.2">
      <c r="A82" s="6">
        <v>175</v>
      </c>
      <c r="B82" s="6" t="s">
        <v>798</v>
      </c>
      <c r="C82" s="8">
        <v>22</v>
      </c>
    </row>
    <row r="83" spans="1:5" ht="15" customHeight="1" x14ac:dyDescent="0.2">
      <c r="A83" s="6">
        <v>178</v>
      </c>
      <c r="B83" s="6" t="s">
        <v>807</v>
      </c>
      <c r="C83" s="8">
        <v>8</v>
      </c>
      <c r="D83" s="8">
        <v>18</v>
      </c>
      <c r="E83" s="8">
        <v>2</v>
      </c>
    </row>
    <row r="84" spans="1:5" ht="15" customHeight="1" x14ac:dyDescent="0.2">
      <c r="A84" s="6">
        <v>183</v>
      </c>
      <c r="B84" s="6" t="s">
        <v>816</v>
      </c>
      <c r="C84" s="8">
        <v>4</v>
      </c>
    </row>
    <row r="85" spans="1:5" ht="15" customHeight="1" x14ac:dyDescent="0.2">
      <c r="A85" s="6">
        <v>185</v>
      </c>
      <c r="B85" s="6" t="s">
        <v>826</v>
      </c>
      <c r="C85" s="8">
        <v>14</v>
      </c>
    </row>
    <row r="86" spans="1:5" ht="15" customHeight="1" x14ac:dyDescent="0.2">
      <c r="A86" s="6">
        <v>186</v>
      </c>
      <c r="B86" s="6" t="s">
        <v>200</v>
      </c>
      <c r="C86" s="8" t="s">
        <v>270</v>
      </c>
    </row>
    <row r="87" spans="1:5" ht="15" customHeight="1" x14ac:dyDescent="0.2">
      <c r="A87" s="6">
        <v>189</v>
      </c>
      <c r="B87" s="6" t="s">
        <v>841</v>
      </c>
      <c r="C87" s="8">
        <v>23</v>
      </c>
    </row>
    <row r="88" spans="1:5" ht="15" customHeight="1" x14ac:dyDescent="0.2">
      <c r="A88" s="6">
        <v>190</v>
      </c>
      <c r="B88" s="6" t="s">
        <v>848</v>
      </c>
      <c r="C88" s="8">
        <v>8</v>
      </c>
    </row>
    <row r="89" spans="1:5" ht="15" customHeight="1" x14ac:dyDescent="0.2">
      <c r="A89" s="6">
        <v>192</v>
      </c>
      <c r="B89" s="6" t="s">
        <v>860</v>
      </c>
      <c r="C89" s="8">
        <v>14</v>
      </c>
      <c r="D89" s="8">
        <v>6</v>
      </c>
    </row>
    <row r="90" spans="1:5" ht="15" customHeight="1" x14ac:dyDescent="0.2">
      <c r="A90" s="6">
        <v>193</v>
      </c>
      <c r="B90" s="6" t="s">
        <v>869</v>
      </c>
      <c r="C90" s="8">
        <v>18</v>
      </c>
    </row>
    <row r="91" spans="1:5" ht="15" customHeight="1" x14ac:dyDescent="0.2">
      <c r="A91" s="6">
        <v>196</v>
      </c>
      <c r="B91" s="6" t="s">
        <v>877</v>
      </c>
      <c r="C91" s="8">
        <v>99</v>
      </c>
    </row>
    <row r="92" spans="1:5" ht="15" customHeight="1" x14ac:dyDescent="0.2">
      <c r="A92" s="6">
        <v>197</v>
      </c>
      <c r="B92" s="6" t="s">
        <v>228</v>
      </c>
      <c r="C92" s="8">
        <v>99</v>
      </c>
    </row>
    <row r="93" spans="1:5" ht="15" customHeight="1" x14ac:dyDescent="0.2">
      <c r="A93" s="6">
        <v>200</v>
      </c>
      <c r="B93" s="6" t="s">
        <v>46</v>
      </c>
      <c r="C93" s="8" t="s">
        <v>270</v>
      </c>
    </row>
    <row r="94" spans="1:5" ht="15" customHeight="1" x14ac:dyDescent="0.2">
      <c r="A94" s="6">
        <v>203</v>
      </c>
      <c r="B94" s="6" t="s">
        <v>46</v>
      </c>
      <c r="C94" s="8" t="s">
        <v>270</v>
      </c>
    </row>
    <row r="95" spans="1:5" ht="15" customHeight="1" x14ac:dyDescent="0.2">
      <c r="A95" s="6">
        <v>204</v>
      </c>
      <c r="B95" s="6" t="s">
        <v>907</v>
      </c>
      <c r="C95" s="8" t="s">
        <v>270</v>
      </c>
    </row>
    <row r="96" spans="1:5" ht="15" customHeight="1" x14ac:dyDescent="0.2">
      <c r="A96" s="6">
        <v>207</v>
      </c>
      <c r="B96" s="6" t="s">
        <v>1550</v>
      </c>
      <c r="C96" s="8">
        <v>21</v>
      </c>
    </row>
    <row r="97" spans="1:5" ht="15" customHeight="1" x14ac:dyDescent="0.2">
      <c r="A97" s="6">
        <v>208</v>
      </c>
      <c r="B97" s="6" t="s">
        <v>920</v>
      </c>
      <c r="C97" s="8">
        <v>14</v>
      </c>
      <c r="D97" s="8">
        <v>18</v>
      </c>
    </row>
    <row r="98" spans="1:5" ht="15" customHeight="1" x14ac:dyDescent="0.2">
      <c r="A98" s="6">
        <v>210</v>
      </c>
      <c r="B98" s="6" t="s">
        <v>929</v>
      </c>
      <c r="C98" s="8">
        <v>8</v>
      </c>
      <c r="D98" s="8">
        <v>20</v>
      </c>
    </row>
    <row r="99" spans="1:5" ht="15" customHeight="1" x14ac:dyDescent="0.2">
      <c r="A99" s="6">
        <v>212</v>
      </c>
      <c r="B99" s="6" t="s">
        <v>938</v>
      </c>
      <c r="C99" s="8">
        <v>14</v>
      </c>
    </row>
    <row r="100" spans="1:5" ht="15" customHeight="1" x14ac:dyDescent="0.2">
      <c r="A100" s="6">
        <v>215</v>
      </c>
      <c r="B100" s="6" t="s">
        <v>949</v>
      </c>
      <c r="C100" s="8">
        <v>14</v>
      </c>
      <c r="D100" s="8">
        <v>20</v>
      </c>
    </row>
    <row r="101" spans="1:5" ht="15" customHeight="1" x14ac:dyDescent="0.2">
      <c r="A101" s="6">
        <v>217</v>
      </c>
      <c r="B101" s="6" t="s">
        <v>46</v>
      </c>
      <c r="C101" s="8" t="s">
        <v>270</v>
      </c>
    </row>
    <row r="102" spans="1:5" ht="15" customHeight="1" x14ac:dyDescent="0.2">
      <c r="A102" s="6">
        <v>219</v>
      </c>
      <c r="B102" s="6" t="s">
        <v>965</v>
      </c>
      <c r="C102" s="8">
        <v>24</v>
      </c>
    </row>
    <row r="103" spans="1:5" ht="15" customHeight="1" x14ac:dyDescent="0.2">
      <c r="A103" s="6">
        <v>221</v>
      </c>
      <c r="B103" s="6" t="s">
        <v>1549</v>
      </c>
      <c r="C103" s="8">
        <v>8</v>
      </c>
      <c r="D103" s="8">
        <v>2</v>
      </c>
    </row>
    <row r="104" spans="1:5" ht="15" customHeight="1" x14ac:dyDescent="0.2">
      <c r="A104" s="6">
        <v>222</v>
      </c>
      <c r="B104" s="6" t="s">
        <v>582</v>
      </c>
      <c r="C104" s="8">
        <v>0</v>
      </c>
    </row>
    <row r="105" spans="1:5" ht="15" customHeight="1" x14ac:dyDescent="0.2">
      <c r="A105" s="6">
        <v>223</v>
      </c>
      <c r="B105" s="6" t="s">
        <v>988</v>
      </c>
      <c r="C105" s="8">
        <v>8</v>
      </c>
    </row>
    <row r="106" spans="1:5" ht="15" customHeight="1" x14ac:dyDescent="0.2">
      <c r="A106" s="6">
        <v>226</v>
      </c>
      <c r="B106" s="6" t="s">
        <v>994</v>
      </c>
      <c r="C106" s="8">
        <v>18</v>
      </c>
    </row>
    <row r="107" spans="1:5" ht="15" customHeight="1" x14ac:dyDescent="0.2">
      <c r="A107" s="6">
        <v>231</v>
      </c>
      <c r="B107" s="6" t="s">
        <v>1004</v>
      </c>
      <c r="C107" s="8">
        <v>6</v>
      </c>
    </row>
    <row r="108" spans="1:5" ht="15" customHeight="1" x14ac:dyDescent="0.2">
      <c r="A108" s="6">
        <v>232</v>
      </c>
      <c r="B108" s="6" t="s">
        <v>1013</v>
      </c>
      <c r="C108" s="8">
        <v>4</v>
      </c>
    </row>
    <row r="109" spans="1:5" ht="15" customHeight="1" x14ac:dyDescent="0.2">
      <c r="A109" s="6">
        <v>233</v>
      </c>
      <c r="B109" s="6" t="s">
        <v>1023</v>
      </c>
      <c r="C109" s="8" t="s">
        <v>270</v>
      </c>
    </row>
    <row r="110" spans="1:5" ht="15" customHeight="1" x14ac:dyDescent="0.2">
      <c r="A110" s="6">
        <v>236</v>
      </c>
      <c r="B110" s="6" t="s">
        <v>1031</v>
      </c>
      <c r="C110" s="8">
        <v>8</v>
      </c>
      <c r="D110" s="8">
        <v>12</v>
      </c>
    </row>
    <row r="111" spans="1:5" ht="15" customHeight="1" x14ac:dyDescent="0.2">
      <c r="A111" s="6">
        <v>238</v>
      </c>
      <c r="B111" s="6" t="s">
        <v>1042</v>
      </c>
      <c r="C111" s="8">
        <v>8</v>
      </c>
      <c r="D111" s="8">
        <v>14</v>
      </c>
      <c r="E111" s="8">
        <v>18</v>
      </c>
    </row>
    <row r="112" spans="1:5" ht="15" customHeight="1" x14ac:dyDescent="0.2">
      <c r="A112" s="6">
        <v>241</v>
      </c>
      <c r="B112" s="6" t="s">
        <v>1052</v>
      </c>
      <c r="C112" s="8">
        <v>25</v>
      </c>
    </row>
    <row r="113" spans="1:5" ht="15" customHeight="1" x14ac:dyDescent="0.2">
      <c r="A113" s="6">
        <v>242</v>
      </c>
      <c r="B113" s="6" t="s">
        <v>650</v>
      </c>
      <c r="C113" s="8" t="s">
        <v>270</v>
      </c>
    </row>
    <row r="114" spans="1:5" ht="15" customHeight="1" x14ac:dyDescent="0.2">
      <c r="A114" s="6">
        <v>245</v>
      </c>
      <c r="B114" s="6" t="s">
        <v>1064</v>
      </c>
      <c r="C114" s="8">
        <v>8</v>
      </c>
      <c r="D114" s="8">
        <v>6</v>
      </c>
    </row>
    <row r="115" spans="1:5" ht="15" customHeight="1" x14ac:dyDescent="0.2">
      <c r="A115" s="6">
        <v>247</v>
      </c>
      <c r="B115" s="6" t="s">
        <v>1073</v>
      </c>
      <c r="C115" s="8">
        <v>18</v>
      </c>
    </row>
    <row r="116" spans="1:5" ht="15" customHeight="1" x14ac:dyDescent="0.2">
      <c r="A116" s="6">
        <v>249</v>
      </c>
      <c r="B116" s="6" t="s">
        <v>1083</v>
      </c>
      <c r="C116" s="8">
        <v>6</v>
      </c>
      <c r="D116" s="8">
        <v>7</v>
      </c>
      <c r="E116" s="8">
        <v>12</v>
      </c>
    </row>
    <row r="117" spans="1:5" ht="15" customHeight="1" x14ac:dyDescent="0.2">
      <c r="A117" s="6">
        <v>250</v>
      </c>
      <c r="B117" s="6" t="s">
        <v>1090</v>
      </c>
      <c r="C117" s="8">
        <v>8</v>
      </c>
      <c r="D117" s="8">
        <v>4</v>
      </c>
    </row>
    <row r="118" spans="1:5" ht="15" customHeight="1" x14ac:dyDescent="0.2">
      <c r="A118" s="6">
        <v>254</v>
      </c>
      <c r="B118" s="6" t="s">
        <v>1102</v>
      </c>
      <c r="C118" s="8">
        <v>14</v>
      </c>
    </row>
    <row r="119" spans="1:5" ht="15" customHeight="1" x14ac:dyDescent="0.2">
      <c r="A119" s="6">
        <v>256</v>
      </c>
      <c r="B119" s="6" t="s">
        <v>1110</v>
      </c>
      <c r="C119" s="8" t="s">
        <v>270</v>
      </c>
    </row>
    <row r="120" spans="1:5" ht="15" customHeight="1" x14ac:dyDescent="0.2">
      <c r="A120" s="6">
        <v>257</v>
      </c>
      <c r="B120" s="6" t="s">
        <v>1119</v>
      </c>
      <c r="C120" s="8">
        <v>14</v>
      </c>
      <c r="D120" s="8">
        <v>18</v>
      </c>
    </row>
    <row r="121" spans="1:5" ht="15" customHeight="1" x14ac:dyDescent="0.2">
      <c r="A121" s="6">
        <v>260</v>
      </c>
      <c r="B121" s="6" t="s">
        <v>1130</v>
      </c>
      <c r="C121" s="8">
        <v>4</v>
      </c>
    </row>
    <row r="122" spans="1:5" ht="15" customHeight="1" x14ac:dyDescent="0.2">
      <c r="A122" s="6">
        <v>262</v>
      </c>
      <c r="B122" s="6" t="s">
        <v>1139</v>
      </c>
      <c r="C122" s="8">
        <v>26</v>
      </c>
    </row>
    <row r="123" spans="1:5" ht="15" customHeight="1" x14ac:dyDescent="0.2">
      <c r="A123" s="6">
        <v>263</v>
      </c>
      <c r="B123" s="6" t="s">
        <v>1150</v>
      </c>
      <c r="C123" s="8">
        <v>27</v>
      </c>
    </row>
    <row r="124" spans="1:5" ht="15" customHeight="1" x14ac:dyDescent="0.2">
      <c r="A124" s="6">
        <v>272</v>
      </c>
      <c r="B124" s="6" t="s">
        <v>200</v>
      </c>
      <c r="C124" s="8" t="s">
        <v>270</v>
      </c>
    </row>
    <row r="125" spans="1:5" ht="15" customHeight="1" x14ac:dyDescent="0.2">
      <c r="A125" s="6">
        <v>273</v>
      </c>
      <c r="B125" s="6" t="s">
        <v>1168</v>
      </c>
      <c r="C125" s="8">
        <v>4</v>
      </c>
    </row>
    <row r="126" spans="1:5" ht="15" customHeight="1" x14ac:dyDescent="0.2">
      <c r="A126" s="6">
        <v>280</v>
      </c>
      <c r="B126" s="6" t="s">
        <v>1177</v>
      </c>
      <c r="C126" s="8">
        <v>8</v>
      </c>
      <c r="D126" s="8">
        <v>20</v>
      </c>
    </row>
    <row r="127" spans="1:5" ht="15" customHeight="1" x14ac:dyDescent="0.2">
      <c r="A127" s="6">
        <v>282</v>
      </c>
      <c r="B127" s="6" t="s">
        <v>1188</v>
      </c>
      <c r="C127" s="8">
        <v>14</v>
      </c>
    </row>
    <row r="128" spans="1:5" ht="15" customHeight="1" x14ac:dyDescent="0.2">
      <c r="A128" s="6">
        <v>286</v>
      </c>
      <c r="B128" s="6" t="s">
        <v>1198</v>
      </c>
      <c r="C128" s="8">
        <v>8</v>
      </c>
      <c r="D128" s="8">
        <v>4</v>
      </c>
    </row>
    <row r="129" spans="1:4" ht="15" customHeight="1" x14ac:dyDescent="0.2">
      <c r="A129" s="6">
        <v>287</v>
      </c>
      <c r="B129" s="6" t="s">
        <v>1210</v>
      </c>
      <c r="C129" s="8">
        <v>12</v>
      </c>
    </row>
    <row r="130" spans="1:4" ht="15" customHeight="1" x14ac:dyDescent="0.2">
      <c r="A130" s="6">
        <v>288</v>
      </c>
      <c r="B130" s="6" t="s">
        <v>1218</v>
      </c>
      <c r="C130" s="8">
        <v>18</v>
      </c>
    </row>
    <row r="131" spans="1:4" ht="15" customHeight="1" x14ac:dyDescent="0.2">
      <c r="A131" s="6">
        <v>289</v>
      </c>
      <c r="B131" s="6" t="s">
        <v>1227</v>
      </c>
      <c r="C131" s="8">
        <v>8</v>
      </c>
    </row>
    <row r="132" spans="1:4" ht="15" customHeight="1" x14ac:dyDescent="0.2">
      <c r="A132" s="6">
        <v>290</v>
      </c>
      <c r="B132" s="6" t="s">
        <v>1233</v>
      </c>
      <c r="C132" s="8">
        <v>14</v>
      </c>
    </row>
    <row r="133" spans="1:4" ht="15" customHeight="1" x14ac:dyDescent="0.2">
      <c r="A133" s="6">
        <v>291</v>
      </c>
      <c r="B133" s="6" t="s">
        <v>1241</v>
      </c>
      <c r="C133" s="8">
        <v>14</v>
      </c>
    </row>
    <row r="134" spans="1:4" ht="15" customHeight="1" x14ac:dyDescent="0.2">
      <c r="A134" s="6">
        <v>293</v>
      </c>
      <c r="B134" s="6" t="s">
        <v>1249</v>
      </c>
      <c r="C134" s="8">
        <v>14</v>
      </c>
    </row>
    <row r="135" spans="1:4" ht="15" customHeight="1" x14ac:dyDescent="0.2">
      <c r="A135" s="6">
        <v>294</v>
      </c>
      <c r="B135" s="6" t="s">
        <v>270</v>
      </c>
      <c r="C135" s="8" t="s">
        <v>270</v>
      </c>
    </row>
    <row r="136" spans="1:4" ht="15" customHeight="1" x14ac:dyDescent="0.2">
      <c r="A136" s="6">
        <v>295</v>
      </c>
      <c r="B136" s="6" t="s">
        <v>1268</v>
      </c>
      <c r="C136" s="8">
        <v>26</v>
      </c>
    </row>
    <row r="137" spans="1:4" ht="15" customHeight="1" x14ac:dyDescent="0.2">
      <c r="A137" s="6">
        <v>297</v>
      </c>
      <c r="B137" s="6" t="s">
        <v>1277</v>
      </c>
      <c r="C137" s="8">
        <v>18</v>
      </c>
      <c r="D137" s="8">
        <v>4</v>
      </c>
    </row>
    <row r="138" spans="1:4" ht="15" customHeight="1" x14ac:dyDescent="0.2">
      <c r="A138" s="6">
        <v>298</v>
      </c>
      <c r="B138" s="6" t="s">
        <v>270</v>
      </c>
      <c r="C138" s="8" t="s">
        <v>270</v>
      </c>
    </row>
    <row r="139" spans="1:4" ht="15" customHeight="1" x14ac:dyDescent="0.2">
      <c r="A139" s="6">
        <v>300</v>
      </c>
      <c r="B139" s="6" t="s">
        <v>1295</v>
      </c>
      <c r="C139" s="8">
        <v>14</v>
      </c>
    </row>
    <row r="140" spans="1:4" ht="15" customHeight="1" x14ac:dyDescent="0.2">
      <c r="A140" s="6">
        <v>301</v>
      </c>
      <c r="B140" s="6" t="s">
        <v>270</v>
      </c>
      <c r="C140" s="8" t="s">
        <v>270</v>
      </c>
    </row>
    <row r="141" spans="1:4" ht="15" customHeight="1" x14ac:dyDescent="0.2">
      <c r="A141" s="6">
        <v>302</v>
      </c>
      <c r="B141" s="6" t="s">
        <v>1309</v>
      </c>
      <c r="C141" s="8">
        <v>5</v>
      </c>
    </row>
    <row r="142" spans="1:4" ht="15" customHeight="1" x14ac:dyDescent="0.2">
      <c r="A142" s="6">
        <v>303</v>
      </c>
      <c r="B142" s="6" t="s">
        <v>1317</v>
      </c>
      <c r="C142" s="8" t="s">
        <v>270</v>
      </c>
    </row>
    <row r="143" spans="1:4" ht="15" customHeight="1" x14ac:dyDescent="0.2">
      <c r="A143" s="6">
        <v>304</v>
      </c>
      <c r="B143" s="6" t="s">
        <v>1325</v>
      </c>
      <c r="C143" s="8">
        <v>5</v>
      </c>
    </row>
    <row r="144" spans="1:4" ht="15" customHeight="1" x14ac:dyDescent="0.2">
      <c r="A144" s="6">
        <v>305</v>
      </c>
      <c r="B144" s="6" t="s">
        <v>1335</v>
      </c>
      <c r="C144" s="8">
        <v>5</v>
      </c>
    </row>
    <row r="145" spans="1:5" ht="15" customHeight="1" x14ac:dyDescent="0.2">
      <c r="A145" s="6">
        <v>307</v>
      </c>
      <c r="B145" s="6" t="s">
        <v>270</v>
      </c>
      <c r="C145" s="8" t="s">
        <v>270</v>
      </c>
    </row>
    <row r="146" spans="1:5" ht="15" customHeight="1" x14ac:dyDescent="0.2">
      <c r="A146" s="6">
        <v>308</v>
      </c>
      <c r="B146" s="6" t="s">
        <v>1350</v>
      </c>
      <c r="C146" s="8">
        <v>8</v>
      </c>
      <c r="D146" s="8">
        <v>18</v>
      </c>
      <c r="E146" s="8">
        <v>6</v>
      </c>
    </row>
    <row r="147" spans="1:5" ht="15" customHeight="1" x14ac:dyDescent="0.2">
      <c r="A147" s="1">
        <v>310</v>
      </c>
      <c r="B147" s="1" t="s">
        <v>270</v>
      </c>
      <c r="C147" s="8" t="s">
        <v>270</v>
      </c>
    </row>
    <row r="148" spans="1:5" ht="15" customHeight="1" x14ac:dyDescent="0.2">
      <c r="A148" s="1">
        <v>312</v>
      </c>
      <c r="B148" s="1" t="s">
        <v>650</v>
      </c>
      <c r="C148" s="8" t="s">
        <v>270</v>
      </c>
    </row>
    <row r="149" spans="1:5" ht="15" customHeight="1" x14ac:dyDescent="0.2">
      <c r="A149" s="1">
        <v>314</v>
      </c>
      <c r="B149" s="1" t="s">
        <v>1419</v>
      </c>
      <c r="C149" s="8">
        <v>13</v>
      </c>
      <c r="D149" s="8">
        <v>5</v>
      </c>
      <c r="E149" s="8">
        <v>8</v>
      </c>
    </row>
    <row r="150" spans="1:5" ht="15" customHeight="1" x14ac:dyDescent="0.2">
      <c r="A150" s="1">
        <v>315</v>
      </c>
      <c r="B150" s="1" t="s">
        <v>877</v>
      </c>
      <c r="C150" s="8">
        <v>99</v>
      </c>
    </row>
    <row r="151" spans="1:5" ht="15" customHeight="1" x14ac:dyDescent="0.2">
      <c r="A151" s="1">
        <v>316</v>
      </c>
      <c r="B151" s="1" t="s">
        <v>1420</v>
      </c>
      <c r="C151" s="8">
        <v>12</v>
      </c>
      <c r="D151" s="8">
        <v>8</v>
      </c>
    </row>
    <row r="152" spans="1:5" ht="15" customHeight="1" x14ac:dyDescent="0.2">
      <c r="A152" s="1">
        <v>317</v>
      </c>
      <c r="B152" s="1" t="s">
        <v>46</v>
      </c>
      <c r="C152" s="8" t="s">
        <v>270</v>
      </c>
    </row>
    <row r="153" spans="1:5" ht="15" customHeight="1" x14ac:dyDescent="0.2">
      <c r="A153" s="1">
        <v>319</v>
      </c>
      <c r="B153" s="1" t="s">
        <v>1421</v>
      </c>
      <c r="C153" s="8" t="s">
        <v>270</v>
      </c>
    </row>
    <row r="154" spans="1:5" ht="15" customHeight="1" x14ac:dyDescent="0.2">
      <c r="A154" s="1">
        <v>323</v>
      </c>
      <c r="B154" s="1" t="s">
        <v>1422</v>
      </c>
      <c r="C154" s="8">
        <v>9</v>
      </c>
      <c r="D154" s="8">
        <v>15</v>
      </c>
    </row>
    <row r="155" spans="1:5" ht="15" customHeight="1" x14ac:dyDescent="0.2">
      <c r="A155" s="1">
        <v>324</v>
      </c>
      <c r="B155" s="1" t="s">
        <v>1423</v>
      </c>
      <c r="C155" s="8">
        <v>14</v>
      </c>
    </row>
    <row r="156" spans="1:5" ht="15" customHeight="1" x14ac:dyDescent="0.2">
      <c r="A156" s="1">
        <v>325</v>
      </c>
      <c r="B156" s="1" t="s">
        <v>1424</v>
      </c>
      <c r="C156" s="8">
        <v>15</v>
      </c>
      <c r="D156" s="8">
        <v>5</v>
      </c>
    </row>
    <row r="157" spans="1:5" ht="15" customHeight="1" x14ac:dyDescent="0.2">
      <c r="A157" s="1">
        <v>327</v>
      </c>
      <c r="B157" s="1" t="s">
        <v>650</v>
      </c>
      <c r="C157" s="8" t="s">
        <v>270</v>
      </c>
    </row>
    <row r="158" spans="1:5" ht="15" customHeight="1" x14ac:dyDescent="0.2">
      <c r="A158" s="1">
        <v>328</v>
      </c>
      <c r="B158" s="1" t="s">
        <v>46</v>
      </c>
      <c r="C158" s="8" t="s">
        <v>270</v>
      </c>
    </row>
    <row r="159" spans="1:5" ht="15" customHeight="1" x14ac:dyDescent="0.2">
      <c r="A159" s="1">
        <v>329</v>
      </c>
      <c r="B159" s="1" t="s">
        <v>1425</v>
      </c>
      <c r="C159" s="8">
        <v>18</v>
      </c>
    </row>
    <row r="160" spans="1:5" ht="15" customHeight="1" x14ac:dyDescent="0.2">
      <c r="A160" s="8">
        <v>331</v>
      </c>
      <c r="B160" s="1" t="s">
        <v>1510</v>
      </c>
      <c r="C160" s="8">
        <v>8</v>
      </c>
      <c r="D160" s="8">
        <v>28</v>
      </c>
    </row>
    <row r="161" spans="1:4" ht="15" customHeight="1" x14ac:dyDescent="0.2">
      <c r="A161" s="8">
        <v>332</v>
      </c>
      <c r="B161" s="1" t="s">
        <v>1511</v>
      </c>
      <c r="C161" s="8" t="s">
        <v>270</v>
      </c>
    </row>
    <row r="162" spans="1:4" ht="15" customHeight="1" x14ac:dyDescent="0.2">
      <c r="A162" s="8">
        <v>334</v>
      </c>
      <c r="B162" s="1" t="s">
        <v>46</v>
      </c>
      <c r="C162" s="8" t="s">
        <v>270</v>
      </c>
    </row>
    <row r="163" spans="1:4" ht="15" customHeight="1" x14ac:dyDescent="0.2">
      <c r="A163" s="8">
        <v>336</v>
      </c>
      <c r="B163" s="1" t="s">
        <v>1502</v>
      </c>
      <c r="C163" s="8">
        <v>0</v>
      </c>
    </row>
    <row r="164" spans="1:4" ht="15" customHeight="1" x14ac:dyDescent="0.2">
      <c r="A164" s="8">
        <v>337</v>
      </c>
      <c r="B164" s="1" t="s">
        <v>1512</v>
      </c>
      <c r="C164" s="8">
        <v>14</v>
      </c>
      <c r="D164" s="8">
        <v>18</v>
      </c>
    </row>
  </sheetData>
  <sortState ref="G4:J29">
    <sortCondition descending="1" ref="I4:I29"/>
  </sortState>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All Data</vt:lpstr>
      <vt:lpstr>Gender</vt:lpstr>
      <vt:lpstr>Age</vt:lpstr>
      <vt:lpstr>Position</vt:lpstr>
      <vt:lpstr>Institution</vt:lpstr>
      <vt:lpstr>discipline</vt:lpstr>
      <vt:lpstr>challenges</vt:lpstr>
      <vt:lpstr>concerns1</vt:lpstr>
      <vt:lpstr>concerns2</vt:lpstr>
      <vt:lpstr>use y-n</vt:lpstr>
      <vt:lpstr>first use</vt:lpstr>
      <vt:lpstr>how often</vt:lpstr>
      <vt:lpstr>software</vt:lpstr>
      <vt:lpstr>training</vt:lpstr>
      <vt:lpstr>formula</vt:lpstr>
      <vt:lpstr>variance</vt:lpstr>
      <vt:lpstr>report</vt:lpstr>
      <vt:lpstr>results</vt:lpstr>
      <vt:lpstr>future use</vt:lpstr>
      <vt:lpstr>interest</vt:lpstr>
      <vt:lpstr>preferred report</vt:lpstr>
      <vt:lpstr>analysis code</vt:lpstr>
      <vt:lpstr>Mixed model pubmed citations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Elisabeth Volke</dc:creator>
  <cp:lastModifiedBy>Microsoft Office User</cp:lastModifiedBy>
  <dcterms:created xsi:type="dcterms:W3CDTF">2015-02-09T12:38:38Z</dcterms:created>
  <dcterms:modified xsi:type="dcterms:W3CDTF">2018-07-24T08:45:11Z</dcterms:modified>
</cp:coreProperties>
</file>