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r.hunger\Documents\MHB Arbeit\18. Pankreas\data\"/>
    </mc:Choice>
  </mc:AlternateContent>
  <xr:revisionPtr revIDLastSave="0" documentId="13_ncr:1_{E3D77611-EABD-4FF4-AE0A-DC37E9D35435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Sheet 1" sheetId="1" r:id="rId1"/>
    <sheet name="Factor explanations" sheetId="2" r:id="rId2"/>
    <sheet name="Annotations" sheetId="3" r:id="rId3"/>
  </sheets>
  <definedNames>
    <definedName name="_xlnm._FilterDatabase" localSheetId="0" hidden="1">'Sheet 1'!$B$2:$B$726</definedName>
    <definedName name="_xlnm.Extract" localSheetId="1">'Factor explanations'!$A$1:$A$28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6" i="1" l="1"/>
  <c r="F442" i="1"/>
  <c r="E442" i="1"/>
  <c r="F509" i="1" l="1"/>
  <c r="E509" i="1"/>
  <c r="F737" i="1" l="1"/>
  <c r="E737" i="1"/>
  <c r="D737" i="1"/>
  <c r="F736" i="1"/>
  <c r="E736" i="1"/>
  <c r="F733" i="1"/>
  <c r="E733" i="1"/>
  <c r="F718" i="1"/>
  <c r="E718" i="1"/>
  <c r="F726" i="1"/>
  <c r="E726" i="1"/>
  <c r="D726" i="1"/>
  <c r="F723" i="1"/>
  <c r="E723" i="1"/>
  <c r="F721" i="1"/>
  <c r="E721" i="1"/>
  <c r="F717" i="1"/>
  <c r="E717" i="1"/>
  <c r="F716" i="1"/>
  <c r="E716" i="1"/>
  <c r="F715" i="1"/>
  <c r="E715" i="1"/>
  <c r="F693" i="1"/>
  <c r="E693" i="1"/>
  <c r="D693" i="1"/>
  <c r="F690" i="1"/>
  <c r="E690" i="1"/>
  <c r="F672" i="1"/>
  <c r="E672" i="1"/>
  <c r="F671" i="1"/>
  <c r="E671" i="1"/>
  <c r="F670" i="1"/>
  <c r="E670" i="1"/>
  <c r="F667" i="1"/>
  <c r="E667" i="1"/>
  <c r="F664" i="1"/>
  <c r="E664" i="1"/>
  <c r="F665" i="1"/>
  <c r="E665" i="1"/>
  <c r="F660" i="1"/>
  <c r="E660" i="1"/>
  <c r="F652" i="1"/>
  <c r="E652" i="1"/>
  <c r="F657" i="1"/>
  <c r="E657" i="1"/>
  <c r="F644" i="1"/>
  <c r="E644" i="1"/>
  <c r="D644" i="1"/>
  <c r="F636" i="1"/>
  <c r="E636" i="1"/>
  <c r="F622" i="1"/>
  <c r="E622" i="1"/>
  <c r="F621" i="1"/>
  <c r="E621" i="1"/>
  <c r="E624" i="1"/>
  <c r="F624" i="1"/>
  <c r="F614" i="1"/>
  <c r="E614" i="1"/>
  <c r="F610" i="1"/>
  <c r="E610" i="1"/>
  <c r="F608" i="1"/>
  <c r="E608" i="1"/>
  <c r="F607" i="1"/>
  <c r="E607" i="1"/>
  <c r="F606" i="1"/>
  <c r="E606" i="1"/>
  <c r="F590" i="1"/>
  <c r="E590" i="1"/>
  <c r="D590" i="1"/>
  <c r="E591" i="1"/>
  <c r="F591" i="1"/>
  <c r="F592" i="1"/>
  <c r="E592" i="1"/>
  <c r="F595" i="1"/>
  <c r="E595" i="1"/>
  <c r="F593" i="1"/>
  <c r="E593" i="1"/>
  <c r="D593" i="1"/>
  <c r="F566" i="1"/>
  <c r="E566" i="1"/>
  <c r="F565" i="1"/>
  <c r="E565" i="1"/>
  <c r="F548" i="1"/>
  <c r="E548" i="1"/>
  <c r="F547" i="1"/>
  <c r="E547" i="1"/>
  <c r="F550" i="1"/>
  <c r="E550" i="1"/>
  <c r="D549" i="1"/>
  <c r="F546" i="1"/>
  <c r="E546" i="1"/>
  <c r="F525" i="1"/>
  <c r="E525" i="1"/>
  <c r="D525" i="1"/>
  <c r="F514" i="1"/>
  <c r="E514" i="1"/>
  <c r="F511" i="1"/>
  <c r="E511" i="1"/>
  <c r="D509" i="1"/>
  <c r="F494" i="1"/>
  <c r="E494" i="1"/>
  <c r="D494" i="1"/>
  <c r="D491" i="1"/>
  <c r="F492" i="1"/>
  <c r="E492" i="1"/>
  <c r="F488" i="1"/>
  <c r="E488" i="1"/>
  <c r="E457" i="1"/>
  <c r="F457" i="1"/>
  <c r="F462" i="1"/>
  <c r="E462" i="1"/>
  <c r="D462" i="1"/>
  <c r="F458" i="1"/>
  <c r="E458" i="1"/>
  <c r="F449" i="1"/>
  <c r="E449" i="1"/>
  <c r="D449" i="1"/>
  <c r="F450" i="1"/>
  <c r="E450" i="1"/>
  <c r="F452" i="1"/>
  <c r="E452" i="1"/>
  <c r="F434" i="1"/>
  <c r="E434" i="1"/>
  <c r="E432" i="1"/>
  <c r="D432" i="1"/>
  <c r="F432" i="1"/>
  <c r="F436" i="1"/>
  <c r="E436" i="1"/>
  <c r="D436" i="1"/>
  <c r="F435" i="1"/>
  <c r="E435" i="1"/>
  <c r="F430" i="1"/>
  <c r="E430" i="1"/>
  <c r="F431" i="1"/>
  <c r="E431" i="1"/>
  <c r="F425" i="1"/>
  <c r="E425" i="1"/>
  <c r="D354" i="1" l="1"/>
  <c r="F355" i="1"/>
  <c r="E355" i="1"/>
  <c r="D355" i="1"/>
  <c r="F353" i="1"/>
  <c r="E353" i="1"/>
  <c r="F352" i="1"/>
  <c r="E352" i="1"/>
  <c r="F335" i="1"/>
  <c r="E335" i="1"/>
  <c r="D335" i="1"/>
  <c r="F325" i="1"/>
  <c r="E325" i="1"/>
  <c r="D325" i="1"/>
  <c r="F329" i="1"/>
  <c r="E329" i="1"/>
  <c r="F326" i="1"/>
  <c r="E326" i="1"/>
  <c r="F316" i="1"/>
  <c r="E316" i="1"/>
  <c r="F313" i="1"/>
  <c r="E313" i="1"/>
  <c r="E307" i="1"/>
  <c r="F307" i="1"/>
  <c r="F308" i="1"/>
  <c r="E308" i="1"/>
  <c r="F300" i="1"/>
  <c r="E300" i="1"/>
  <c r="F281" i="1"/>
  <c r="E281" i="1"/>
  <c r="F279" i="1"/>
  <c r="E279" i="1"/>
  <c r="E264" i="1"/>
  <c r="F264" i="1"/>
  <c r="D264" i="1"/>
  <c r="F270" i="1"/>
  <c r="E270" i="1"/>
  <c r="E265" i="1"/>
  <c r="F265" i="1"/>
  <c r="F269" i="1"/>
  <c r="E269" i="1"/>
  <c r="F266" i="1"/>
  <c r="E266" i="1"/>
  <c r="F249" i="1"/>
  <c r="E249" i="1"/>
  <c r="F247" i="1"/>
  <c r="E247" i="1"/>
  <c r="F251" i="1"/>
  <c r="E251" i="1"/>
  <c r="F246" i="1"/>
  <c r="E246" i="1"/>
  <c r="F243" i="1"/>
  <c r="F255" i="1"/>
  <c r="E255" i="1"/>
  <c r="D255" i="1"/>
  <c r="F250" i="1"/>
  <c r="E250" i="1"/>
  <c r="D250" i="1"/>
  <c r="D251" i="1"/>
  <c r="F240" i="1"/>
  <c r="E240" i="1"/>
  <c r="F242" i="1"/>
  <c r="E242" i="1"/>
  <c r="F241" i="1"/>
  <c r="E241" i="1"/>
  <c r="F238" i="1"/>
  <c r="E238" i="1"/>
  <c r="F239" i="1"/>
  <c r="E239" i="1"/>
  <c r="E184" i="1"/>
  <c r="F184" i="1"/>
  <c r="F180" i="1"/>
  <c r="E180" i="1"/>
  <c r="D180" i="1"/>
  <c r="F175" i="1"/>
  <c r="E175" i="1"/>
  <c r="F174" i="1"/>
  <c r="E174" i="1"/>
  <c r="E179" i="1"/>
  <c r="F179" i="1"/>
  <c r="D179" i="1"/>
  <c r="F176" i="1"/>
  <c r="E176" i="1"/>
  <c r="D176" i="1"/>
  <c r="F173" i="1"/>
  <c r="E173" i="1"/>
  <c r="D173" i="1"/>
  <c r="F166" i="1"/>
  <c r="E166" i="1"/>
  <c r="E160" i="1"/>
  <c r="F160" i="1"/>
  <c r="F161" i="1"/>
  <c r="E161" i="1"/>
  <c r="F163" i="1"/>
  <c r="E163" i="1"/>
  <c r="D163" i="1"/>
  <c r="F159" i="1"/>
  <c r="E159" i="1"/>
  <c r="F149" i="1"/>
  <c r="E149" i="1"/>
  <c r="D135" i="1"/>
  <c r="E127" i="1"/>
  <c r="F126" i="1"/>
  <c r="E126" i="1"/>
  <c r="F125" i="1"/>
  <c r="E125" i="1"/>
  <c r="F83" i="1"/>
  <c r="E83" i="1"/>
  <c r="F49" i="1"/>
  <c r="E49" i="1"/>
  <c r="D47" i="1"/>
  <c r="F43" i="1"/>
  <c r="E43" i="1"/>
  <c r="D43" i="1"/>
  <c r="F38" i="1"/>
  <c r="E38" i="1"/>
  <c r="D38" i="1"/>
  <c r="F41" i="1"/>
  <c r="E41" i="1"/>
  <c r="D41" i="1"/>
  <c r="F28" i="1"/>
  <c r="E28" i="1"/>
  <c r="D28" i="1"/>
  <c r="F23" i="1"/>
  <c r="E23" i="1"/>
  <c r="E4" i="1"/>
  <c r="F4" i="1"/>
  <c r="F50" i="1"/>
  <c r="E50" i="1"/>
  <c r="D50" i="1"/>
  <c r="F58" i="1"/>
  <c r="E58" i="1"/>
  <c r="D58" i="1"/>
  <c r="F57" i="1"/>
  <c r="E57" i="1"/>
  <c r="D57" i="1"/>
  <c r="F56" i="1"/>
  <c r="E56" i="1"/>
  <c r="D56" i="1"/>
  <c r="F55" i="1"/>
  <c r="E55" i="1"/>
  <c r="D566" i="1" l="1"/>
  <c r="D375" i="1" l="1"/>
  <c r="D371" i="1"/>
  <c r="D623" i="1"/>
  <c r="D550" i="1"/>
  <c r="D492" i="1"/>
  <c r="D450" i="1"/>
  <c r="D389" i="1"/>
  <c r="D390" i="1"/>
  <c r="D386" i="1"/>
  <c r="D323" i="1"/>
  <c r="D166" i="1"/>
  <c r="D329" i="1"/>
  <c r="D343" i="1" l="1"/>
  <c r="D77" i="1" l="1"/>
  <c r="D663" i="1" l="1"/>
  <c r="D636" i="1" l="1"/>
  <c r="D667" i="1"/>
  <c r="D715" i="1"/>
  <c r="D655" i="1"/>
  <c r="D716" i="1"/>
  <c r="D664" i="1"/>
  <c r="D665" i="1"/>
  <c r="D728" i="1"/>
  <c r="D653" i="1"/>
  <c r="D660" i="1"/>
  <c r="D652" i="1"/>
  <c r="D657" i="1"/>
  <c r="D730" i="1"/>
  <c r="D468" i="1"/>
  <c r="D457" i="1"/>
  <c r="D458" i="1"/>
  <c r="D565" i="1"/>
  <c r="D265" i="1" l="1"/>
  <c r="D270" i="1"/>
  <c r="D269" i="1" l="1"/>
  <c r="D266" i="1"/>
  <c r="D23" i="1"/>
  <c r="D610" i="1" l="1"/>
  <c r="D608" i="1"/>
  <c r="D606" i="1"/>
  <c r="D607" i="1"/>
  <c r="D548" i="1" l="1"/>
  <c r="D547" i="1"/>
  <c r="D546" i="1"/>
  <c r="D591" i="1" l="1"/>
  <c r="D592" i="1"/>
  <c r="D595" i="1" l="1"/>
  <c r="D313" i="1"/>
  <c r="D316" i="1"/>
  <c r="D312" i="1"/>
  <c r="D353" i="1" l="1"/>
  <c r="D352" i="1"/>
  <c r="D83" i="1" l="1"/>
  <c r="D614" i="1"/>
  <c r="D687" i="1"/>
  <c r="D361" i="1"/>
  <c r="D184" i="1"/>
  <c r="D624" i="1"/>
  <c r="D621" i="1"/>
  <c r="D622" i="1"/>
  <c r="D382" i="1" l="1"/>
  <c r="D279" i="1"/>
  <c r="D281" i="1"/>
  <c r="D518" i="1"/>
  <c r="D672" i="1"/>
  <c r="D671" i="1"/>
  <c r="D670" i="1"/>
  <c r="D512" i="1"/>
  <c r="D514" i="1"/>
  <c r="D511" i="1"/>
  <c r="D690" i="1"/>
  <c r="D501" i="1" l="1"/>
  <c r="D489" i="1" l="1"/>
  <c r="D488" i="1"/>
  <c r="D149" i="1" l="1"/>
  <c r="D126" i="1"/>
  <c r="D127" i="1"/>
  <c r="D125" i="1"/>
  <c r="D134" i="1"/>
  <c r="D308" i="1"/>
  <c r="D307" i="1"/>
  <c r="D300" i="1"/>
  <c r="D241" i="1"/>
  <c r="D240" i="1"/>
  <c r="D242" i="1"/>
  <c r="D239" i="1"/>
  <c r="D238" i="1"/>
  <c r="D336" i="1"/>
  <c r="D736" i="1"/>
  <c r="D735" i="1"/>
  <c r="D733" i="1"/>
  <c r="D4" i="1"/>
  <c r="D160" i="1"/>
  <c r="D161" i="1"/>
  <c r="D159" i="1"/>
  <c r="D249" i="1" l="1"/>
  <c r="D247" i="1"/>
  <c r="D243" i="1"/>
  <c r="D246" i="1"/>
  <c r="D344" i="1"/>
</calcChain>
</file>

<file path=xl/sharedStrings.xml><?xml version="1.0" encoding="utf-8"?>
<sst xmlns="http://schemas.openxmlformats.org/spreadsheetml/2006/main" count="1736" uniqueCount="298">
  <si>
    <t>Study</t>
  </si>
  <si>
    <t>Adjusting factor</t>
  </si>
  <si>
    <t>Consideration</t>
  </si>
  <si>
    <t>Effect</t>
  </si>
  <si>
    <t>Alsfasser, 2015</t>
  </si>
  <si>
    <t>Age</t>
  </si>
  <si>
    <t>Race</t>
  </si>
  <si>
    <t>Procedure</t>
  </si>
  <si>
    <t>Necrosectomy</t>
  </si>
  <si>
    <t>Balzano, 2008</t>
  </si>
  <si>
    <t>Balzano, 2020</t>
  </si>
  <si>
    <t>Bilimoria, 2008</t>
  </si>
  <si>
    <t>Eppsteiner, 2009</t>
  </si>
  <si>
    <t>Gasper, 2009</t>
  </si>
  <si>
    <t>Krautz, 2018</t>
  </si>
  <si>
    <t>McPhee, 2007</t>
  </si>
  <si>
    <t>Merath, 2019</t>
  </si>
  <si>
    <t>Resection year</t>
  </si>
  <si>
    <t>Socio-economic status</t>
  </si>
  <si>
    <t>Chemotherapy (adj.)</t>
  </si>
  <si>
    <t>Radiotherapy (adj.)</t>
  </si>
  <si>
    <t>Insurance type</t>
  </si>
  <si>
    <t>Comorbidity scores</t>
  </si>
  <si>
    <t>Single comorbidities</t>
  </si>
  <si>
    <t>Vascular resection</t>
  </si>
  <si>
    <t>Multivisceral resections</t>
  </si>
  <si>
    <t>Minimally invasive</t>
  </si>
  <si>
    <t>Hospital teaching status</t>
  </si>
  <si>
    <t>Hospital bed size</t>
  </si>
  <si>
    <t>Reference category: female</t>
  </si>
  <si>
    <t>Critical as single comorbidity results indicate high dependency of concrete comorbidity</t>
  </si>
  <si>
    <t>Highest reported odds ratio</t>
  </si>
  <si>
    <t>Reference category: not performed;
Local excision or destruction of pancreas and pancreatic duct (OPS: 5-521, ICD-9: 52.2)</t>
  </si>
  <si>
    <t>Variables with multiple categories: if multiple values are present and only one reaches statistical significance, the complete variable is considered significant, eg McPhee, 2007: resection year</t>
  </si>
  <si>
    <t>Merath furthermore assessed "severity of illness" and "patient risk of mortality", however definition and meaning of the concepts were not given</t>
  </si>
  <si>
    <t>Eppsteiner furthermore conducted a propensity matching, here we used results of unmatched logistic regression model</t>
  </si>
  <si>
    <t>Krautz: Results from the model with "All major pancreatic resections" was used</t>
  </si>
  <si>
    <t>Hospital volume</t>
  </si>
  <si>
    <t>Surgeon volume</t>
  </si>
  <si>
    <t>Sheetz, 2019</t>
  </si>
  <si>
    <t>Hospital nurse/patient ratio</t>
  </si>
  <si>
    <t>Hospital business model</t>
  </si>
  <si>
    <t>Sheetz: Last reported time period (2013-2016) was used</t>
  </si>
  <si>
    <t>El Amrani, 2019</t>
  </si>
  <si>
    <t>Gasper only reported significance of risk factors of the unvariable analysis, adjusted mortality was examined in multivariable analysis, reported ORs are calculated from univariable data (unadjusted),  Data from 2000-2004 were used</t>
  </si>
  <si>
    <t>Neoadjuvant therapy</t>
  </si>
  <si>
    <t>Mamidanna, 2016</t>
  </si>
  <si>
    <t>Number of years with at least one index operation</t>
  </si>
  <si>
    <t>Mehta, 2016</t>
  </si>
  <si>
    <t>Surgeon US trained</t>
  </si>
  <si>
    <t>Surgeon gender</t>
  </si>
  <si>
    <t>Surgeon speciality</t>
  </si>
  <si>
    <t>Surgeon years of practice</t>
  </si>
  <si>
    <t>Surgeon age</t>
  </si>
  <si>
    <t>If categories in the annotation are given, values in parenthese indicate reference level, with lowest odds for mortality</t>
  </si>
  <si>
    <t>Reference category: Performed;
ElAmrani: No distinction between radiotherapy and chemotherapy</t>
  </si>
  <si>
    <t>Per year increase in surgeon's age</t>
  </si>
  <si>
    <t>Rijssen, 2018</t>
  </si>
  <si>
    <t>BMI</t>
  </si>
  <si>
    <t>Perez-Lopez, 2016</t>
  </si>
  <si>
    <t>Readmission</t>
  </si>
  <si>
    <t>Length-of-stay</t>
  </si>
  <si>
    <t>Male (vs. Female)</t>
  </si>
  <si>
    <t>Trained in the US (vs. not)</t>
  </si>
  <si>
    <t>Perez-Lopez: Some factors were not reported, because of high interdependency (eg, number of days of pre- and postoperative stay)</t>
  </si>
  <si>
    <t>Per year increase in age; McPhee: not reconstructable; Merath: not reconstructable;</t>
  </si>
  <si>
    <t>Yes (vs. No);
Balzano, 2020: resection of vessel with anastomosis: abdominal arteries/abdominal vein/unspecified site or suture of artery/vein</t>
  </si>
  <si>
    <t>Yes (vs. No);
Nymo: Readmission for relaparotomy</t>
  </si>
  <si>
    <t>Tumour size</t>
  </si>
  <si>
    <t>Radiotherapy (neoadj.)</t>
  </si>
  <si>
    <t>Chemotherapy (neoadj.)</t>
  </si>
  <si>
    <t>Open (vs. mininmally invasive approach)</t>
  </si>
  <si>
    <t>Kutlu: Results suggest an significant interaction between type of surgery (open/laparoscopic) and ospital volume quartile</t>
  </si>
  <si>
    <t>Hachey, 2018</t>
  </si>
  <si>
    <t>Wasif, 2018</t>
  </si>
  <si>
    <t>Liu, 2018</t>
  </si>
  <si>
    <t>Tumour location</t>
  </si>
  <si>
    <t>Cancer history</t>
  </si>
  <si>
    <t>Cancer diagnosis in patient history</t>
  </si>
  <si>
    <t>Hospital staffing</t>
  </si>
  <si>
    <t>Full-time equivalent physicians</t>
  </si>
  <si>
    <t>Enomoto, 2013</t>
  </si>
  <si>
    <t>Emoto: No separate effect sizes for surgeon and hospital volume were reported</t>
  </si>
  <si>
    <t>Ahola, 2019</t>
  </si>
  <si>
    <t>Amini, 2015</t>
  </si>
  <si>
    <t>Amini: Results from 2008-2011 were used</t>
  </si>
  <si>
    <t>Krautz, 2019</t>
  </si>
  <si>
    <t>Surgeon procedure frequency</t>
  </si>
  <si>
    <t>Krautz, 2019: Results indicate a slight interaction between total surgeon volume and degree of supervision (not reported here)</t>
  </si>
  <si>
    <r>
      <t xml:space="preserve">Frequency of practice;
Krautz, 2019: &lt;3 pancreatic resections within 6 weeks before index procedure (vs. </t>
    </r>
    <r>
      <rPr>
        <sz val="11"/>
        <color rgb="FF000000"/>
        <rFont val="Calibri"/>
        <family val="2"/>
      </rPr>
      <t>≥ 3)</t>
    </r>
  </si>
  <si>
    <t>Güller, 2017</t>
  </si>
  <si>
    <t>Patient nationality</t>
  </si>
  <si>
    <t>Güller: non-swiss (vs. Swiss)</t>
  </si>
  <si>
    <t>Kagedan, 2017</t>
  </si>
  <si>
    <t>Kagedan: All hospitals were hepatopancreatobiliary centers</t>
  </si>
  <si>
    <t>Kim, 2011</t>
  </si>
  <si>
    <t>Derogar, 2015</t>
  </si>
  <si>
    <t>Healy, 2015</t>
  </si>
  <si>
    <r>
      <t xml:space="preserve">Per point increase in score; 
Gasper: number of secondary diagnoses;
ElAmrani: Charlson score
Mamidanna: Modified Charlson Score (UK-specific);
Mehta: weighted Elixhauser summary score (VanWalraven);
Perez-Lopez: Charlson score;
Amini: &gt; 2 Charlson comorbidity score (vs. </t>
    </r>
    <r>
      <rPr>
        <sz val="11"/>
        <color rgb="FF000000"/>
        <rFont val="Calibri"/>
        <family val="2"/>
      </rPr>
      <t>≤ 2);
Yoshioka: Charloson comorbidity index;
Kagedan: Johns Hopkins Adjusted Clinical Groups, ≥ 10 (vs. &lt; 10);
Kim: Charlson score ≥ 3 (vs. &lt; 3);
Healy: total number of comorbidities</t>
    </r>
  </si>
  <si>
    <t>Healy: Results from second time period was used (2011-08/2013)</t>
  </si>
  <si>
    <t>Callahan: Results from overall model used</t>
  </si>
  <si>
    <t>Callahan, 2019</t>
  </si>
  <si>
    <t>El Amrani, 2018</t>
  </si>
  <si>
    <t>El Amrani, 2019: ORs for Neadjuvant therapy and minimally invasive procedure calculated from univariable data (unadjusted values)</t>
  </si>
  <si>
    <t>El Amrani, 2018: Hospital volume effect was cross-classified with presence of major complication</t>
  </si>
  <si>
    <t>Nathan, 2009</t>
  </si>
  <si>
    <t>Nathan, 2015</t>
  </si>
  <si>
    <t>Per day increase;
Nathan, 2015: Preoperative length-of-stay</t>
  </si>
  <si>
    <t>Martial status</t>
  </si>
  <si>
    <t>not married (vs. Married)</t>
  </si>
  <si>
    <t>Residence</t>
  </si>
  <si>
    <t>Patients residence: Rural (vs. Urban)</t>
  </si>
  <si>
    <t>Nimptsch, 2016</t>
  </si>
  <si>
    <t>Yes (vs. No);
Krautz, 2018: Spleen, stomach, liver, small intestine, colon;
Nimptsch, 2016: Spleen, stomach, liver, small intestine, colon</t>
  </si>
  <si>
    <t>Birkmeyer, 1999</t>
  </si>
  <si>
    <t>Tran, 2015</t>
  </si>
  <si>
    <t>O'Mahoney, 2016</t>
  </si>
  <si>
    <t>O'Mahoney, 2016: Largest Dataset (California) was used</t>
  </si>
  <si>
    <t>Reames, 2014</t>
  </si>
  <si>
    <t>Ho, 2003</t>
  </si>
  <si>
    <t>Hospital experience</t>
  </si>
  <si>
    <t>number of years, the hospital performed at least one procedure</t>
  </si>
  <si>
    <t>Lin, 2006</t>
  </si>
  <si>
    <t>Sheetz: definition not stated;
Mehta: Nonprofit type (vs. Profit);
Lin, 2006: (public, private-nonprofit, private-profit)</t>
  </si>
  <si>
    <t>Teh, 2009</t>
  </si>
  <si>
    <t>Reference category: most recent year
Alsfasser extrapolated 3-year data on annual vaules;
Balzano, 2020: used 3year complete data;
Merath: reported significant time effect in univarate analysis but year was not included in multivariable model;
Gasper: data not reported;
van der Geest: 2005-2007 (vs. 2011-2013);
Teh: 1988-1993 (vs. 1999-2003)</t>
  </si>
  <si>
    <t>Functional status</t>
  </si>
  <si>
    <t>McMillan: partially/totally dependent (vs. Independent)</t>
  </si>
  <si>
    <t>ASA class</t>
  </si>
  <si>
    <t>Wound class</t>
  </si>
  <si>
    <t>clean, clean-contaminated, contaminated, dirty</t>
  </si>
  <si>
    <t>Steroid use</t>
  </si>
  <si>
    <t>Ascites</t>
  </si>
  <si>
    <t>Systemic sepsis</t>
  </si>
  <si>
    <t>Ventilator dependent</t>
  </si>
  <si>
    <t>McMillan: IV (vs. I-III)</t>
  </si>
  <si>
    <t>Dialysis</t>
  </si>
  <si>
    <t>Fistula risk score</t>
  </si>
  <si>
    <t>McMillian, 2016: Only assessed high volume hospitals</t>
  </si>
  <si>
    <t>Hospital region</t>
  </si>
  <si>
    <t>Simunovic, 2010</t>
  </si>
  <si>
    <t>Reference Category: Highest volume group;
Eppsteiner: &lt; 5 (vs. ≥ 5) annual resections;
Krautz, 2019: &lt;20 (vs. ≥90) total number of pancreatic resections;
Nathan: &lt; 7 (vs. ≥ 31) annual resections;
Birkmeyer, 2003: &lt; 2 (vs. ≥ 5) annual resections;</t>
  </si>
  <si>
    <t>Farges, 2017</t>
  </si>
  <si>
    <t>Allareddy, 2007</t>
  </si>
  <si>
    <t>Lidsky, 2016</t>
  </si>
  <si>
    <t>Urbach, 2004</t>
  </si>
  <si>
    <t>Simunovic, 1999</t>
  </si>
  <si>
    <t>Merath: Small (vs. Large);
Mehta: 200-350 (vs. &gt;500);
Perez-Lopez: per increment in number of beds;
Simunovic, 1999: &lt; 300 (vs. &gt; 600)</t>
  </si>
  <si>
    <t>Finlayson, 2003</t>
  </si>
  <si>
    <t>Birkmeyer, 2002</t>
  </si>
  <si>
    <t>Learn, 2010</t>
  </si>
  <si>
    <t xml:space="preserve">Derogar: Results from sensitivity analysis (model 2) was used, as it includes the most comprehensive set of variables for adjustment </t>
  </si>
  <si>
    <t>Tumour histology</t>
  </si>
  <si>
    <t>Derogar, 2015: histological type of malignant tumours</t>
  </si>
  <si>
    <t>Kim, 2012</t>
  </si>
  <si>
    <t>Complication</t>
  </si>
  <si>
    <t>Schneider, 2014</t>
  </si>
  <si>
    <t>Hollenbeck, 2007</t>
  </si>
  <si>
    <t>Hill, 2010</t>
  </si>
  <si>
    <t>Gordon, 1998</t>
  </si>
  <si>
    <t>Kotwall, 2002</t>
  </si>
  <si>
    <t>Reference category: Teaching status;
Merath: intermingled teaching status with degree of urbanization;
Gasper: analyzed effect of university vs. non-university status on mortality in 22 hospitals with more than 30 annual resections and reported no difference;
Mehta: differentiate between major, minor, and no-teaching, effect indicate minor (vs. major status);
Kotwall, 2002: intermingled teaching status with degree of urbanization, rural (vs. urban teaching)</t>
  </si>
  <si>
    <t>Urbach, 2003</t>
  </si>
  <si>
    <t>Birkmeyer, 2003</t>
  </si>
  <si>
    <t>Birkmeyer, 2004</t>
  </si>
  <si>
    <t>Gender</t>
  </si>
  <si>
    <t>Nationality</t>
  </si>
  <si>
    <t>Diagnosis</t>
  </si>
  <si>
    <t>Admission type</t>
  </si>
  <si>
    <t>elective (vs. emergent)</t>
  </si>
  <si>
    <t>Ragulin-Coyne, 2012</t>
  </si>
  <si>
    <t>Riall, 2008</t>
  </si>
  <si>
    <t>Severity of illness</t>
  </si>
  <si>
    <t>Risk of mortality</t>
  </si>
  <si>
    <t>Details: https://apps.3mhis.com/docs/Groupers/All_Patient_Refined_DRG/Methodology_overview_GRP041/grp041_aprdrg_meth_overview.pdf</t>
  </si>
  <si>
    <t>Simons, 2009</t>
  </si>
  <si>
    <t>Glasgow, 1996</t>
  </si>
  <si>
    <t>Imperato, 1996</t>
  </si>
  <si>
    <t>Allareddy, 2010</t>
  </si>
  <si>
    <t>Hill, 2009</t>
  </si>
  <si>
    <t>Reference Category: Highest volume group;
Alsfasser: quintiles;
Balzano, 2008: quartiles;
Balzano, 2020: quintiles;
Eppsteiner:  &lt; 11 (vs. ≥ 11) annual resections 
Gasper: sixtiles
Krautz: quintiles
McPhee: terziles;
Merath: &lt; 20 (vs. ≥ 20) annual resections;
Kutlu: &lt; 6 (vs. ≥ 26) annual resections;
Wasif: terziles;
Liu: quintiles;
Swords: quintiles;
Güller: &lt; 20 (vs. ≥ 20) annual resections;
Kagedan: 10-19 (vs. ≥40) annual resections;
Callahan: &lt; 25 (vs. ≥ 25) annual resections;
Nathan: &lt; 25 (vs. ≥ 125) annual resections;
van der Geest:  &lt; 5 (vs. ≥ 40) annual resections;
Nimptsch, 2016: &lt; 10 (vs. ≥ 10) annual resections;
O'Mahoney, 2016: &lt; 11 (vs. ≥ 61) annual resections;
Reames, 2014: &lt; 5 (vs. ≥ 42) annual resections;
Ho, 2003: 1 (vs. ≥ 10) annual resections;
Simunovic, 2010: &lt; 10 (vs. ≥ 10) annual resections;
Birkmeyer, 2003: &lt; 3 (vs. ≥ 14) annual resections;
Allareddy, 2007:  &lt; 11 (vs. ≥ 11) annual resections;
Ragulin-Coyne, 2012: &lt; 9 (vs. ≥ 33) annual resections;
Riall, 2008: &lt; 11 (vs. ≥ 11) annual resections;
Bachmann, 2003: midpoint of first quartile vs. midpoint of fourth quartile</t>
  </si>
  <si>
    <t>Roussel, 2019</t>
  </si>
  <si>
    <t>performed (vs not performed)</t>
  </si>
  <si>
    <t>Murphy, 2009</t>
  </si>
  <si>
    <t xml:space="preserve">Alsfasser: acute vs chronic pancreatitis; 
Balzano, 2008: intermingled cancer and chronic pancreatitis; 
Balzano, 2020: intermingled (secondary) malignant neoplasms, chronic pancreatitis, and periampullary cancer 
Eppsteiner: presence of malignant diagnosis; 
Krautz: other disease (vs. chronic pancreatitis); 
Merath: malignancy (vs. not);
Mehta: any disease (vs. Periampullary cancer);
Rijssen: Periampullary cancer (vs. pancreatic cancer);
Liu: benign (vs. ampullary cancer);
Hachey: Cancer diagnosis (vs. not);
Enomoto: Cancer diagnosis (vs. not);
Amini: malignancy indication (vs. not);
Healy: presence of hepatopancreaticobiliary cancer (vs. not);
El Amrani, 2018: malignant disease (vs. benign);
Nimptsch, 2016: acute pancreatitis (vs. not present);
Teh: malignant disease (vs. benign);
McMillan, 2016: Metastatic cancer (vs. not);
Farges, 2017: Pancreatitis (vs. Benign neoplasm);
Ragulin-Coyne, 2012: benign (vs. pancreatitis);
Riall, 2008: Other (vs. Periampullary cancer);
Simons, 2009: other non-malignant (vs. benign disease);
Hill, 2009: malignant (vs. chonic pancreatitis);
Roussel, 2019: malignant (vs. benign);
Murphy, 2009: pancreatitis (vs. cyst/benign) </t>
  </si>
  <si>
    <t>Respiratory distress</t>
  </si>
  <si>
    <t>Smoking status</t>
  </si>
  <si>
    <t>McMillan, 2016: Current smoking status;
Nakata, 2019: Brinkmann-Index</t>
  </si>
  <si>
    <t>White blood cell count</t>
  </si>
  <si>
    <t>Platelet count</t>
  </si>
  <si>
    <t>Prothrombin time</t>
  </si>
  <si>
    <t>Serum creatinine levels</t>
  </si>
  <si>
    <t>Wegner, 2019</t>
  </si>
  <si>
    <t>N stage</t>
  </si>
  <si>
    <t>Asfasser: proximal pancreatectomy vs drainage, segemental/other resections;
Eppsteiner: Pancreaticoduodenectomy (vs. distal pancreatectomy);
McPhee: Total pancreatectomy (vs. distal pancreatectomy);
Gasper: Pancreaticoduodenectomy (vs. distal pancreatectomy);
Mehta: Pancreatectomy not specified (vs. distal pancreatic resection);
Amini: proximal/subtotal radical/other partial pancreatectomy (vs. distal pancreatectomy);
Yoshioka: Hepatopancreaticoduodenectomy (vs. PD with lymph node dissection);
Güller: pancreticoduodenectomy (vs. partial pancreatectomy);
Kim: Pancreaticoduodenectomy (vs. pancreatectomy);
El Amrani, 2018: Total pancreatectomy (vs. distal pancreatectomy);
Teh: Total pancreatectomy (vs. distal pancreatectomy);
Farges, 2017: total pancreatectomy (vs. limited pancreatectomy);
Kim, 2012: Pylorus-preservin pancreaticoduodenectomy (vs. classical pancreaticoduodenectomy);
Hill, 2010: Proximal (vs. distal);
Ragulin-Coyne, 2012: Other (vs. distal pancreatectomy);
Riall, 2008: Head resection (vs. distal resection);
Simons, 2009: total pancreatectomy (vs. distal pancreatectomy);
Hill, 2009: Proximal (vs. distal);
Wegner, 2019: total pancreatectomy with partial gastrectomy/duodenectomy (vs. partial pancreatectomy)</t>
  </si>
  <si>
    <t>T stage</t>
  </si>
  <si>
    <t>van der Geest: TX (vs. T1-2);
Wegner, 2019: T4 (vs. T1)</t>
  </si>
  <si>
    <t>Wegner, 2019: Not otherwise specified (vs. Pancreas tail)</t>
  </si>
  <si>
    <t>Gasper: Hispanic (vs. black);
Bilimoira: Non-white (vs. white)
Mehta: Black (vs. white);
Hachey: Hispanic (vs. other);
Enomoto: Black (vs. Other);
Nathan: Other (vs. Caucasian);
Teh: Black (vs. White);
Riall, 2008: Black (vs. Hispanic);
Hill, 2009: Native American (vs. Caucasian);
Wegner, 2019: Caucasian (vs. Other);
Torphy, 2018: Hispanic (vs. black)</t>
  </si>
  <si>
    <t>Travel distance</t>
  </si>
  <si>
    <t>Tumour grading</t>
  </si>
  <si>
    <r>
      <t>Wegner, 2019: ≤ 18 miles (vs. &gt;</t>
    </r>
    <r>
      <rPr>
        <sz val="11"/>
        <color rgb="FF000000"/>
        <rFont val="Calibri"/>
        <family val="2"/>
      </rPr>
      <t xml:space="preserve"> 18 miles);
Torphy, 2018: ≤ 10 miles (vs. &gt; 30 miles);</t>
    </r>
  </si>
  <si>
    <r>
      <t xml:space="preserve">Bilimoira: median ZIP code income (&lt; $36k vs. </t>
    </r>
    <r>
      <rPr>
        <sz val="11"/>
        <color rgb="FF000000"/>
        <rFont val="Calibri"/>
        <family val="2"/>
      </rPr>
      <t>≥ $36k);
Eppsteiner: ?????
Mamidanna: Carstairs-Index (based on overcrowding, male unemployment rate, low social class, and not having a car);
Wasif, 2018: Median household income;
Liu: Deprivation index: most deprived (vs. least);
Swords: median ZIP code income and median high school graduation rate;
Amini: Houshold income quartiles;
Kagedan: lowest urban income quintil (vs. highest), according to patient's neighborhood income quintile within larger geographic region in urban setting;
Derogar: Patients' education level;
Nathan, 2015: census tract median income;
Reames: summary measure of income, education, and occupation on ZIP level;
Torphy, 2019:  &lt; $38k (vs. ≥ $63k);</t>
    </r>
  </si>
  <si>
    <t>Balzano, 2020: No private patient (vs. Private patient)
Eppsteiner: Medicaid (vs. Medicare);
Gasper: Government (vs. Private);
Hachey: Medicare (vs. Private);
Enomoto: Medicaid (vs. Commercial);
Amini: Medicaid (vs. Private);
Güller: General (vs. Private);
Kim: Medical aid (vs. health insurance);
Nathan: Medicare (vs. private insurance);
Kim, 2012: Medical aid (vs. health insurance);
Schneider, 2014: Other (vs. private);
Hill, 2009: Medicare (vs. private/hmo);
Torphy, 2018: other government (vs. private)</t>
  </si>
  <si>
    <t>Facility type</t>
  </si>
  <si>
    <t>Torphy, 2018: Community cancer program (vs. Academic/research program);
Wegner, 2019: Torphy, 2018: Community cancer program (vs. Comprehensive community cancer program)</t>
  </si>
  <si>
    <t>per mm-increase</t>
  </si>
  <si>
    <t>Wegner, 2019: NX (vs. N0);
Torphy, 2018: N1 (vs. N0)</t>
  </si>
  <si>
    <t>Wegner, 2018: Poorly (vs. Well) differentiated;
Torphy, 2018: Undifferentiated (vs. Well differentiated)</t>
  </si>
  <si>
    <t>Histology</t>
  </si>
  <si>
    <t>according to ICD-O-3;
Torphy, 2018: Other non-adenocarcinomas (vs. Carcinoid)</t>
  </si>
  <si>
    <t>Wasif, 2019</t>
  </si>
  <si>
    <t>Education level</t>
  </si>
  <si>
    <t>Referral</t>
  </si>
  <si>
    <t>Derogar, 2015: whether the patient was referred to a hospital outside their county of residence</t>
  </si>
  <si>
    <t>Education level neighborhood</t>
  </si>
  <si>
    <t>Education</t>
  </si>
  <si>
    <t>Derogar, 2015: highest formal education (years);
Lidsky, 2016: No details stated</t>
  </si>
  <si>
    <r>
      <t>Wegner, 2019: percentage of persons with less than a high school education (</t>
    </r>
    <r>
      <rPr>
        <sz val="11"/>
        <color rgb="FF000000"/>
        <rFont val="Calibri"/>
        <family val="2"/>
      </rPr>
      <t>≥ 29% vs. &lt; 14%);
Torphy, 2018: percentage of persons without high school degree  (≥ 21% vs. &lt; 7%);
Wasif, 2019: zip code-level education level</t>
    </r>
  </si>
  <si>
    <t>Tebe, 2017</t>
  </si>
  <si>
    <t>Sahni, 2016</t>
  </si>
  <si>
    <t>ElAmrani: General surgery (vs. Other);
Sahni, 2016: procedure specific volume divided by total operative volume across all procedures (for individual surgeons)</t>
  </si>
  <si>
    <t>Weekday</t>
  </si>
  <si>
    <t>Sahni, 2016: Days between admission and surgery</t>
  </si>
  <si>
    <t>Sahni, 2016: day of the week</t>
  </si>
  <si>
    <t>Ghaferi, 2011</t>
  </si>
  <si>
    <t>Targarona, 2008</t>
  </si>
  <si>
    <t>Simons, 2009: any complication (vs. None);
Schneider, 20014: any complication (vs. None): Percutaneous drain, Postoperative hemorrhage, Postoperative hemorrhagic anemia, Postoperative infection, Failure to thrive, Respiratory complication;
Roussel, 2019: highest effect of postoperative fistula/sepsis/hemorrhage/shock;
Targarona, 2008: highest effect of Intraabdominal bleeding/Intestinal fistula/Intraabdominal abscess/Gall Fistula</t>
  </si>
  <si>
    <t>Birkmeyer, 2006b</t>
  </si>
  <si>
    <t>Schneider, 2013</t>
  </si>
  <si>
    <t>non-urban/rural vs. Urban;
Swords: county rurality;
Nymo: treating regional health authority;
Enomoto: region</t>
  </si>
  <si>
    <t>Activities of daily living</t>
  </si>
  <si>
    <t>30d preoperative</t>
  </si>
  <si>
    <t>Partial thromboplastin time</t>
  </si>
  <si>
    <t>Admission-surgery delay</t>
  </si>
  <si>
    <t>Gordon, 1999</t>
  </si>
  <si>
    <t>Zaydfudim, 2017</t>
  </si>
  <si>
    <t>Gordon, 1995</t>
  </si>
  <si>
    <t>Birkmeyer, 2006a</t>
  </si>
  <si>
    <t>Lieberman, 1995</t>
  </si>
  <si>
    <t>McMillan, 2017</t>
  </si>
  <si>
    <t>Nakata, 2020</t>
  </si>
  <si>
    <t>Narendra, 2020</t>
  </si>
  <si>
    <t>van der Geest, 2016</t>
  </si>
  <si>
    <t>Kutlu, 2018</t>
  </si>
  <si>
    <t>Torphy, 2019</t>
  </si>
  <si>
    <t>Yoshioka, 2014</t>
  </si>
  <si>
    <t>Swanson, 2014</t>
  </si>
  <si>
    <t>CILL</t>
  </si>
  <si>
    <t>CIUL</t>
  </si>
  <si>
    <t>non-private</t>
  </si>
  <si>
    <t>yes</t>
  </si>
  <si>
    <t>exposure_category</t>
  </si>
  <si>
    <t>no</t>
  </si>
  <si>
    <t>C &gt;=2 vs 0</t>
  </si>
  <si>
    <t>male</t>
  </si>
  <si>
    <t>lowest</t>
  </si>
  <si>
    <t>C per point</t>
  </si>
  <si>
    <t>acute pancreatits (vs. Chronic pancreatitis)</t>
  </si>
  <si>
    <t>liver disease</t>
  </si>
  <si>
    <t>madicare (ref: private)</t>
  </si>
  <si>
    <t>emergency</t>
  </si>
  <si>
    <t>open</t>
  </si>
  <si>
    <t>malignant</t>
  </si>
  <si>
    <t>nonteaching</t>
  </si>
  <si>
    <t>rural</t>
  </si>
  <si>
    <t>other pancreatectomies</t>
  </si>
  <si>
    <t>pancreatic cancer and chronic pancreatitis</t>
  </si>
  <si>
    <t>total (vs. Distal)</t>
  </si>
  <si>
    <t>performed</t>
  </si>
  <si>
    <t>black (vs. White)</t>
  </si>
  <si>
    <t>medicaid (vs private)</t>
  </si>
  <si>
    <t>non-teaching</t>
  </si>
  <si>
    <t>pancreaticoduodenectomy (vs. Distal pancreatectomy)</t>
  </si>
  <si>
    <t>acute pancreatits (vs. benign)</t>
  </si>
  <si>
    <t>total (vs distal)</t>
  </si>
  <si>
    <t>severest</t>
  </si>
  <si>
    <t>liver</t>
  </si>
  <si>
    <t>district (vs charity)</t>
  </si>
  <si>
    <t>non-white</t>
  </si>
  <si>
    <t>non-swiss</t>
  </si>
  <si>
    <t>partial pancreatectomy (vs. Whipple)</t>
  </si>
  <si>
    <t>non-private (vs. Medicare)</t>
  </si>
  <si>
    <t>cancer</t>
  </si>
  <si>
    <t>smallest</t>
  </si>
  <si>
    <t>native-american</t>
  </si>
  <si>
    <t>proximal panratectomy (vs distal)</t>
  </si>
  <si>
    <t>kidney disease</t>
  </si>
  <si>
    <t xml:space="preserve">whipple (vs </t>
  </si>
  <si>
    <t>malignant (vs. Chronic)</t>
  </si>
  <si>
    <t>per point</t>
  </si>
  <si>
    <t>per year</t>
  </si>
  <si>
    <t>pancreatectomy (vs distal)</t>
  </si>
  <si>
    <t>pancreatitis (vs benign)</t>
  </si>
  <si>
    <t xml:space="preserve"> (vs periampullary cancer)</t>
  </si>
  <si>
    <t>head resection (vs distal resection)</t>
  </si>
  <si>
    <t>emergent</t>
  </si>
  <si>
    <t>malignant (vs. Benign)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</si>
</sst>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739"/>
  <sheetViews>
    <sheetView tabSelected="1" zoomScale="85" zoomScaleNormal="85" workbookViewId="0">
      <selection activeCell="J9" sqref="J9"/>
    </sheetView>
  </sheetViews>
  <sheetFormatPr baseColWidth="10" defaultColWidth="8.88671875" defaultRowHeight="14.4" x14ac:dyDescent="0.3"/>
  <cols>
    <col min="1" max="1" width="18.5546875" bestFit="1" customWidth="1"/>
    <col min="2" max="2" width="33" bestFit="1" customWidth="1"/>
    <col min="3" max="3" width="12.33203125" bestFit="1" customWidth="1"/>
    <col min="4" max="4" width="12.44140625" bestFit="1" customWidth="1"/>
    <col min="6" max="6" width="12" bestFit="1" customWidth="1"/>
    <col min="7" max="7" width="47.777343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248</v>
      </c>
      <c r="F1" s="2" t="s">
        <v>249</v>
      </c>
      <c r="G1" s="2" t="s">
        <v>252</v>
      </c>
    </row>
    <row r="2" spans="1:7" s="5" customFormat="1" x14ac:dyDescent="0.3">
      <c r="A2" s="5" t="s">
        <v>83</v>
      </c>
      <c r="B2" s="5" t="s">
        <v>22</v>
      </c>
      <c r="C2" s="5">
        <v>1</v>
      </c>
      <c r="D2" s="5">
        <v>1.4630000000000001</v>
      </c>
      <c r="E2" s="5">
        <v>1.1000000000000001</v>
      </c>
      <c r="F2" s="5">
        <v>1.9450000000000001</v>
      </c>
      <c r="G2" s="5" t="s">
        <v>257</v>
      </c>
    </row>
    <row r="3" spans="1:7" s="5" customFormat="1" x14ac:dyDescent="0.3">
      <c r="A3" s="5" t="s">
        <v>83</v>
      </c>
      <c r="B3" s="5" t="s">
        <v>167</v>
      </c>
      <c r="C3" s="5">
        <v>9</v>
      </c>
      <c r="D3" s="5">
        <v>0</v>
      </c>
    </row>
    <row r="4" spans="1:7" s="5" customFormat="1" x14ac:dyDescent="0.3">
      <c r="A4" s="5" t="s">
        <v>83</v>
      </c>
      <c r="B4" s="5" t="s">
        <v>165</v>
      </c>
      <c r="C4" s="5">
        <v>2</v>
      </c>
      <c r="D4" s="5">
        <f>1/1.598</f>
        <v>0.62578222778473092</v>
      </c>
      <c r="E4" s="5">
        <f>1/1.945</f>
        <v>0.51413881748071977</v>
      </c>
      <c r="F4" s="5">
        <f>1/0.636</f>
        <v>1.5723270440251571</v>
      </c>
      <c r="G4" s="5" t="s">
        <v>255</v>
      </c>
    </row>
    <row r="5" spans="1:7" s="5" customFormat="1" x14ac:dyDescent="0.3">
      <c r="A5" s="5" t="s">
        <v>83</v>
      </c>
      <c r="B5" s="5" t="s">
        <v>37</v>
      </c>
      <c r="C5" s="5">
        <v>1</v>
      </c>
      <c r="D5" s="5">
        <v>20.286000000000001</v>
      </c>
      <c r="E5" s="5">
        <v>3.4990000000000001</v>
      </c>
      <c r="F5" s="5">
        <v>117.626</v>
      </c>
      <c r="G5" s="5" t="s">
        <v>256</v>
      </c>
    </row>
    <row r="6" spans="1:7" s="5" customFormat="1" x14ac:dyDescent="0.3">
      <c r="A6" s="5" t="s">
        <v>83</v>
      </c>
      <c r="B6" s="5" t="s">
        <v>7</v>
      </c>
      <c r="C6" s="5">
        <v>9</v>
      </c>
      <c r="D6" s="5">
        <v>0</v>
      </c>
    </row>
    <row r="7" spans="1:7" x14ac:dyDescent="0.3">
      <c r="A7" t="s">
        <v>143</v>
      </c>
      <c r="B7" t="s">
        <v>168</v>
      </c>
      <c r="C7">
        <v>11</v>
      </c>
      <c r="D7">
        <v>0</v>
      </c>
    </row>
    <row r="8" spans="1:7" x14ac:dyDescent="0.3">
      <c r="A8" t="s">
        <v>143</v>
      </c>
      <c r="B8" t="s">
        <v>5</v>
      </c>
      <c r="C8">
        <v>11</v>
      </c>
      <c r="D8">
        <v>0</v>
      </c>
    </row>
    <row r="9" spans="1:7" x14ac:dyDescent="0.3">
      <c r="A9" t="s">
        <v>143</v>
      </c>
      <c r="B9" t="s">
        <v>22</v>
      </c>
      <c r="C9">
        <v>11</v>
      </c>
      <c r="D9">
        <v>0</v>
      </c>
    </row>
    <row r="10" spans="1:7" x14ac:dyDescent="0.3">
      <c r="A10" t="s">
        <v>143</v>
      </c>
      <c r="B10" t="s">
        <v>165</v>
      </c>
      <c r="C10">
        <v>11</v>
      </c>
      <c r="D10">
        <v>0</v>
      </c>
    </row>
    <row r="11" spans="1:7" x14ac:dyDescent="0.3">
      <c r="A11" t="s">
        <v>143</v>
      </c>
      <c r="B11" t="s">
        <v>28</v>
      </c>
      <c r="C11">
        <v>11</v>
      </c>
      <c r="D11">
        <v>0</v>
      </c>
    </row>
    <row r="12" spans="1:7" x14ac:dyDescent="0.3">
      <c r="A12" t="s">
        <v>143</v>
      </c>
      <c r="B12" t="s">
        <v>27</v>
      </c>
      <c r="C12">
        <v>11</v>
      </c>
      <c r="D12">
        <v>0</v>
      </c>
    </row>
    <row r="13" spans="1:7" x14ac:dyDescent="0.3">
      <c r="A13" t="s">
        <v>143</v>
      </c>
      <c r="B13" t="s">
        <v>37</v>
      </c>
      <c r="C13">
        <v>1</v>
      </c>
      <c r="D13">
        <v>2.09</v>
      </c>
      <c r="E13">
        <v>1.46</v>
      </c>
      <c r="F13">
        <v>2.98</v>
      </c>
      <c r="G13" t="s">
        <v>256</v>
      </c>
    </row>
    <row r="14" spans="1:7" x14ac:dyDescent="0.3">
      <c r="A14" t="s">
        <v>143</v>
      </c>
      <c r="B14" t="s">
        <v>7</v>
      </c>
      <c r="C14">
        <v>11</v>
      </c>
      <c r="D14">
        <v>0</v>
      </c>
    </row>
    <row r="15" spans="1:7" x14ac:dyDescent="0.3">
      <c r="A15" t="s">
        <v>143</v>
      </c>
      <c r="B15" t="s">
        <v>17</v>
      </c>
      <c r="C15">
        <v>11</v>
      </c>
      <c r="D15">
        <v>0</v>
      </c>
    </row>
    <row r="16" spans="1:7" s="4" customFormat="1" x14ac:dyDescent="0.3">
      <c r="A16" s="4" t="s">
        <v>178</v>
      </c>
      <c r="B16" s="4" t="s">
        <v>5</v>
      </c>
      <c r="C16" s="4">
        <v>11</v>
      </c>
      <c r="D16" s="4">
        <v>0</v>
      </c>
    </row>
    <row r="17" spans="1:7" s="4" customFormat="1" x14ac:dyDescent="0.3">
      <c r="A17" s="4" t="s">
        <v>178</v>
      </c>
      <c r="B17" s="4" t="s">
        <v>22</v>
      </c>
      <c r="C17" s="4">
        <v>11</v>
      </c>
      <c r="D17" s="4">
        <v>0</v>
      </c>
    </row>
    <row r="18" spans="1:7" s="4" customFormat="1" x14ac:dyDescent="0.3">
      <c r="A18" s="4" t="s">
        <v>178</v>
      </c>
      <c r="B18" s="4" t="s">
        <v>155</v>
      </c>
      <c r="C18" s="4">
        <v>11</v>
      </c>
      <c r="D18" s="4">
        <v>0</v>
      </c>
    </row>
    <row r="19" spans="1:7" s="4" customFormat="1" x14ac:dyDescent="0.3">
      <c r="A19" s="4" t="s">
        <v>178</v>
      </c>
      <c r="B19" s="4" t="s">
        <v>167</v>
      </c>
      <c r="C19" s="4">
        <v>11</v>
      </c>
      <c r="D19" s="4">
        <v>0</v>
      </c>
    </row>
    <row r="20" spans="1:7" s="4" customFormat="1" x14ac:dyDescent="0.3">
      <c r="A20" s="4" t="s">
        <v>178</v>
      </c>
      <c r="B20" s="4" t="s">
        <v>165</v>
      </c>
      <c r="C20" s="4">
        <v>11</v>
      </c>
      <c r="D20" s="4">
        <v>0</v>
      </c>
    </row>
    <row r="21" spans="1:7" s="4" customFormat="1" x14ac:dyDescent="0.3">
      <c r="A21" s="4" t="s">
        <v>178</v>
      </c>
      <c r="B21" s="4" t="s">
        <v>28</v>
      </c>
      <c r="C21" s="4">
        <v>11</v>
      </c>
      <c r="D21" s="4">
        <v>0</v>
      </c>
    </row>
    <row r="22" spans="1:7" s="4" customFormat="1" x14ac:dyDescent="0.3">
      <c r="A22" s="4" t="s">
        <v>178</v>
      </c>
      <c r="B22" s="4" t="s">
        <v>27</v>
      </c>
      <c r="C22" s="4">
        <v>11</v>
      </c>
      <c r="D22" s="4">
        <v>0</v>
      </c>
    </row>
    <row r="23" spans="1:7" s="4" customFormat="1" x14ac:dyDescent="0.3">
      <c r="A23" s="4" t="s">
        <v>178</v>
      </c>
      <c r="B23" s="4" t="s">
        <v>37</v>
      </c>
      <c r="C23" s="4">
        <v>1</v>
      </c>
      <c r="D23" s="4">
        <f>1/0.45</f>
        <v>2.2222222222222223</v>
      </c>
      <c r="E23" s="4">
        <f>1/0.64</f>
        <v>1.5625</v>
      </c>
      <c r="F23" s="4">
        <f>1/0.32</f>
        <v>3.125</v>
      </c>
      <c r="G23" s="4" t="s">
        <v>256</v>
      </c>
    </row>
    <row r="24" spans="1:7" s="4" customFormat="1" x14ac:dyDescent="0.3">
      <c r="A24" s="4" t="s">
        <v>178</v>
      </c>
      <c r="B24" s="4" t="s">
        <v>7</v>
      </c>
      <c r="C24" s="4">
        <v>11</v>
      </c>
      <c r="D24" s="4">
        <v>0</v>
      </c>
    </row>
    <row r="25" spans="1:7" s="4" customFormat="1" x14ac:dyDescent="0.3">
      <c r="A25" s="4" t="s">
        <v>178</v>
      </c>
      <c r="B25" s="4" t="s">
        <v>17</v>
      </c>
      <c r="C25" s="4">
        <v>11</v>
      </c>
      <c r="D25" s="4">
        <v>0</v>
      </c>
    </row>
    <row r="26" spans="1:7" s="5" customFormat="1" x14ac:dyDescent="0.3">
      <c r="A26" s="5" t="s">
        <v>4</v>
      </c>
      <c r="B26" s="5" t="s">
        <v>5</v>
      </c>
      <c r="C26" s="5">
        <v>1</v>
      </c>
      <c r="D26" s="5">
        <v>1.04</v>
      </c>
    </row>
    <row r="27" spans="1:7" s="5" customFormat="1" x14ac:dyDescent="0.3">
      <c r="A27" s="5" t="s">
        <v>4</v>
      </c>
      <c r="B27" s="5" t="s">
        <v>167</v>
      </c>
      <c r="C27" s="5">
        <v>1</v>
      </c>
      <c r="D27" s="5">
        <v>4.8</v>
      </c>
      <c r="E27" s="5">
        <v>3.27</v>
      </c>
      <c r="F27" s="5">
        <v>7.03</v>
      </c>
      <c r="G27" s="5" t="s">
        <v>258</v>
      </c>
    </row>
    <row r="28" spans="1:7" s="5" customFormat="1" x14ac:dyDescent="0.3">
      <c r="A28" s="5" t="s">
        <v>4</v>
      </c>
      <c r="B28" s="5" t="s">
        <v>165</v>
      </c>
      <c r="C28" s="5">
        <v>1</v>
      </c>
      <c r="D28" s="5">
        <f>1/0.84</f>
        <v>1.1904761904761905</v>
      </c>
      <c r="E28" s="5">
        <f>1/0.98</f>
        <v>1.0204081632653061</v>
      </c>
      <c r="F28" s="5">
        <f>1/0.71</f>
        <v>1.4084507042253522</v>
      </c>
      <c r="G28" s="5" t="s">
        <v>255</v>
      </c>
    </row>
    <row r="29" spans="1:7" s="5" customFormat="1" x14ac:dyDescent="0.3">
      <c r="A29" s="5" t="s">
        <v>4</v>
      </c>
      <c r="B29" s="5" t="s">
        <v>37</v>
      </c>
      <c r="C29" s="5">
        <v>1</v>
      </c>
      <c r="D29" s="5">
        <v>2.08</v>
      </c>
      <c r="E29" s="5">
        <v>1.44</v>
      </c>
      <c r="F29" s="5">
        <v>3</v>
      </c>
      <c r="G29" s="5" t="s">
        <v>256</v>
      </c>
    </row>
    <row r="30" spans="1:7" s="5" customFormat="1" x14ac:dyDescent="0.3">
      <c r="A30" s="5" t="s">
        <v>4</v>
      </c>
      <c r="B30" s="5" t="s">
        <v>8</v>
      </c>
      <c r="C30" s="5">
        <v>1</v>
      </c>
      <c r="D30" s="5">
        <v>3.25</v>
      </c>
      <c r="E30" s="5">
        <v>2.2400000000000002</v>
      </c>
      <c r="F30" s="5">
        <v>4.72</v>
      </c>
      <c r="G30" s="5" t="s">
        <v>251</v>
      </c>
    </row>
    <row r="31" spans="1:7" s="5" customFormat="1" x14ac:dyDescent="0.3">
      <c r="A31" s="5" t="s">
        <v>4</v>
      </c>
      <c r="B31" s="5" t="s">
        <v>7</v>
      </c>
      <c r="C31" s="5">
        <v>1</v>
      </c>
      <c r="D31" s="5">
        <v>1.45</v>
      </c>
      <c r="E31" s="5">
        <v>1.06</v>
      </c>
      <c r="F31" s="5">
        <v>2</v>
      </c>
    </row>
    <row r="32" spans="1:7" s="5" customFormat="1" x14ac:dyDescent="0.3">
      <c r="A32" s="5" t="s">
        <v>4</v>
      </c>
      <c r="B32" s="5" t="s">
        <v>23</v>
      </c>
      <c r="C32" s="5">
        <v>1</v>
      </c>
      <c r="D32" s="5">
        <v>4.8899999999999997</v>
      </c>
      <c r="E32" s="5">
        <v>4.05</v>
      </c>
      <c r="F32" s="5">
        <v>5.9</v>
      </c>
      <c r="G32" s="5" t="s">
        <v>259</v>
      </c>
    </row>
    <row r="33" spans="1:7" x14ac:dyDescent="0.3">
      <c r="A33" t="s">
        <v>84</v>
      </c>
      <c r="B33" t="s">
        <v>168</v>
      </c>
      <c r="C33">
        <v>1</v>
      </c>
      <c r="D33">
        <v>2.62</v>
      </c>
      <c r="E33">
        <v>1.96</v>
      </c>
      <c r="F33">
        <v>3.51</v>
      </c>
      <c r="G33" t="s">
        <v>261</v>
      </c>
    </row>
    <row r="34" spans="1:7" x14ac:dyDescent="0.3">
      <c r="A34" t="s">
        <v>84</v>
      </c>
      <c r="B34" t="s">
        <v>5</v>
      </c>
      <c r="C34">
        <v>1</v>
      </c>
      <c r="D34">
        <v>1.02</v>
      </c>
    </row>
    <row r="35" spans="1:7" x14ac:dyDescent="0.3">
      <c r="A35" t="s">
        <v>84</v>
      </c>
      <c r="B35" t="s">
        <v>22</v>
      </c>
      <c r="C35">
        <v>11</v>
      </c>
      <c r="D35">
        <v>0</v>
      </c>
    </row>
    <row r="36" spans="1:7" x14ac:dyDescent="0.3">
      <c r="A36" t="s">
        <v>84</v>
      </c>
      <c r="B36" t="s">
        <v>167</v>
      </c>
      <c r="C36">
        <v>2</v>
      </c>
      <c r="D36">
        <v>1.31</v>
      </c>
      <c r="E36">
        <v>0.97</v>
      </c>
      <c r="F36">
        <v>1.78</v>
      </c>
      <c r="G36" t="s">
        <v>263</v>
      </c>
    </row>
    <row r="37" spans="1:7" x14ac:dyDescent="0.3">
      <c r="A37" t="s">
        <v>84</v>
      </c>
      <c r="B37" t="s">
        <v>165</v>
      </c>
      <c r="C37">
        <v>1</v>
      </c>
      <c r="D37">
        <v>1.45</v>
      </c>
      <c r="E37">
        <v>1.17</v>
      </c>
      <c r="F37">
        <v>1.8</v>
      </c>
      <c r="G37" t="s">
        <v>255</v>
      </c>
    </row>
    <row r="38" spans="1:7" x14ac:dyDescent="0.3">
      <c r="A38" t="s">
        <v>84</v>
      </c>
      <c r="B38" t="s">
        <v>139</v>
      </c>
      <c r="C38">
        <v>2</v>
      </c>
      <c r="D38">
        <f>1.18/0.91</f>
        <v>1.2967032967032965</v>
      </c>
      <c r="E38">
        <f>1.54/1.24</f>
        <v>1.2419354838709677</v>
      </c>
      <c r="F38">
        <f>0.91/0.66</f>
        <v>1.3787878787878787</v>
      </c>
      <c r="G38" t="s">
        <v>265</v>
      </c>
    </row>
    <row r="39" spans="1:7" x14ac:dyDescent="0.3">
      <c r="A39" t="s">
        <v>84</v>
      </c>
      <c r="B39" t="s">
        <v>27</v>
      </c>
      <c r="C39">
        <v>2</v>
      </c>
      <c r="D39">
        <v>1.04</v>
      </c>
      <c r="E39">
        <v>0.77</v>
      </c>
      <c r="F39">
        <v>1.41</v>
      </c>
      <c r="G39" t="s">
        <v>264</v>
      </c>
    </row>
    <row r="40" spans="1:7" x14ac:dyDescent="0.3">
      <c r="A40" t="s">
        <v>84</v>
      </c>
      <c r="B40" t="s">
        <v>37</v>
      </c>
      <c r="C40">
        <v>1</v>
      </c>
      <c r="D40">
        <v>2.14</v>
      </c>
      <c r="E40">
        <v>1.6</v>
      </c>
      <c r="F40">
        <v>2.86</v>
      </c>
      <c r="G40" t="s">
        <v>256</v>
      </c>
    </row>
    <row r="41" spans="1:7" x14ac:dyDescent="0.3">
      <c r="A41" t="s">
        <v>84</v>
      </c>
      <c r="B41" t="s">
        <v>21</v>
      </c>
      <c r="C41">
        <v>1</v>
      </c>
      <c r="D41">
        <f>1.03/0.67</f>
        <v>1.5373134328358209</v>
      </c>
      <c r="E41">
        <f>0.64/0.51</f>
        <v>1.2549019607843137</v>
      </c>
      <c r="F41">
        <f>1.67/0.92</f>
        <v>1.8152173913043477</v>
      </c>
      <c r="G41" t="s">
        <v>260</v>
      </c>
    </row>
    <row r="42" spans="1:7" x14ac:dyDescent="0.3">
      <c r="A42" t="s">
        <v>84</v>
      </c>
      <c r="B42" t="s">
        <v>26</v>
      </c>
      <c r="C42">
        <v>2</v>
      </c>
      <c r="D42">
        <v>0.93</v>
      </c>
      <c r="E42">
        <v>0.61</v>
      </c>
      <c r="F42">
        <v>1.41</v>
      </c>
    </row>
    <row r="43" spans="1:7" x14ac:dyDescent="0.3">
      <c r="A43" t="s">
        <v>84</v>
      </c>
      <c r="B43" t="s">
        <v>7</v>
      </c>
      <c r="C43">
        <v>1</v>
      </c>
      <c r="D43">
        <f>1.24/0.36</f>
        <v>3.4444444444444446</v>
      </c>
      <c r="E43">
        <f>0.86/0.26</f>
        <v>3.3076923076923075</v>
      </c>
      <c r="F43">
        <f>1.79/0.5</f>
        <v>3.58</v>
      </c>
      <c r="G43" t="s">
        <v>266</v>
      </c>
    </row>
    <row r="44" spans="1:7" x14ac:dyDescent="0.3">
      <c r="A44" t="s">
        <v>84</v>
      </c>
      <c r="B44" t="s">
        <v>18</v>
      </c>
      <c r="C44">
        <v>1</v>
      </c>
      <c r="D44">
        <v>1.18</v>
      </c>
      <c r="E44">
        <v>0.86</v>
      </c>
      <c r="F44">
        <v>1.62</v>
      </c>
      <c r="G44" t="s">
        <v>256</v>
      </c>
    </row>
    <row r="45" spans="1:7" s="4" customFormat="1" x14ac:dyDescent="0.3">
      <c r="A45" s="4" t="s">
        <v>9</v>
      </c>
      <c r="B45" s="4" t="s">
        <v>168</v>
      </c>
      <c r="C45" s="4">
        <v>9</v>
      </c>
      <c r="D45" s="4">
        <v>0</v>
      </c>
    </row>
    <row r="46" spans="1:7" s="4" customFormat="1" x14ac:dyDescent="0.3">
      <c r="A46" s="4" t="s">
        <v>9</v>
      </c>
      <c r="B46" s="4" t="s">
        <v>5</v>
      </c>
      <c r="C46" s="4">
        <v>1</v>
      </c>
      <c r="D46" s="4">
        <v>1.0349999999999999</v>
      </c>
      <c r="E46" s="4">
        <v>1.014</v>
      </c>
      <c r="F46" s="4">
        <v>1.056</v>
      </c>
    </row>
    <row r="47" spans="1:7" s="4" customFormat="1" x14ac:dyDescent="0.3">
      <c r="A47" s="4" t="s">
        <v>9</v>
      </c>
      <c r="B47" s="4" t="s">
        <v>22</v>
      </c>
      <c r="C47" s="4">
        <v>4</v>
      </c>
      <c r="D47" s="4">
        <f>0.952</f>
        <v>0.95199999999999996</v>
      </c>
      <c r="E47" s="4">
        <v>0.875</v>
      </c>
      <c r="F47" s="4">
        <v>1.036</v>
      </c>
    </row>
    <row r="48" spans="1:7" s="4" customFormat="1" x14ac:dyDescent="0.3">
      <c r="A48" s="4" t="s">
        <v>9</v>
      </c>
      <c r="B48" s="4" t="s">
        <v>167</v>
      </c>
      <c r="C48" s="4">
        <v>3</v>
      </c>
      <c r="D48" s="4">
        <v>1.236</v>
      </c>
      <c r="E48" s="4">
        <v>0.81899999999999995</v>
      </c>
      <c r="F48" s="4">
        <v>1.8660000000000001</v>
      </c>
      <c r="G48" s="4" t="s">
        <v>267</v>
      </c>
    </row>
    <row r="49" spans="1:7" s="4" customFormat="1" x14ac:dyDescent="0.3">
      <c r="A49" s="4" t="s">
        <v>9</v>
      </c>
      <c r="B49" s="4" t="s">
        <v>165</v>
      </c>
      <c r="C49" s="4">
        <v>4</v>
      </c>
      <c r="D49" s="4">
        <v>1.27</v>
      </c>
      <c r="E49" s="4">
        <f>1/1.147</f>
        <v>0.87183958151700081</v>
      </c>
      <c r="F49" s="4">
        <f>1/0.544</f>
        <v>1.838235294117647</v>
      </c>
      <c r="G49" s="4" t="s">
        <v>255</v>
      </c>
    </row>
    <row r="50" spans="1:7" s="4" customFormat="1" x14ac:dyDescent="0.3">
      <c r="A50" s="4" t="s">
        <v>9</v>
      </c>
      <c r="B50" s="4" t="s">
        <v>37</v>
      </c>
      <c r="C50" s="4">
        <v>1</v>
      </c>
      <c r="D50" s="4">
        <f>1/0.208</f>
        <v>4.8076923076923075</v>
      </c>
      <c r="E50" s="4">
        <f>1/0.526</f>
        <v>1.9011406844106462</v>
      </c>
      <c r="F50" s="4">
        <f>1/0.082</f>
        <v>12.195121951219512</v>
      </c>
      <c r="G50" s="4" t="s">
        <v>256</v>
      </c>
    </row>
    <row r="51" spans="1:7" s="4" customFormat="1" x14ac:dyDescent="0.3">
      <c r="A51" s="4" t="s">
        <v>9</v>
      </c>
      <c r="B51" s="4" t="s">
        <v>21</v>
      </c>
      <c r="C51" s="4">
        <v>4</v>
      </c>
      <c r="D51" s="4">
        <v>1.1399999999999999</v>
      </c>
      <c r="E51" s="4">
        <v>0.41099999999999998</v>
      </c>
      <c r="F51" s="4">
        <v>3.246</v>
      </c>
      <c r="G51" t="s">
        <v>250</v>
      </c>
    </row>
    <row r="52" spans="1:7" x14ac:dyDescent="0.3">
      <c r="A52" t="s">
        <v>10</v>
      </c>
      <c r="B52" t="s">
        <v>168</v>
      </c>
      <c r="C52">
        <v>9</v>
      </c>
      <c r="D52">
        <v>0</v>
      </c>
    </row>
    <row r="53" spans="1:7" x14ac:dyDescent="0.3">
      <c r="A53" t="s">
        <v>10</v>
      </c>
      <c r="B53" t="s">
        <v>5</v>
      </c>
      <c r="C53">
        <v>1</v>
      </c>
      <c r="D53">
        <v>1.03</v>
      </c>
    </row>
    <row r="54" spans="1:7" x14ac:dyDescent="0.3">
      <c r="A54" t="s">
        <v>10</v>
      </c>
      <c r="B54" t="s">
        <v>22</v>
      </c>
      <c r="C54">
        <v>1</v>
      </c>
      <c r="D54">
        <v>3.87</v>
      </c>
      <c r="E54">
        <v>2.66</v>
      </c>
      <c r="F54">
        <v>5.61</v>
      </c>
      <c r="G54" t="s">
        <v>254</v>
      </c>
    </row>
    <row r="55" spans="1:7" x14ac:dyDescent="0.3">
      <c r="A55" t="s">
        <v>10</v>
      </c>
      <c r="B55" t="s">
        <v>165</v>
      </c>
      <c r="C55">
        <v>1</v>
      </c>
      <c r="D55">
        <v>1.28</v>
      </c>
      <c r="E55">
        <f>1/0.9</f>
        <v>1.1111111111111112</v>
      </c>
      <c r="F55">
        <f>1/0.67</f>
        <v>1.4925373134328357</v>
      </c>
      <c r="G55" t="s">
        <v>255</v>
      </c>
    </row>
    <row r="56" spans="1:7" x14ac:dyDescent="0.3">
      <c r="A56" t="s">
        <v>10</v>
      </c>
      <c r="B56" t="s">
        <v>37</v>
      </c>
      <c r="C56">
        <v>1</v>
      </c>
      <c r="D56">
        <f>1/0.31</f>
        <v>3.2258064516129035</v>
      </c>
      <c r="E56">
        <f>1/0.4</f>
        <v>2.5</v>
      </c>
      <c r="F56">
        <f>1/0.24</f>
        <v>4.166666666666667</v>
      </c>
      <c r="G56" t="s">
        <v>256</v>
      </c>
    </row>
    <row r="57" spans="1:7" x14ac:dyDescent="0.3">
      <c r="A57" t="s">
        <v>10</v>
      </c>
      <c r="B57" t="s">
        <v>21</v>
      </c>
      <c r="C57">
        <v>1</v>
      </c>
      <c r="D57">
        <f>1/0.36</f>
        <v>2.7777777777777777</v>
      </c>
      <c r="E57">
        <f>1/0.68</f>
        <v>1.4705882352941175</v>
      </c>
      <c r="F57">
        <f>1/0.19</f>
        <v>5.2631578947368425</v>
      </c>
      <c r="G57" t="s">
        <v>250</v>
      </c>
    </row>
    <row r="58" spans="1:7" x14ac:dyDescent="0.3">
      <c r="A58" t="s">
        <v>10</v>
      </c>
      <c r="B58" t="s">
        <v>26</v>
      </c>
      <c r="C58">
        <v>1</v>
      </c>
      <c r="D58">
        <f>1/0.12</f>
        <v>8.3333333333333339</v>
      </c>
      <c r="E58">
        <f>1/0.23</f>
        <v>4.3478260869565215</v>
      </c>
      <c r="F58">
        <f>1/0.06</f>
        <v>16.666666666666668</v>
      </c>
      <c r="G58" t="s">
        <v>253</v>
      </c>
    </row>
    <row r="59" spans="1:7" x14ac:dyDescent="0.3">
      <c r="A59" t="s">
        <v>10</v>
      </c>
      <c r="B59" t="s">
        <v>25</v>
      </c>
      <c r="C59">
        <v>2</v>
      </c>
      <c r="D59">
        <v>1.02</v>
      </c>
      <c r="E59">
        <v>0.83</v>
      </c>
      <c r="F59">
        <v>1.27</v>
      </c>
      <c r="G59" t="s">
        <v>251</v>
      </c>
    </row>
    <row r="60" spans="1:7" x14ac:dyDescent="0.3">
      <c r="A60" t="s">
        <v>10</v>
      </c>
      <c r="B60" t="s">
        <v>24</v>
      </c>
      <c r="C60">
        <v>2</v>
      </c>
      <c r="D60">
        <v>1.1200000000000001</v>
      </c>
      <c r="E60">
        <v>0.82</v>
      </c>
      <c r="F60">
        <v>1.53</v>
      </c>
      <c r="G60" t="s">
        <v>251</v>
      </c>
    </row>
    <row r="61" spans="1:7" s="4" customFormat="1" x14ac:dyDescent="0.3">
      <c r="A61" s="4" t="s">
        <v>11</v>
      </c>
      <c r="B61" s="4" t="s">
        <v>5</v>
      </c>
      <c r="C61" s="4">
        <v>11</v>
      </c>
      <c r="D61" s="4">
        <v>0</v>
      </c>
    </row>
    <row r="62" spans="1:7" s="4" customFormat="1" x14ac:dyDescent="0.3">
      <c r="A62" s="4" t="s">
        <v>11</v>
      </c>
      <c r="B62" s="4" t="s">
        <v>19</v>
      </c>
      <c r="C62" s="4">
        <v>11</v>
      </c>
      <c r="D62" s="4">
        <v>0</v>
      </c>
    </row>
    <row r="63" spans="1:7" s="4" customFormat="1" x14ac:dyDescent="0.3">
      <c r="A63" s="4" t="s">
        <v>11</v>
      </c>
      <c r="B63" s="4" t="s">
        <v>22</v>
      </c>
      <c r="C63" s="4">
        <v>11</v>
      </c>
      <c r="D63" s="4">
        <v>0</v>
      </c>
    </row>
    <row r="64" spans="1:7" s="4" customFormat="1" x14ac:dyDescent="0.3">
      <c r="A64" s="4" t="s">
        <v>11</v>
      </c>
      <c r="B64" s="4" t="s">
        <v>167</v>
      </c>
      <c r="C64" s="4">
        <v>9</v>
      </c>
      <c r="D64" s="4">
        <v>0</v>
      </c>
    </row>
    <row r="65" spans="1:7" s="4" customFormat="1" x14ac:dyDescent="0.3">
      <c r="A65" s="4" t="s">
        <v>11</v>
      </c>
      <c r="B65" s="4" t="s">
        <v>165</v>
      </c>
      <c r="C65" s="4">
        <v>11</v>
      </c>
      <c r="D65" s="4">
        <v>0</v>
      </c>
    </row>
    <row r="66" spans="1:7" s="4" customFormat="1" x14ac:dyDescent="0.3">
      <c r="A66" s="4" t="s">
        <v>11</v>
      </c>
      <c r="B66" s="4" t="s">
        <v>37</v>
      </c>
      <c r="C66" s="4">
        <v>1</v>
      </c>
      <c r="D66" s="4">
        <v>2.33</v>
      </c>
      <c r="E66" s="4">
        <v>1.82</v>
      </c>
      <c r="F66" s="4">
        <v>3</v>
      </c>
      <c r="G66" s="4" t="s">
        <v>256</v>
      </c>
    </row>
    <row r="67" spans="1:7" s="4" customFormat="1" x14ac:dyDescent="0.3">
      <c r="A67" s="4" t="s">
        <v>11</v>
      </c>
      <c r="B67" s="4" t="s">
        <v>7</v>
      </c>
      <c r="C67" s="4">
        <v>11</v>
      </c>
      <c r="D67" s="4">
        <v>0</v>
      </c>
    </row>
    <row r="68" spans="1:7" s="4" customFormat="1" x14ac:dyDescent="0.3">
      <c r="A68" s="4" t="s">
        <v>11</v>
      </c>
      <c r="B68" s="4" t="s">
        <v>6</v>
      </c>
      <c r="C68" s="4">
        <v>11</v>
      </c>
      <c r="D68" s="4">
        <v>0</v>
      </c>
    </row>
    <row r="69" spans="1:7" s="4" customFormat="1" x14ac:dyDescent="0.3">
      <c r="A69" s="4" t="s">
        <v>11</v>
      </c>
      <c r="B69" s="4" t="s">
        <v>20</v>
      </c>
      <c r="C69" s="4">
        <v>11</v>
      </c>
      <c r="D69" s="4">
        <v>0</v>
      </c>
    </row>
    <row r="70" spans="1:7" s="4" customFormat="1" x14ac:dyDescent="0.3">
      <c r="A70" s="4" t="s">
        <v>11</v>
      </c>
      <c r="B70" s="4" t="s">
        <v>17</v>
      </c>
      <c r="C70" s="4">
        <v>11</v>
      </c>
      <c r="D70" s="4">
        <v>0</v>
      </c>
    </row>
    <row r="71" spans="1:7" s="4" customFormat="1" x14ac:dyDescent="0.3">
      <c r="A71" s="4" t="s">
        <v>11</v>
      </c>
      <c r="B71" s="4" t="s">
        <v>18</v>
      </c>
      <c r="C71" s="4">
        <v>11</v>
      </c>
      <c r="D71" s="4">
        <v>0</v>
      </c>
    </row>
    <row r="72" spans="1:7" s="4" customFormat="1" x14ac:dyDescent="0.3">
      <c r="A72" s="4" t="s">
        <v>11</v>
      </c>
      <c r="B72" s="4" t="s">
        <v>195</v>
      </c>
      <c r="C72" s="4">
        <v>11</v>
      </c>
      <c r="D72" s="4">
        <v>0</v>
      </c>
    </row>
    <row r="73" spans="1:7" x14ac:dyDescent="0.3">
      <c r="A73" t="s">
        <v>114</v>
      </c>
      <c r="B73" t="s">
        <v>5</v>
      </c>
      <c r="C73">
        <v>11</v>
      </c>
      <c r="D73">
        <v>0</v>
      </c>
    </row>
    <row r="74" spans="1:7" x14ac:dyDescent="0.3">
      <c r="A74" t="s">
        <v>114</v>
      </c>
      <c r="B74" t="s">
        <v>22</v>
      </c>
      <c r="C74">
        <v>11</v>
      </c>
      <c r="D74">
        <v>0</v>
      </c>
    </row>
    <row r="75" spans="1:7" x14ac:dyDescent="0.3">
      <c r="A75" t="s">
        <v>114</v>
      </c>
      <c r="B75" t="s">
        <v>167</v>
      </c>
      <c r="C75">
        <v>11</v>
      </c>
      <c r="D75">
        <v>0</v>
      </c>
    </row>
    <row r="76" spans="1:7" x14ac:dyDescent="0.3">
      <c r="A76" t="s">
        <v>114</v>
      </c>
      <c r="B76" t="s">
        <v>165</v>
      </c>
      <c r="C76">
        <v>11</v>
      </c>
      <c r="D76">
        <v>0</v>
      </c>
    </row>
    <row r="77" spans="1:7" x14ac:dyDescent="0.3">
      <c r="A77" t="s">
        <v>114</v>
      </c>
      <c r="B77" t="s">
        <v>37</v>
      </c>
      <c r="C77">
        <v>1</v>
      </c>
      <c r="D77">
        <f>(320/(1988-320))/(64/(1541-64))</f>
        <v>4.4274580335731413</v>
      </c>
      <c r="E77">
        <v>3.85</v>
      </c>
      <c r="F77">
        <v>5.81</v>
      </c>
      <c r="G77" t="s">
        <v>256</v>
      </c>
    </row>
    <row r="78" spans="1:7" x14ac:dyDescent="0.3">
      <c r="A78" t="s">
        <v>114</v>
      </c>
      <c r="B78" t="s">
        <v>7</v>
      </c>
      <c r="C78">
        <v>9</v>
      </c>
      <c r="D78">
        <v>0</v>
      </c>
    </row>
    <row r="79" spans="1:7" x14ac:dyDescent="0.3">
      <c r="A79" t="s">
        <v>149</v>
      </c>
      <c r="B79" t="s">
        <v>168</v>
      </c>
      <c r="C79">
        <v>11</v>
      </c>
      <c r="D79">
        <v>0</v>
      </c>
    </row>
    <row r="80" spans="1:7" x14ac:dyDescent="0.3">
      <c r="A80" t="s">
        <v>149</v>
      </c>
      <c r="B80" t="s">
        <v>5</v>
      </c>
      <c r="C80">
        <v>11</v>
      </c>
      <c r="D80">
        <v>0</v>
      </c>
    </row>
    <row r="81" spans="1:6" x14ac:dyDescent="0.3">
      <c r="A81" t="s">
        <v>149</v>
      </c>
      <c r="B81" t="s">
        <v>22</v>
      </c>
      <c r="C81">
        <v>11</v>
      </c>
      <c r="D81">
        <v>0</v>
      </c>
    </row>
    <row r="82" spans="1:6" x14ac:dyDescent="0.3">
      <c r="A82" t="s">
        <v>149</v>
      </c>
      <c r="B82" t="s">
        <v>165</v>
      </c>
      <c r="C82">
        <v>11</v>
      </c>
      <c r="D82">
        <v>0</v>
      </c>
    </row>
    <row r="83" spans="1:6" x14ac:dyDescent="0.3">
      <c r="A83" t="s">
        <v>149</v>
      </c>
      <c r="B83" t="s">
        <v>37</v>
      </c>
      <c r="C83">
        <v>1</v>
      </c>
      <c r="D83">
        <f>1/0.2</f>
        <v>5</v>
      </c>
      <c r="E83">
        <f>1/0.29</f>
        <v>3.4482758620689657</v>
      </c>
      <c r="F83">
        <f>1/0.14</f>
        <v>7.1428571428571423</v>
      </c>
    </row>
    <row r="84" spans="1:6" x14ac:dyDescent="0.3">
      <c r="A84" t="s">
        <v>149</v>
      </c>
      <c r="B84" t="s">
        <v>6</v>
      </c>
      <c r="C84">
        <v>11</v>
      </c>
      <c r="D84">
        <v>0</v>
      </c>
    </row>
    <row r="85" spans="1:6" x14ac:dyDescent="0.3">
      <c r="A85" t="s">
        <v>149</v>
      </c>
      <c r="B85" t="s">
        <v>17</v>
      </c>
      <c r="C85">
        <v>11</v>
      </c>
      <c r="D85">
        <v>0</v>
      </c>
    </row>
    <row r="86" spans="1:6" x14ac:dyDescent="0.3">
      <c r="A86" t="s">
        <v>149</v>
      </c>
      <c r="B86" t="s">
        <v>18</v>
      </c>
      <c r="C86">
        <v>11</v>
      </c>
      <c r="D86">
        <v>0</v>
      </c>
    </row>
    <row r="87" spans="1:6" x14ac:dyDescent="0.3">
      <c r="A87" t="s">
        <v>163</v>
      </c>
      <c r="B87" t="s">
        <v>168</v>
      </c>
      <c r="C87">
        <v>11</v>
      </c>
      <c r="D87">
        <v>0</v>
      </c>
    </row>
    <row r="88" spans="1:6" x14ac:dyDescent="0.3">
      <c r="A88" t="s">
        <v>163</v>
      </c>
      <c r="B88" t="s">
        <v>5</v>
      </c>
      <c r="C88">
        <v>11</v>
      </c>
      <c r="D88">
        <v>0</v>
      </c>
    </row>
    <row r="89" spans="1:6" x14ac:dyDescent="0.3">
      <c r="A89" t="s">
        <v>163</v>
      </c>
      <c r="B89" t="s">
        <v>22</v>
      </c>
      <c r="C89">
        <v>11</v>
      </c>
      <c r="D89">
        <v>0</v>
      </c>
    </row>
    <row r="90" spans="1:6" x14ac:dyDescent="0.3">
      <c r="A90" t="s">
        <v>163</v>
      </c>
      <c r="B90" t="s">
        <v>165</v>
      </c>
      <c r="C90">
        <v>11</v>
      </c>
      <c r="D90">
        <v>0</v>
      </c>
    </row>
    <row r="91" spans="1:6" x14ac:dyDescent="0.3">
      <c r="A91" t="s">
        <v>163</v>
      </c>
      <c r="B91" t="s">
        <v>41</v>
      </c>
      <c r="C91">
        <v>11</v>
      </c>
      <c r="D91">
        <v>0</v>
      </c>
    </row>
    <row r="92" spans="1:6" x14ac:dyDescent="0.3">
      <c r="A92" t="s">
        <v>163</v>
      </c>
      <c r="B92" t="s">
        <v>139</v>
      </c>
      <c r="C92">
        <v>11</v>
      </c>
      <c r="D92">
        <v>0</v>
      </c>
    </row>
    <row r="93" spans="1:6" x14ac:dyDescent="0.3">
      <c r="A93" t="s">
        <v>163</v>
      </c>
      <c r="B93" t="s">
        <v>27</v>
      </c>
      <c r="C93">
        <v>11</v>
      </c>
      <c r="D93">
        <v>0</v>
      </c>
    </row>
    <row r="94" spans="1:6" x14ac:dyDescent="0.3">
      <c r="A94" t="s">
        <v>163</v>
      </c>
      <c r="B94" t="s">
        <v>37</v>
      </c>
      <c r="C94">
        <v>1</v>
      </c>
      <c r="D94">
        <v>2.34</v>
      </c>
      <c r="E94">
        <v>1.38</v>
      </c>
      <c r="F94">
        <v>3.99</v>
      </c>
    </row>
    <row r="95" spans="1:6" x14ac:dyDescent="0.3">
      <c r="A95" t="s">
        <v>163</v>
      </c>
      <c r="B95" t="s">
        <v>6</v>
      </c>
      <c r="C95">
        <v>11</v>
      </c>
      <c r="D95">
        <v>0</v>
      </c>
    </row>
    <row r="96" spans="1:6" x14ac:dyDescent="0.3">
      <c r="A96" t="s">
        <v>163</v>
      </c>
      <c r="B96" t="s">
        <v>17</v>
      </c>
      <c r="C96">
        <v>11</v>
      </c>
      <c r="D96">
        <v>0</v>
      </c>
    </row>
    <row r="97" spans="1:6" x14ac:dyDescent="0.3">
      <c r="A97" t="s">
        <v>163</v>
      </c>
      <c r="B97" t="s">
        <v>18</v>
      </c>
      <c r="C97">
        <v>11</v>
      </c>
      <c r="D97">
        <v>0</v>
      </c>
    </row>
    <row r="98" spans="1:6" x14ac:dyDescent="0.3">
      <c r="A98" t="s">
        <v>163</v>
      </c>
      <c r="B98" t="s">
        <v>38</v>
      </c>
      <c r="C98">
        <v>1</v>
      </c>
      <c r="D98">
        <v>2.31</v>
      </c>
      <c r="E98">
        <v>1.43</v>
      </c>
      <c r="F98">
        <v>3.72</v>
      </c>
    </row>
    <row r="99" spans="1:6" x14ac:dyDescent="0.3">
      <c r="A99" t="s">
        <v>164</v>
      </c>
      <c r="B99" t="s">
        <v>168</v>
      </c>
      <c r="C99">
        <v>11</v>
      </c>
      <c r="D99">
        <v>0</v>
      </c>
    </row>
    <row r="100" spans="1:6" x14ac:dyDescent="0.3">
      <c r="A100" t="s">
        <v>164</v>
      </c>
      <c r="B100" t="s">
        <v>5</v>
      </c>
      <c r="C100">
        <v>11</v>
      </c>
      <c r="D100">
        <v>0</v>
      </c>
    </row>
    <row r="101" spans="1:6" x14ac:dyDescent="0.3">
      <c r="A101" t="s">
        <v>164</v>
      </c>
      <c r="B101" t="s">
        <v>22</v>
      </c>
      <c r="C101">
        <v>11</v>
      </c>
      <c r="D101">
        <v>0</v>
      </c>
    </row>
    <row r="102" spans="1:6" x14ac:dyDescent="0.3">
      <c r="A102" t="s">
        <v>164</v>
      </c>
      <c r="B102" t="s">
        <v>165</v>
      </c>
      <c r="C102">
        <v>11</v>
      </c>
      <c r="D102">
        <v>0</v>
      </c>
    </row>
    <row r="103" spans="1:6" x14ac:dyDescent="0.3">
      <c r="A103" t="s">
        <v>164</v>
      </c>
      <c r="B103" t="s">
        <v>37</v>
      </c>
      <c r="C103">
        <v>1</v>
      </c>
      <c r="D103">
        <v>2.1800000000000002</v>
      </c>
    </row>
    <row r="104" spans="1:6" x14ac:dyDescent="0.3">
      <c r="A104" t="s">
        <v>164</v>
      </c>
      <c r="B104" t="s">
        <v>6</v>
      </c>
      <c r="C104">
        <v>11</v>
      </c>
      <c r="D104">
        <v>0</v>
      </c>
    </row>
    <row r="105" spans="1:6" x14ac:dyDescent="0.3">
      <c r="A105" t="s">
        <v>238</v>
      </c>
      <c r="B105" t="s">
        <v>168</v>
      </c>
      <c r="C105">
        <v>11</v>
      </c>
      <c r="D105">
        <v>0</v>
      </c>
    </row>
    <row r="106" spans="1:6" x14ac:dyDescent="0.3">
      <c r="A106" t="s">
        <v>238</v>
      </c>
      <c r="B106" t="s">
        <v>5</v>
      </c>
      <c r="C106">
        <v>11</v>
      </c>
      <c r="D106">
        <v>0</v>
      </c>
    </row>
    <row r="107" spans="1:6" x14ac:dyDescent="0.3">
      <c r="A107" t="s">
        <v>238</v>
      </c>
      <c r="B107" t="s">
        <v>22</v>
      </c>
      <c r="C107">
        <v>11</v>
      </c>
      <c r="D107">
        <v>0</v>
      </c>
    </row>
    <row r="108" spans="1:6" x14ac:dyDescent="0.3">
      <c r="A108" t="s">
        <v>238</v>
      </c>
      <c r="B108" t="s">
        <v>165</v>
      </c>
      <c r="C108">
        <v>11</v>
      </c>
      <c r="D108">
        <v>0</v>
      </c>
    </row>
    <row r="109" spans="1:6" x14ac:dyDescent="0.3">
      <c r="A109" t="s">
        <v>238</v>
      </c>
      <c r="B109" t="s">
        <v>37</v>
      </c>
      <c r="C109">
        <v>1</v>
      </c>
      <c r="D109">
        <v>5.84</v>
      </c>
      <c r="E109">
        <v>2.59</v>
      </c>
      <c r="F109">
        <v>9.48</v>
      </c>
    </row>
    <row r="110" spans="1:6" x14ac:dyDescent="0.3">
      <c r="A110" t="s">
        <v>238</v>
      </c>
      <c r="B110" t="s">
        <v>6</v>
      </c>
      <c r="C110">
        <v>11</v>
      </c>
      <c r="D110">
        <v>0</v>
      </c>
    </row>
    <row r="111" spans="1:6" x14ac:dyDescent="0.3">
      <c r="A111" t="s">
        <v>238</v>
      </c>
      <c r="B111" t="s">
        <v>18</v>
      </c>
      <c r="C111">
        <v>11</v>
      </c>
      <c r="D111">
        <v>0</v>
      </c>
    </row>
    <row r="112" spans="1:6" x14ac:dyDescent="0.3">
      <c r="A112" t="s">
        <v>228</v>
      </c>
      <c r="B112" t="s">
        <v>168</v>
      </c>
      <c r="C112">
        <v>11</v>
      </c>
      <c r="D112">
        <v>0</v>
      </c>
    </row>
    <row r="113" spans="1:7" x14ac:dyDescent="0.3">
      <c r="A113" t="s">
        <v>228</v>
      </c>
      <c r="B113" t="s">
        <v>5</v>
      </c>
      <c r="C113">
        <v>11</v>
      </c>
      <c r="D113">
        <v>0</v>
      </c>
    </row>
    <row r="114" spans="1:7" x14ac:dyDescent="0.3">
      <c r="A114" t="s">
        <v>228</v>
      </c>
      <c r="B114" t="s">
        <v>22</v>
      </c>
      <c r="C114">
        <v>11</v>
      </c>
      <c r="D114">
        <v>0</v>
      </c>
    </row>
    <row r="115" spans="1:7" x14ac:dyDescent="0.3">
      <c r="A115" t="s">
        <v>228</v>
      </c>
      <c r="B115" t="s">
        <v>167</v>
      </c>
      <c r="C115">
        <v>11</v>
      </c>
      <c r="D115">
        <v>0</v>
      </c>
    </row>
    <row r="116" spans="1:7" x14ac:dyDescent="0.3">
      <c r="A116" t="s">
        <v>228</v>
      </c>
      <c r="B116" t="s">
        <v>165</v>
      </c>
      <c r="C116">
        <v>11</v>
      </c>
      <c r="D116">
        <v>0</v>
      </c>
    </row>
    <row r="117" spans="1:7" x14ac:dyDescent="0.3">
      <c r="A117" t="s">
        <v>228</v>
      </c>
      <c r="B117" t="s">
        <v>41</v>
      </c>
      <c r="C117">
        <v>11</v>
      </c>
      <c r="D117">
        <v>0</v>
      </c>
    </row>
    <row r="118" spans="1:7" x14ac:dyDescent="0.3">
      <c r="A118" t="s">
        <v>228</v>
      </c>
      <c r="B118" t="s">
        <v>27</v>
      </c>
      <c r="C118">
        <v>11</v>
      </c>
      <c r="D118">
        <v>0</v>
      </c>
    </row>
    <row r="119" spans="1:7" x14ac:dyDescent="0.3">
      <c r="A119" t="s">
        <v>228</v>
      </c>
      <c r="B119" t="s">
        <v>37</v>
      </c>
      <c r="C119">
        <v>1</v>
      </c>
      <c r="D119">
        <v>3.98</v>
      </c>
      <c r="E119">
        <v>2.63</v>
      </c>
      <c r="F119">
        <v>6.03</v>
      </c>
    </row>
    <row r="120" spans="1:7" x14ac:dyDescent="0.3">
      <c r="A120" t="s">
        <v>228</v>
      </c>
      <c r="B120" t="s">
        <v>6</v>
      </c>
      <c r="C120">
        <v>11</v>
      </c>
      <c r="D120">
        <v>0</v>
      </c>
    </row>
    <row r="121" spans="1:7" x14ac:dyDescent="0.3">
      <c r="A121" t="s">
        <v>228</v>
      </c>
      <c r="B121" t="s">
        <v>17</v>
      </c>
      <c r="C121">
        <v>11</v>
      </c>
      <c r="D121">
        <v>0</v>
      </c>
    </row>
    <row r="122" spans="1:7" s="4" customFormat="1" x14ac:dyDescent="0.3">
      <c r="A122" s="4" t="s">
        <v>101</v>
      </c>
      <c r="B122" s="4" t="s">
        <v>5</v>
      </c>
      <c r="C122" s="4">
        <v>2</v>
      </c>
      <c r="D122" s="4">
        <v>1.02</v>
      </c>
      <c r="E122" s="4">
        <v>0.99</v>
      </c>
      <c r="F122" s="4">
        <v>1.06</v>
      </c>
    </row>
    <row r="123" spans="1:7" s="4" customFormat="1" x14ac:dyDescent="0.3">
      <c r="A123" s="4" t="s">
        <v>101</v>
      </c>
      <c r="B123" s="4" t="s">
        <v>22</v>
      </c>
      <c r="C123" s="4">
        <v>1</v>
      </c>
      <c r="D123" s="4">
        <v>1.92</v>
      </c>
    </row>
    <row r="124" spans="1:7" s="4" customFormat="1" x14ac:dyDescent="0.3">
      <c r="A124" s="4" t="s">
        <v>101</v>
      </c>
      <c r="B124" s="4" t="s">
        <v>167</v>
      </c>
      <c r="C124" s="4">
        <v>9</v>
      </c>
      <c r="D124" s="4">
        <v>0</v>
      </c>
    </row>
    <row r="125" spans="1:7" s="4" customFormat="1" x14ac:dyDescent="0.3">
      <c r="A125" s="4" t="s">
        <v>101</v>
      </c>
      <c r="B125" s="4" t="s">
        <v>165</v>
      </c>
      <c r="C125" s="4">
        <v>2</v>
      </c>
      <c r="D125" s="4">
        <f>1/0.5</f>
        <v>2</v>
      </c>
      <c r="E125" s="4">
        <f>1/1.11</f>
        <v>0.9009009009009008</v>
      </c>
      <c r="F125" s="4">
        <f>1/0.23</f>
        <v>4.3478260869565215</v>
      </c>
    </row>
    <row r="126" spans="1:7" s="4" customFormat="1" x14ac:dyDescent="0.3">
      <c r="A126" s="4" t="s">
        <v>101</v>
      </c>
      <c r="B126" s="4" t="s">
        <v>37</v>
      </c>
      <c r="C126" s="4">
        <v>1</v>
      </c>
      <c r="D126" s="4">
        <f>1/0.21</f>
        <v>4.7619047619047619</v>
      </c>
      <c r="E126" s="4">
        <f>1/0.72</f>
        <v>1.3888888888888888</v>
      </c>
      <c r="F126" s="4">
        <f>1/0.06</f>
        <v>16.666666666666668</v>
      </c>
    </row>
    <row r="127" spans="1:7" s="4" customFormat="1" x14ac:dyDescent="0.3">
      <c r="A127" s="4" t="s">
        <v>101</v>
      </c>
      <c r="B127" s="4" t="s">
        <v>7</v>
      </c>
      <c r="C127" s="4">
        <v>2</v>
      </c>
      <c r="D127" s="4">
        <f>3.74</f>
        <v>3.74</v>
      </c>
      <c r="E127" s="4">
        <f>0.75</f>
        <v>0.75</v>
      </c>
      <c r="F127" s="4">
        <v>18.79</v>
      </c>
      <c r="G127" s="4" t="s">
        <v>268</v>
      </c>
    </row>
    <row r="128" spans="1:7" x14ac:dyDescent="0.3">
      <c r="A128" t="s">
        <v>96</v>
      </c>
      <c r="B128" t="s">
        <v>168</v>
      </c>
      <c r="C128">
        <v>11</v>
      </c>
      <c r="D128">
        <v>0</v>
      </c>
    </row>
    <row r="129" spans="1:7" x14ac:dyDescent="0.3">
      <c r="A129" t="s">
        <v>96</v>
      </c>
      <c r="B129" t="s">
        <v>5</v>
      </c>
      <c r="C129">
        <v>11</v>
      </c>
      <c r="D129">
        <v>0</v>
      </c>
    </row>
    <row r="130" spans="1:7" x14ac:dyDescent="0.3">
      <c r="A130" t="s">
        <v>96</v>
      </c>
      <c r="B130" t="s">
        <v>22</v>
      </c>
      <c r="C130">
        <v>11</v>
      </c>
      <c r="D130">
        <v>0</v>
      </c>
    </row>
    <row r="131" spans="1:7" x14ac:dyDescent="0.3">
      <c r="A131" t="s">
        <v>96</v>
      </c>
      <c r="B131" t="s">
        <v>167</v>
      </c>
      <c r="C131">
        <v>9</v>
      </c>
      <c r="D131">
        <v>0</v>
      </c>
    </row>
    <row r="132" spans="1:7" x14ac:dyDescent="0.3">
      <c r="A132" t="s">
        <v>96</v>
      </c>
      <c r="B132" t="s">
        <v>212</v>
      </c>
      <c r="C132">
        <v>11</v>
      </c>
      <c r="D132">
        <v>0</v>
      </c>
    </row>
    <row r="133" spans="1:7" x14ac:dyDescent="0.3">
      <c r="A133" t="s">
        <v>96</v>
      </c>
      <c r="B133" t="s">
        <v>165</v>
      </c>
      <c r="C133">
        <v>11</v>
      </c>
      <c r="D133">
        <v>0</v>
      </c>
    </row>
    <row r="134" spans="1:7" x14ac:dyDescent="0.3">
      <c r="A134" t="s">
        <v>96</v>
      </c>
      <c r="B134" t="s">
        <v>27</v>
      </c>
      <c r="C134">
        <v>1</v>
      </c>
      <c r="D134">
        <f>1/0.42</f>
        <v>2.3809523809523809</v>
      </c>
    </row>
    <row r="135" spans="1:7" x14ac:dyDescent="0.3">
      <c r="A135" t="s">
        <v>96</v>
      </c>
      <c r="B135" t="s">
        <v>37</v>
      </c>
      <c r="C135">
        <v>2</v>
      </c>
      <c r="D135">
        <f>EXP(LN(2.11)-LN(2.35))</f>
        <v>0.89787234042553188</v>
      </c>
    </row>
    <row r="136" spans="1:7" x14ac:dyDescent="0.3">
      <c r="A136" t="s">
        <v>96</v>
      </c>
      <c r="B136" t="s">
        <v>7</v>
      </c>
      <c r="C136">
        <v>11</v>
      </c>
      <c r="D136">
        <v>0</v>
      </c>
    </row>
    <row r="137" spans="1:7" x14ac:dyDescent="0.3">
      <c r="A137" t="s">
        <v>96</v>
      </c>
      <c r="B137" t="s">
        <v>213</v>
      </c>
      <c r="C137">
        <v>11</v>
      </c>
      <c r="D137">
        <v>0</v>
      </c>
    </row>
    <row r="138" spans="1:7" x14ac:dyDescent="0.3">
      <c r="A138" t="s">
        <v>96</v>
      </c>
      <c r="B138" t="s">
        <v>17</v>
      </c>
      <c r="C138">
        <v>11</v>
      </c>
      <c r="D138">
        <v>0</v>
      </c>
    </row>
    <row r="139" spans="1:7" x14ac:dyDescent="0.3">
      <c r="A139" t="s">
        <v>96</v>
      </c>
      <c r="B139" t="s">
        <v>18</v>
      </c>
      <c r="C139">
        <v>11</v>
      </c>
      <c r="D139">
        <v>0</v>
      </c>
    </row>
    <row r="140" spans="1:7" x14ac:dyDescent="0.3">
      <c r="A140" t="s">
        <v>96</v>
      </c>
      <c r="B140" t="s">
        <v>195</v>
      </c>
      <c r="C140">
        <v>11</v>
      </c>
      <c r="D140">
        <v>0</v>
      </c>
    </row>
    <row r="141" spans="1:7" x14ac:dyDescent="0.3">
      <c r="A141" t="s">
        <v>96</v>
      </c>
      <c r="B141" t="s">
        <v>152</v>
      </c>
      <c r="C141">
        <v>11</v>
      </c>
      <c r="D141">
        <v>0</v>
      </c>
    </row>
    <row r="142" spans="1:7" x14ac:dyDescent="0.3">
      <c r="A142" t="s">
        <v>96</v>
      </c>
      <c r="B142" t="s">
        <v>76</v>
      </c>
      <c r="C142">
        <v>11</v>
      </c>
      <c r="D142">
        <v>0</v>
      </c>
    </row>
    <row r="143" spans="1:7" s="4" customFormat="1" x14ac:dyDescent="0.3">
      <c r="A143" s="4" t="s">
        <v>102</v>
      </c>
      <c r="B143" s="4" t="s">
        <v>5</v>
      </c>
      <c r="C143" s="4">
        <v>1</v>
      </c>
      <c r="D143" s="4">
        <v>1.03</v>
      </c>
    </row>
    <row r="144" spans="1:7" s="4" customFormat="1" x14ac:dyDescent="0.3">
      <c r="A144" s="4" t="s">
        <v>102</v>
      </c>
      <c r="B144" s="4" t="s">
        <v>70</v>
      </c>
      <c r="C144" s="4">
        <v>2</v>
      </c>
      <c r="D144" s="4">
        <v>1.163</v>
      </c>
      <c r="E144" s="4">
        <v>0.86099999999999999</v>
      </c>
      <c r="F144" s="4">
        <v>1.5720000000000001</v>
      </c>
      <c r="G144" s="4" t="s">
        <v>269</v>
      </c>
    </row>
    <row r="145" spans="1:7" s="4" customFormat="1" x14ac:dyDescent="0.3">
      <c r="A145" s="4" t="s">
        <v>102</v>
      </c>
      <c r="B145" s="4" t="s">
        <v>22</v>
      </c>
      <c r="C145" s="4">
        <v>1</v>
      </c>
      <c r="D145" s="4">
        <v>1.1000000000000001</v>
      </c>
    </row>
    <row r="146" spans="1:7" s="4" customFormat="1" x14ac:dyDescent="0.3">
      <c r="A146" s="4" t="s">
        <v>102</v>
      </c>
      <c r="B146" s="4" t="s">
        <v>167</v>
      </c>
      <c r="C146" s="4">
        <v>2</v>
      </c>
      <c r="D146" s="4">
        <v>1.446</v>
      </c>
      <c r="E146" s="4">
        <v>0.92600000000000005</v>
      </c>
      <c r="F146" s="4">
        <v>2.2570000000000001</v>
      </c>
      <c r="G146" s="4" t="s">
        <v>263</v>
      </c>
    </row>
    <row r="147" spans="1:7" s="4" customFormat="1" x14ac:dyDescent="0.3">
      <c r="A147" s="4" t="s">
        <v>102</v>
      </c>
      <c r="B147" s="4" t="s">
        <v>165</v>
      </c>
      <c r="C147" s="4">
        <v>1</v>
      </c>
      <c r="D147" s="4">
        <v>1.4179999999999999</v>
      </c>
      <c r="E147" s="4">
        <v>1.2110000000000001</v>
      </c>
      <c r="F147" s="4">
        <v>1.659</v>
      </c>
      <c r="G147" s="4" t="s">
        <v>255</v>
      </c>
    </row>
    <row r="148" spans="1:7" s="4" customFormat="1" x14ac:dyDescent="0.3">
      <c r="A148" s="4" t="s">
        <v>102</v>
      </c>
      <c r="B148" s="4" t="s">
        <v>37</v>
      </c>
      <c r="C148" s="4">
        <v>1</v>
      </c>
      <c r="D148" s="4">
        <v>0</v>
      </c>
    </row>
    <row r="149" spans="1:7" s="4" customFormat="1" x14ac:dyDescent="0.3">
      <c r="A149" s="4" t="s">
        <v>102</v>
      </c>
      <c r="B149" s="4" t="s">
        <v>7</v>
      </c>
      <c r="C149" s="4">
        <v>1</v>
      </c>
      <c r="D149" s="4">
        <f>EXP(LN(2.156)-LN(0.759))</f>
        <v>2.8405797101449282</v>
      </c>
      <c r="E149" s="4">
        <f>0.718/0.26</f>
        <v>2.7615384615384615</v>
      </c>
      <c r="F149" s="4">
        <f>6.475/2.217</f>
        <v>2.9206134415877307</v>
      </c>
      <c r="G149" s="4" t="s">
        <v>268</v>
      </c>
    </row>
    <row r="150" spans="1:7" x14ac:dyDescent="0.3">
      <c r="A150" t="s">
        <v>43</v>
      </c>
      <c r="B150" t="s">
        <v>5</v>
      </c>
      <c r="C150">
        <v>1</v>
      </c>
      <c r="D150">
        <v>1.03</v>
      </c>
    </row>
    <row r="151" spans="1:7" x14ac:dyDescent="0.3">
      <c r="A151" t="s">
        <v>43</v>
      </c>
      <c r="B151" t="s">
        <v>22</v>
      </c>
      <c r="C151">
        <v>1</v>
      </c>
      <c r="D151">
        <v>1.1499999999999999</v>
      </c>
    </row>
    <row r="152" spans="1:7" x14ac:dyDescent="0.3">
      <c r="A152" t="s">
        <v>43</v>
      </c>
      <c r="B152" t="s">
        <v>165</v>
      </c>
      <c r="C152">
        <v>1</v>
      </c>
      <c r="D152">
        <v>1.77</v>
      </c>
      <c r="E152">
        <v>1.53</v>
      </c>
      <c r="F152">
        <v>2.04</v>
      </c>
      <c r="G152" t="s">
        <v>255</v>
      </c>
    </row>
    <row r="153" spans="1:7" x14ac:dyDescent="0.3">
      <c r="A153" t="s">
        <v>43</v>
      </c>
      <c r="B153" t="s">
        <v>37</v>
      </c>
      <c r="C153">
        <v>1</v>
      </c>
      <c r="D153">
        <v>1.89</v>
      </c>
      <c r="E153">
        <v>1.52</v>
      </c>
      <c r="F153">
        <v>2.34</v>
      </c>
    </row>
    <row r="154" spans="1:7" x14ac:dyDescent="0.3">
      <c r="A154" t="s">
        <v>43</v>
      </c>
      <c r="B154" t="s">
        <v>26</v>
      </c>
      <c r="C154">
        <v>3</v>
      </c>
      <c r="D154">
        <v>4.798</v>
      </c>
      <c r="E154">
        <v>2.7029999999999998</v>
      </c>
      <c r="F154">
        <v>8.516</v>
      </c>
      <c r="G154" t="s">
        <v>262</v>
      </c>
    </row>
    <row r="155" spans="1:7" x14ac:dyDescent="0.3">
      <c r="A155" t="s">
        <v>43</v>
      </c>
      <c r="B155" t="s">
        <v>45</v>
      </c>
      <c r="C155">
        <v>4</v>
      </c>
      <c r="D155">
        <v>1.26</v>
      </c>
    </row>
    <row r="156" spans="1:7" s="4" customFormat="1" x14ac:dyDescent="0.3">
      <c r="A156" s="4" t="s">
        <v>81</v>
      </c>
      <c r="B156" s="4" t="s">
        <v>168</v>
      </c>
      <c r="C156" s="4">
        <v>1</v>
      </c>
      <c r="D156" s="4">
        <v>2.0699999999999998</v>
      </c>
      <c r="E156" s="4">
        <v>1.04</v>
      </c>
      <c r="F156" s="4">
        <v>4.12</v>
      </c>
    </row>
    <row r="157" spans="1:7" s="4" customFormat="1" x14ac:dyDescent="0.3">
      <c r="A157" s="4" t="s">
        <v>81</v>
      </c>
      <c r="B157" s="4" t="s">
        <v>5</v>
      </c>
      <c r="C157" s="4">
        <v>1</v>
      </c>
      <c r="D157" s="4">
        <v>1.02</v>
      </c>
    </row>
    <row r="158" spans="1:7" s="4" customFormat="1" x14ac:dyDescent="0.3">
      <c r="A158" s="4" t="s">
        <v>81</v>
      </c>
      <c r="B158" s="4" t="s">
        <v>167</v>
      </c>
      <c r="C158" s="4">
        <v>2</v>
      </c>
      <c r="D158" s="4">
        <v>1.68</v>
      </c>
      <c r="E158" s="4">
        <v>0.95</v>
      </c>
      <c r="F158" s="4">
        <v>2.98</v>
      </c>
    </row>
    <row r="159" spans="1:7" s="4" customFormat="1" x14ac:dyDescent="0.3">
      <c r="A159" s="4" t="s">
        <v>81</v>
      </c>
      <c r="B159" s="4" t="s">
        <v>165</v>
      </c>
      <c r="C159" s="4">
        <v>2</v>
      </c>
      <c r="D159" s="4">
        <f>1/1.01</f>
        <v>0.99009900990099009</v>
      </c>
      <c r="E159" s="4">
        <f>1/1.4</f>
        <v>0.7142857142857143</v>
      </c>
      <c r="F159" s="4">
        <f>1/0.73</f>
        <v>1.3698630136986301</v>
      </c>
    </row>
    <row r="160" spans="1:7" s="4" customFormat="1" x14ac:dyDescent="0.3">
      <c r="A160" s="4" t="s">
        <v>81</v>
      </c>
      <c r="B160" s="4" t="s">
        <v>139</v>
      </c>
      <c r="C160" s="4">
        <v>2</v>
      </c>
      <c r="D160" s="4">
        <f>1/0.88</f>
        <v>1.1363636363636365</v>
      </c>
      <c r="E160" s="4">
        <f>1/1.47</f>
        <v>0.68027210884353739</v>
      </c>
      <c r="F160" s="4">
        <f>1/0.53</f>
        <v>1.8867924528301885</v>
      </c>
    </row>
    <row r="161" spans="1:7" s="4" customFormat="1" x14ac:dyDescent="0.3">
      <c r="A161" s="4" t="s">
        <v>81</v>
      </c>
      <c r="B161" s="4" t="s">
        <v>27</v>
      </c>
      <c r="C161" s="4">
        <v>2</v>
      </c>
      <c r="D161" s="4">
        <f>1/0.71</f>
        <v>1.4084507042253522</v>
      </c>
      <c r="E161" s="4">
        <f>1/1.06</f>
        <v>0.94339622641509424</v>
      </c>
      <c r="F161" s="4">
        <f>1/0.48</f>
        <v>2.0833333333333335</v>
      </c>
    </row>
    <row r="162" spans="1:7" s="4" customFormat="1" x14ac:dyDescent="0.3">
      <c r="A162" s="4" t="s">
        <v>81</v>
      </c>
      <c r="B162" s="4" t="s">
        <v>37</v>
      </c>
      <c r="C162" s="4">
        <v>1</v>
      </c>
      <c r="D162" s="4">
        <v>0</v>
      </c>
    </row>
    <row r="163" spans="1:7" s="4" customFormat="1" x14ac:dyDescent="0.3">
      <c r="A163" s="4" t="s">
        <v>81</v>
      </c>
      <c r="B163" s="4" t="s">
        <v>21</v>
      </c>
      <c r="C163" s="4">
        <v>1</v>
      </c>
      <c r="D163" s="4">
        <f>1.28/0.65</f>
        <v>1.9692307692307691</v>
      </c>
      <c r="E163" s="4">
        <f>0.6/0.38</f>
        <v>1.5789473684210527</v>
      </c>
      <c r="F163" s="4">
        <f>2.75/1.11</f>
        <v>2.477477477477477</v>
      </c>
      <c r="G163" s="4" t="s">
        <v>250</v>
      </c>
    </row>
    <row r="164" spans="1:7" s="4" customFormat="1" x14ac:dyDescent="0.3">
      <c r="A164" s="4" t="s">
        <v>81</v>
      </c>
      <c r="B164" s="4" t="s">
        <v>7</v>
      </c>
      <c r="C164" s="4">
        <v>9</v>
      </c>
      <c r="D164" s="4">
        <v>0</v>
      </c>
    </row>
    <row r="165" spans="1:7" s="4" customFormat="1" x14ac:dyDescent="0.3">
      <c r="A165" s="4" t="s">
        <v>81</v>
      </c>
      <c r="B165" s="4" t="s">
        <v>6</v>
      </c>
      <c r="C165" s="4">
        <v>2</v>
      </c>
      <c r="D165" s="4">
        <v>1.39</v>
      </c>
      <c r="E165" s="4">
        <v>0.79</v>
      </c>
      <c r="F165" s="4">
        <v>2.4500000000000002</v>
      </c>
      <c r="G165" s="4" t="s">
        <v>270</v>
      </c>
    </row>
    <row r="166" spans="1:7" s="4" customFormat="1" x14ac:dyDescent="0.3">
      <c r="A166" s="4" t="s">
        <v>81</v>
      </c>
      <c r="B166" s="4" t="s">
        <v>17</v>
      </c>
      <c r="C166" s="4">
        <v>2</v>
      </c>
      <c r="D166" s="4">
        <f>1/(0.95)</f>
        <v>1.0526315789473684</v>
      </c>
      <c r="E166" s="4">
        <f>1/1.09</f>
        <v>0.9174311926605504</v>
      </c>
      <c r="F166" s="4">
        <f>1/0.83</f>
        <v>1.2048192771084338</v>
      </c>
    </row>
    <row r="167" spans="1:7" s="4" customFormat="1" x14ac:dyDescent="0.3">
      <c r="A167" s="4" t="s">
        <v>81</v>
      </c>
      <c r="B167" s="4" t="s">
        <v>23</v>
      </c>
      <c r="C167" s="4">
        <v>1</v>
      </c>
      <c r="D167" s="4">
        <v>3.89</v>
      </c>
      <c r="E167" s="4">
        <v>1.58</v>
      </c>
      <c r="F167" s="4">
        <v>9.6199999999999992</v>
      </c>
    </row>
    <row r="168" spans="1:7" s="4" customFormat="1" x14ac:dyDescent="0.3">
      <c r="A168" s="4" t="s">
        <v>81</v>
      </c>
      <c r="B168" s="4" t="s">
        <v>38</v>
      </c>
      <c r="C168" s="4">
        <v>1</v>
      </c>
      <c r="D168" s="4">
        <v>0</v>
      </c>
    </row>
    <row r="169" spans="1:7" x14ac:dyDescent="0.3">
      <c r="A169" t="s">
        <v>12</v>
      </c>
      <c r="B169" t="s">
        <v>168</v>
      </c>
      <c r="C169">
        <v>2</v>
      </c>
      <c r="D169">
        <v>1.39</v>
      </c>
      <c r="E169">
        <v>0.96</v>
      </c>
      <c r="F169">
        <v>2.0099999999999998</v>
      </c>
      <c r="G169" t="s">
        <v>261</v>
      </c>
    </row>
    <row r="170" spans="1:7" x14ac:dyDescent="0.3">
      <c r="A170" t="s">
        <v>12</v>
      </c>
      <c r="B170" t="s">
        <v>5</v>
      </c>
      <c r="C170">
        <v>1</v>
      </c>
      <c r="D170">
        <v>1.06</v>
      </c>
      <c r="E170">
        <v>1.03</v>
      </c>
      <c r="F170">
        <v>1.08</v>
      </c>
    </row>
    <row r="171" spans="1:7" x14ac:dyDescent="0.3">
      <c r="A171" t="s">
        <v>12</v>
      </c>
      <c r="B171" t="s">
        <v>22</v>
      </c>
      <c r="C171">
        <v>2</v>
      </c>
      <c r="D171">
        <v>1.06</v>
      </c>
      <c r="E171" s="4">
        <v>0.93</v>
      </c>
      <c r="F171" s="4">
        <v>1.21</v>
      </c>
    </row>
    <row r="172" spans="1:7" x14ac:dyDescent="0.3">
      <c r="A172" t="s">
        <v>12</v>
      </c>
      <c r="B172" t="s">
        <v>167</v>
      </c>
      <c r="C172">
        <v>2</v>
      </c>
      <c r="D172">
        <v>1.19</v>
      </c>
      <c r="E172" s="4">
        <v>0.74</v>
      </c>
      <c r="F172" s="4">
        <v>1.92</v>
      </c>
      <c r="G172" t="s">
        <v>263</v>
      </c>
    </row>
    <row r="173" spans="1:7" x14ac:dyDescent="0.3">
      <c r="A173" t="s">
        <v>12</v>
      </c>
      <c r="B173" t="s">
        <v>165</v>
      </c>
      <c r="C173">
        <v>1</v>
      </c>
      <c r="D173">
        <f>1/0.62</f>
        <v>1.6129032258064517</v>
      </c>
      <c r="E173">
        <f>1/0.88</f>
        <v>1.1363636363636365</v>
      </c>
      <c r="F173">
        <f>1/0.44</f>
        <v>2.2727272727272729</v>
      </c>
    </row>
    <row r="174" spans="1:7" x14ac:dyDescent="0.3">
      <c r="A174" t="s">
        <v>12</v>
      </c>
      <c r="B174" t="s">
        <v>27</v>
      </c>
      <c r="C174">
        <v>1</v>
      </c>
      <c r="D174">
        <v>1.45</v>
      </c>
      <c r="E174">
        <f>1/1</f>
        <v>1</v>
      </c>
      <c r="F174">
        <f>1/0.47</f>
        <v>2.1276595744680851</v>
      </c>
      <c r="G174" t="s">
        <v>272</v>
      </c>
    </row>
    <row r="175" spans="1:7" x14ac:dyDescent="0.3">
      <c r="A175" t="s">
        <v>12</v>
      </c>
      <c r="B175" t="s">
        <v>37</v>
      </c>
      <c r="C175">
        <v>1</v>
      </c>
      <c r="D175">
        <v>1.89</v>
      </c>
      <c r="E175">
        <f>1/0.89</f>
        <v>1.1235955056179776</v>
      </c>
      <c r="F175">
        <f>1/0.32</f>
        <v>3.125</v>
      </c>
      <c r="G175" t="s">
        <v>256</v>
      </c>
    </row>
    <row r="176" spans="1:7" x14ac:dyDescent="0.3">
      <c r="A176" t="s">
        <v>12</v>
      </c>
      <c r="B176" t="s">
        <v>21</v>
      </c>
      <c r="C176">
        <v>1</v>
      </c>
      <c r="D176">
        <f>2.64/0.93</f>
        <v>2.838709677419355</v>
      </c>
      <c r="E176">
        <f>1.16/0.57</f>
        <v>2.0350877192982457</v>
      </c>
      <c r="F176">
        <f>6.01/1.53</f>
        <v>3.9281045751633985</v>
      </c>
      <c r="G176" t="s">
        <v>271</v>
      </c>
    </row>
    <row r="177" spans="1:7" x14ac:dyDescent="0.3">
      <c r="A177" t="s">
        <v>12</v>
      </c>
      <c r="B177" t="s">
        <v>7</v>
      </c>
      <c r="C177">
        <v>1</v>
      </c>
      <c r="D177">
        <v>1.96</v>
      </c>
      <c r="E177">
        <v>1.18</v>
      </c>
      <c r="F177">
        <v>3.24</v>
      </c>
      <c r="G177" t="s">
        <v>273</v>
      </c>
    </row>
    <row r="178" spans="1:7" x14ac:dyDescent="0.3">
      <c r="A178" t="s">
        <v>12</v>
      </c>
      <c r="B178" t="s">
        <v>6</v>
      </c>
      <c r="C178">
        <v>2</v>
      </c>
      <c r="D178">
        <v>1.6</v>
      </c>
      <c r="E178">
        <v>0.92</v>
      </c>
      <c r="F178">
        <v>2.78</v>
      </c>
      <c r="G178" t="s">
        <v>270</v>
      </c>
    </row>
    <row r="179" spans="1:7" x14ac:dyDescent="0.3">
      <c r="A179" t="s">
        <v>12</v>
      </c>
      <c r="B179" t="s">
        <v>18</v>
      </c>
      <c r="C179">
        <v>2</v>
      </c>
      <c r="D179">
        <f>1/0.67</f>
        <v>1.4925373134328357</v>
      </c>
      <c r="E179">
        <f>1/1.18</f>
        <v>0.84745762711864414</v>
      </c>
      <c r="F179">
        <f>1/0.37</f>
        <v>2.7027027027027026</v>
      </c>
      <c r="G179" t="s">
        <v>256</v>
      </c>
    </row>
    <row r="180" spans="1:7" x14ac:dyDescent="0.3">
      <c r="A180" t="s">
        <v>12</v>
      </c>
      <c r="B180" t="s">
        <v>38</v>
      </c>
      <c r="C180">
        <v>1</v>
      </c>
      <c r="D180">
        <f>1/0.59</f>
        <v>1.6949152542372883</v>
      </c>
      <c r="E180">
        <f>1/0.97</f>
        <v>1.0309278350515465</v>
      </c>
      <c r="F180">
        <f>1/0.36</f>
        <v>2.7777777777777777</v>
      </c>
      <c r="G180" t="s">
        <v>256</v>
      </c>
    </row>
    <row r="181" spans="1:7" s="4" customFormat="1" x14ac:dyDescent="0.3">
      <c r="A181" s="4" t="s">
        <v>142</v>
      </c>
      <c r="B181" s="4" t="s">
        <v>5</v>
      </c>
      <c r="C181" s="4">
        <v>11</v>
      </c>
      <c r="D181" s="4">
        <v>0</v>
      </c>
    </row>
    <row r="182" spans="1:7" s="4" customFormat="1" x14ac:dyDescent="0.3">
      <c r="A182" s="4" t="s">
        <v>142</v>
      </c>
      <c r="B182" s="4" t="s">
        <v>167</v>
      </c>
      <c r="C182" s="4">
        <v>1</v>
      </c>
      <c r="D182" s="4">
        <v>5.5369999999999999</v>
      </c>
      <c r="E182" s="4">
        <v>3.45</v>
      </c>
      <c r="F182" s="4">
        <v>9.0380000000000003</v>
      </c>
      <c r="G182" s="4" t="s">
        <v>274</v>
      </c>
    </row>
    <row r="183" spans="1:7" s="4" customFormat="1" x14ac:dyDescent="0.3">
      <c r="A183" s="4" t="s">
        <v>142</v>
      </c>
      <c r="B183" s="4" t="s">
        <v>165</v>
      </c>
      <c r="C183" s="4">
        <v>1</v>
      </c>
      <c r="D183" s="4">
        <v>1.3720000000000001</v>
      </c>
      <c r="E183" s="4">
        <v>1.236</v>
      </c>
      <c r="F183" s="4">
        <v>1.524</v>
      </c>
      <c r="G183" s="4" t="s">
        <v>255</v>
      </c>
    </row>
    <row r="184" spans="1:7" s="4" customFormat="1" x14ac:dyDescent="0.3">
      <c r="A184" s="4" t="s">
        <v>142</v>
      </c>
      <c r="B184" s="4" t="s">
        <v>41</v>
      </c>
      <c r="C184" s="4">
        <v>1</v>
      </c>
      <c r="D184" s="4">
        <f>1.317/0.637</f>
        <v>2.0675039246467817</v>
      </c>
      <c r="E184" s="4">
        <f>1.515/0.771</f>
        <v>1.9649805447470816</v>
      </c>
      <c r="F184" s="4">
        <f>1.145/0.524</f>
        <v>2.1851145038167936</v>
      </c>
      <c r="G184" s="4" t="s">
        <v>278</v>
      </c>
    </row>
    <row r="185" spans="1:7" s="4" customFormat="1" x14ac:dyDescent="0.3">
      <c r="A185" s="4" t="s">
        <v>142</v>
      </c>
      <c r="B185" s="4" t="s">
        <v>37</v>
      </c>
      <c r="C185" s="4">
        <v>1</v>
      </c>
      <c r="D185" s="4">
        <v>1.865</v>
      </c>
      <c r="E185" s="4">
        <v>1.5289999999999999</v>
      </c>
      <c r="F185" s="4">
        <v>2.2759999999999998</v>
      </c>
      <c r="G185" s="4" t="s">
        <v>256</v>
      </c>
    </row>
    <row r="186" spans="1:7" s="4" customFormat="1" x14ac:dyDescent="0.3">
      <c r="A186" s="4" t="s">
        <v>142</v>
      </c>
      <c r="B186" s="4" t="s">
        <v>25</v>
      </c>
      <c r="C186" s="4">
        <v>1</v>
      </c>
      <c r="D186" s="4">
        <v>1.6339999999999999</v>
      </c>
      <c r="E186" s="4">
        <v>1.0309999999999999</v>
      </c>
      <c r="F186" s="4">
        <v>1.891</v>
      </c>
      <c r="G186" s="4" t="s">
        <v>277</v>
      </c>
    </row>
    <row r="187" spans="1:7" s="4" customFormat="1" x14ac:dyDescent="0.3">
      <c r="A187" s="4" t="s">
        <v>142</v>
      </c>
      <c r="B187" s="4" t="s">
        <v>7</v>
      </c>
      <c r="C187" s="4">
        <v>1</v>
      </c>
      <c r="D187" s="4">
        <v>2.339</v>
      </c>
      <c r="E187" s="4">
        <v>1.702</v>
      </c>
      <c r="F187" s="4">
        <v>3.2250000000000001</v>
      </c>
      <c r="G187" s="4" t="s">
        <v>275</v>
      </c>
    </row>
    <row r="188" spans="1:7" s="4" customFormat="1" x14ac:dyDescent="0.3">
      <c r="A188" s="4" t="s">
        <v>142</v>
      </c>
      <c r="B188" s="4" t="s">
        <v>23</v>
      </c>
      <c r="C188" s="4">
        <v>1</v>
      </c>
      <c r="D188" s="4">
        <v>2.2850000000000001</v>
      </c>
      <c r="E188" s="4">
        <v>1.78</v>
      </c>
      <c r="F188" s="4">
        <v>2.9049999999999998</v>
      </c>
      <c r="G188" s="4" t="s">
        <v>276</v>
      </c>
    </row>
    <row r="189" spans="1:7" x14ac:dyDescent="0.3">
      <c r="A189" t="s">
        <v>148</v>
      </c>
      <c r="B189" t="s">
        <v>168</v>
      </c>
      <c r="C189">
        <v>11</v>
      </c>
      <c r="D189">
        <v>0</v>
      </c>
    </row>
    <row r="190" spans="1:7" x14ac:dyDescent="0.3">
      <c r="A190" t="s">
        <v>148</v>
      </c>
      <c r="B190" t="s">
        <v>5</v>
      </c>
      <c r="C190">
        <v>11</v>
      </c>
      <c r="D190">
        <v>0</v>
      </c>
    </row>
    <row r="191" spans="1:7" x14ac:dyDescent="0.3">
      <c r="A191" t="s">
        <v>148</v>
      </c>
      <c r="B191" t="s">
        <v>22</v>
      </c>
      <c r="C191">
        <v>11</v>
      </c>
      <c r="D191">
        <v>0</v>
      </c>
    </row>
    <row r="192" spans="1:7" x14ac:dyDescent="0.3">
      <c r="A192" t="s">
        <v>148</v>
      </c>
      <c r="B192" t="s">
        <v>165</v>
      </c>
      <c r="C192">
        <v>11</v>
      </c>
      <c r="D192">
        <v>0</v>
      </c>
    </row>
    <row r="193" spans="1:7" x14ac:dyDescent="0.3">
      <c r="A193" t="s">
        <v>148</v>
      </c>
      <c r="B193" t="s">
        <v>37</v>
      </c>
      <c r="C193">
        <v>1</v>
      </c>
      <c r="D193">
        <v>5.55</v>
      </c>
      <c r="E193">
        <v>3.7</v>
      </c>
      <c r="F193">
        <v>8.33</v>
      </c>
    </row>
    <row r="194" spans="1:7" x14ac:dyDescent="0.3">
      <c r="A194" t="s">
        <v>148</v>
      </c>
      <c r="B194" t="s">
        <v>6</v>
      </c>
      <c r="C194">
        <v>11</v>
      </c>
      <c r="D194">
        <v>0</v>
      </c>
    </row>
    <row r="195" spans="1:7" x14ac:dyDescent="0.3">
      <c r="A195" t="s">
        <v>148</v>
      </c>
      <c r="B195" t="s">
        <v>17</v>
      </c>
      <c r="C195">
        <v>11</v>
      </c>
      <c r="D195">
        <v>0</v>
      </c>
    </row>
    <row r="196" spans="1:7" x14ac:dyDescent="0.3">
      <c r="A196" t="s">
        <v>148</v>
      </c>
      <c r="B196" t="s">
        <v>18</v>
      </c>
      <c r="C196">
        <v>11</v>
      </c>
      <c r="D196">
        <v>0</v>
      </c>
    </row>
    <row r="197" spans="1:7" s="4" customFormat="1" x14ac:dyDescent="0.3">
      <c r="A197" s="4" t="s">
        <v>13</v>
      </c>
      <c r="B197" s="4" t="s">
        <v>5</v>
      </c>
      <c r="C197" s="4">
        <v>3</v>
      </c>
      <c r="D197" s="4">
        <v>1.03</v>
      </c>
    </row>
    <row r="198" spans="1:7" s="4" customFormat="1" x14ac:dyDescent="0.3">
      <c r="A198" s="4" t="s">
        <v>13</v>
      </c>
      <c r="B198" s="4" t="s">
        <v>22</v>
      </c>
      <c r="C198" s="4">
        <v>3</v>
      </c>
      <c r="D198" s="4">
        <v>1.34</v>
      </c>
    </row>
    <row r="199" spans="1:7" s="4" customFormat="1" x14ac:dyDescent="0.3">
      <c r="A199" s="4" t="s">
        <v>13</v>
      </c>
      <c r="B199" s="4" t="s">
        <v>165</v>
      </c>
      <c r="C199" s="4">
        <v>4</v>
      </c>
      <c r="D199" s="4">
        <v>1</v>
      </c>
      <c r="E199" s="4">
        <v>0.73371399999999998</v>
      </c>
      <c r="F199" s="4">
        <v>1.3405851</v>
      </c>
    </row>
    <row r="200" spans="1:7" s="4" customFormat="1" x14ac:dyDescent="0.3">
      <c r="A200" s="4" t="s">
        <v>13</v>
      </c>
      <c r="B200" s="4" t="s">
        <v>37</v>
      </c>
      <c r="C200" s="4">
        <v>1</v>
      </c>
      <c r="D200" s="4">
        <v>4.0199999999999996</v>
      </c>
      <c r="E200" s="4">
        <v>2.42</v>
      </c>
      <c r="F200" s="4">
        <v>6.66</v>
      </c>
    </row>
    <row r="201" spans="1:7" s="4" customFormat="1" x14ac:dyDescent="0.3">
      <c r="A201" s="4" t="s">
        <v>13</v>
      </c>
      <c r="B201" s="4" t="s">
        <v>21</v>
      </c>
      <c r="C201" s="4">
        <v>3</v>
      </c>
      <c r="D201" s="4">
        <v>2.08</v>
      </c>
      <c r="E201" s="4">
        <v>1.49</v>
      </c>
      <c r="F201" s="4">
        <v>2.91</v>
      </c>
      <c r="G201" s="4" t="s">
        <v>250</v>
      </c>
    </row>
    <row r="202" spans="1:7" s="4" customFormat="1" x14ac:dyDescent="0.3">
      <c r="A202" s="4" t="s">
        <v>13</v>
      </c>
      <c r="B202" s="4" t="s">
        <v>7</v>
      </c>
      <c r="C202" s="4">
        <v>4</v>
      </c>
      <c r="D202" s="4">
        <v>1.2249455</v>
      </c>
      <c r="E202" s="4">
        <v>0.74068000000000001</v>
      </c>
      <c r="F202" s="4">
        <v>2.02582</v>
      </c>
      <c r="G202" s="4" t="s">
        <v>273</v>
      </c>
    </row>
    <row r="203" spans="1:7" s="4" customFormat="1" x14ac:dyDescent="0.3">
      <c r="A203" s="4" t="s">
        <v>13</v>
      </c>
      <c r="B203" s="4" t="s">
        <v>6</v>
      </c>
      <c r="C203" s="4">
        <v>4</v>
      </c>
      <c r="D203" s="4">
        <v>2.1</v>
      </c>
      <c r="E203" s="4">
        <v>0.8468</v>
      </c>
      <c r="F203" s="4">
        <v>5.2135999999999996</v>
      </c>
      <c r="G203" s="4" t="s">
        <v>279</v>
      </c>
    </row>
    <row r="204" spans="1:7" x14ac:dyDescent="0.3">
      <c r="A204" t="s">
        <v>225</v>
      </c>
      <c r="B204" t="s">
        <v>168</v>
      </c>
      <c r="C204">
        <v>11</v>
      </c>
      <c r="D204">
        <v>0</v>
      </c>
    </row>
    <row r="205" spans="1:7" x14ac:dyDescent="0.3">
      <c r="A205" t="s">
        <v>225</v>
      </c>
      <c r="B205" t="s">
        <v>5</v>
      </c>
      <c r="C205">
        <v>11</v>
      </c>
      <c r="D205">
        <v>0</v>
      </c>
    </row>
    <row r="206" spans="1:7" x14ac:dyDescent="0.3">
      <c r="A206" t="s">
        <v>225</v>
      </c>
      <c r="B206" t="s">
        <v>22</v>
      </c>
      <c r="C206">
        <v>11</v>
      </c>
      <c r="D206">
        <v>0</v>
      </c>
    </row>
    <row r="207" spans="1:7" x14ac:dyDescent="0.3">
      <c r="A207" t="s">
        <v>225</v>
      </c>
      <c r="B207" t="s">
        <v>165</v>
      </c>
      <c r="C207">
        <v>11</v>
      </c>
      <c r="D207">
        <v>0</v>
      </c>
    </row>
    <row r="208" spans="1:7" x14ac:dyDescent="0.3">
      <c r="A208" t="s">
        <v>225</v>
      </c>
      <c r="B208" t="s">
        <v>37</v>
      </c>
      <c r="C208">
        <v>1</v>
      </c>
      <c r="D208">
        <v>4.8499999999999996</v>
      </c>
      <c r="E208">
        <v>3.53</v>
      </c>
      <c r="F208">
        <v>6.68</v>
      </c>
    </row>
    <row r="209" spans="1:7" x14ac:dyDescent="0.3">
      <c r="A209" t="s">
        <v>225</v>
      </c>
      <c r="B209" t="s">
        <v>6</v>
      </c>
      <c r="C209">
        <v>11</v>
      </c>
      <c r="D209">
        <v>0</v>
      </c>
    </row>
    <row r="210" spans="1:7" s="4" customFormat="1" x14ac:dyDescent="0.3">
      <c r="A210" s="4" t="s">
        <v>176</v>
      </c>
      <c r="B210" s="4" t="s">
        <v>168</v>
      </c>
      <c r="C210" s="4">
        <v>2</v>
      </c>
      <c r="D210" s="4">
        <v>1.6234</v>
      </c>
      <c r="E210" s="4">
        <v>1.1495470000000001</v>
      </c>
      <c r="F210" s="4">
        <v>2.2342610000000001</v>
      </c>
      <c r="G210" s="4" t="s">
        <v>261</v>
      </c>
    </row>
    <row r="211" spans="1:7" s="4" customFormat="1" x14ac:dyDescent="0.3">
      <c r="A211" s="4" t="s">
        <v>176</v>
      </c>
      <c r="B211" s="4" t="s">
        <v>5</v>
      </c>
      <c r="C211" s="4">
        <v>1</v>
      </c>
      <c r="D211" s="4">
        <v>1.03</v>
      </c>
    </row>
    <row r="212" spans="1:7" s="4" customFormat="1" x14ac:dyDescent="0.3">
      <c r="A212" s="4" t="s">
        <v>176</v>
      </c>
      <c r="B212" s="4" t="s">
        <v>22</v>
      </c>
      <c r="C212" s="4">
        <v>1</v>
      </c>
      <c r="D212" s="4">
        <v>0</v>
      </c>
    </row>
    <row r="213" spans="1:7" s="4" customFormat="1" x14ac:dyDescent="0.3">
      <c r="A213" s="4" t="s">
        <v>176</v>
      </c>
      <c r="B213" s="4" t="s">
        <v>165</v>
      </c>
      <c r="C213" s="4">
        <v>1</v>
      </c>
      <c r="D213" s="4">
        <v>1.58</v>
      </c>
      <c r="E213" s="4">
        <v>1.1411</v>
      </c>
      <c r="F213" s="4">
        <v>2.1876000000000002</v>
      </c>
      <c r="G213" s="4" t="s">
        <v>255</v>
      </c>
    </row>
    <row r="214" spans="1:7" s="4" customFormat="1" x14ac:dyDescent="0.3">
      <c r="A214" s="4" t="s">
        <v>176</v>
      </c>
      <c r="B214" s="4" t="s">
        <v>37</v>
      </c>
      <c r="C214" s="4">
        <v>1</v>
      </c>
      <c r="D214" s="4">
        <v>4.54</v>
      </c>
      <c r="E214" s="4">
        <v>1.7965</v>
      </c>
      <c r="F214" s="4">
        <v>11.475899999999999</v>
      </c>
    </row>
    <row r="215" spans="1:7" s="4" customFormat="1" x14ac:dyDescent="0.3">
      <c r="A215" s="4" t="s">
        <v>176</v>
      </c>
      <c r="B215" s="4" t="s">
        <v>21</v>
      </c>
      <c r="C215" s="4">
        <v>2</v>
      </c>
      <c r="D215" s="4">
        <v>2</v>
      </c>
      <c r="E215" s="4">
        <v>1.407</v>
      </c>
      <c r="F215" s="4">
        <v>2.8428</v>
      </c>
      <c r="G215" s="4" t="s">
        <v>250</v>
      </c>
    </row>
    <row r="216" spans="1:7" s="4" customFormat="1" x14ac:dyDescent="0.3">
      <c r="A216" s="4" t="s">
        <v>176</v>
      </c>
      <c r="B216" s="4" t="s">
        <v>7</v>
      </c>
      <c r="C216" s="4">
        <v>1</v>
      </c>
      <c r="D216" s="4">
        <v>0</v>
      </c>
    </row>
    <row r="217" spans="1:7" s="4" customFormat="1" x14ac:dyDescent="0.3">
      <c r="A217" s="4" t="s">
        <v>176</v>
      </c>
      <c r="B217" s="4" t="s">
        <v>6</v>
      </c>
      <c r="C217" s="4">
        <v>2</v>
      </c>
      <c r="D217" s="4">
        <v>1.4036458000000001</v>
      </c>
      <c r="E217" s="4">
        <v>0.98156410000000005</v>
      </c>
      <c r="F217" s="4">
        <v>2.0072266000000001</v>
      </c>
      <c r="G217" s="4" t="s">
        <v>279</v>
      </c>
    </row>
    <row r="218" spans="1:7" s="4" customFormat="1" x14ac:dyDescent="0.3">
      <c r="A218" s="4" t="s">
        <v>176</v>
      </c>
      <c r="B218" s="4" t="s">
        <v>17</v>
      </c>
      <c r="C218" s="4">
        <v>2</v>
      </c>
      <c r="D218" s="4">
        <v>0</v>
      </c>
    </row>
    <row r="219" spans="1:7" x14ac:dyDescent="0.3">
      <c r="A219" t="s">
        <v>237</v>
      </c>
      <c r="B219" t="s">
        <v>168</v>
      </c>
      <c r="C219">
        <v>11</v>
      </c>
      <c r="D219">
        <v>0</v>
      </c>
    </row>
    <row r="220" spans="1:7" x14ac:dyDescent="0.3">
      <c r="A220" t="s">
        <v>237</v>
      </c>
      <c r="B220" t="s">
        <v>5</v>
      </c>
      <c r="C220">
        <v>11</v>
      </c>
      <c r="D220">
        <v>0</v>
      </c>
    </row>
    <row r="221" spans="1:7" x14ac:dyDescent="0.3">
      <c r="A221" t="s">
        <v>237</v>
      </c>
      <c r="B221" t="s">
        <v>22</v>
      </c>
      <c r="C221">
        <v>11</v>
      </c>
      <c r="D221">
        <v>0</v>
      </c>
    </row>
    <row r="222" spans="1:7" x14ac:dyDescent="0.3">
      <c r="A222" t="s">
        <v>237</v>
      </c>
      <c r="B222" t="s">
        <v>165</v>
      </c>
      <c r="C222">
        <v>11</v>
      </c>
      <c r="D222">
        <v>0</v>
      </c>
    </row>
    <row r="223" spans="1:7" x14ac:dyDescent="0.3">
      <c r="A223" t="s">
        <v>237</v>
      </c>
      <c r="B223" t="s">
        <v>37</v>
      </c>
      <c r="C223">
        <v>1</v>
      </c>
      <c r="D223">
        <v>6.89</v>
      </c>
      <c r="E223">
        <v>3.03</v>
      </c>
      <c r="F223">
        <v>17.239999999999998</v>
      </c>
    </row>
    <row r="224" spans="1:7" x14ac:dyDescent="0.3">
      <c r="A224" t="s">
        <v>237</v>
      </c>
      <c r="B224" t="s">
        <v>21</v>
      </c>
      <c r="C224">
        <v>11</v>
      </c>
      <c r="D224">
        <v>0</v>
      </c>
    </row>
    <row r="225" spans="1:7" x14ac:dyDescent="0.3">
      <c r="A225" t="s">
        <v>237</v>
      </c>
      <c r="B225" t="s">
        <v>7</v>
      </c>
      <c r="C225">
        <v>9</v>
      </c>
      <c r="D225">
        <v>0</v>
      </c>
    </row>
    <row r="226" spans="1:7" x14ac:dyDescent="0.3">
      <c r="A226" t="s">
        <v>237</v>
      </c>
      <c r="B226" t="s">
        <v>6</v>
      </c>
      <c r="C226">
        <v>11</v>
      </c>
      <c r="D226">
        <v>0</v>
      </c>
    </row>
    <row r="227" spans="1:7" s="4" customFormat="1" x14ac:dyDescent="0.3">
      <c r="A227" s="4" t="s">
        <v>159</v>
      </c>
      <c r="B227" s="4" t="s">
        <v>5</v>
      </c>
      <c r="C227" s="4">
        <v>11</v>
      </c>
      <c r="D227" s="4">
        <v>0</v>
      </c>
    </row>
    <row r="228" spans="1:7" s="4" customFormat="1" x14ac:dyDescent="0.3">
      <c r="A228" s="4" t="s">
        <v>159</v>
      </c>
      <c r="B228" s="4" t="s">
        <v>165</v>
      </c>
      <c r="C228" s="4">
        <v>11</v>
      </c>
      <c r="D228" s="4">
        <v>0</v>
      </c>
    </row>
    <row r="229" spans="1:7" s="4" customFormat="1" x14ac:dyDescent="0.3">
      <c r="A229" s="4" t="s">
        <v>159</v>
      </c>
      <c r="B229" s="4" t="s">
        <v>37</v>
      </c>
      <c r="C229" s="4">
        <v>1</v>
      </c>
      <c r="D229" s="4">
        <v>8.67</v>
      </c>
      <c r="E229" s="4">
        <v>3.43</v>
      </c>
      <c r="F229" s="4">
        <v>25.24</v>
      </c>
    </row>
    <row r="230" spans="1:7" s="4" customFormat="1" x14ac:dyDescent="0.3">
      <c r="A230" s="4" t="s">
        <v>159</v>
      </c>
      <c r="B230" s="4" t="s">
        <v>6</v>
      </c>
      <c r="C230" s="4">
        <v>11</v>
      </c>
      <c r="D230" s="4">
        <v>0</v>
      </c>
    </row>
    <row r="231" spans="1:7" s="6" customFormat="1" x14ac:dyDescent="0.3">
      <c r="A231" s="6" t="s">
        <v>235</v>
      </c>
      <c r="B231" s="6" t="s">
        <v>5</v>
      </c>
      <c r="C231" s="6">
        <v>11</v>
      </c>
      <c r="D231" s="6">
        <v>0</v>
      </c>
    </row>
    <row r="232" spans="1:7" s="6" customFormat="1" x14ac:dyDescent="0.3">
      <c r="A232" s="6" t="s">
        <v>235</v>
      </c>
      <c r="B232" s="4" t="s">
        <v>168</v>
      </c>
      <c r="C232" s="4">
        <v>11</v>
      </c>
      <c r="D232" s="4">
        <v>0</v>
      </c>
    </row>
    <row r="233" spans="1:7" s="6" customFormat="1" x14ac:dyDescent="0.3">
      <c r="A233" s="6" t="s">
        <v>235</v>
      </c>
      <c r="B233" s="6" t="s">
        <v>37</v>
      </c>
      <c r="C233" s="6">
        <v>1</v>
      </c>
      <c r="D233" s="6">
        <v>14.94</v>
      </c>
      <c r="E233" s="6">
        <v>6.46</v>
      </c>
      <c r="F233" s="6">
        <v>39.82</v>
      </c>
    </row>
    <row r="234" spans="1:7" s="6" customFormat="1" x14ac:dyDescent="0.3">
      <c r="A234" s="6" t="s">
        <v>235</v>
      </c>
      <c r="B234" s="6" t="s">
        <v>21</v>
      </c>
      <c r="C234" s="6">
        <v>11</v>
      </c>
      <c r="D234" s="6">
        <v>0</v>
      </c>
    </row>
    <row r="235" spans="1:7" s="6" customFormat="1" x14ac:dyDescent="0.3">
      <c r="A235" s="6" t="s">
        <v>235</v>
      </c>
      <c r="B235" s="6" t="s">
        <v>7</v>
      </c>
      <c r="C235" s="6">
        <v>9</v>
      </c>
      <c r="D235" s="6">
        <v>0</v>
      </c>
    </row>
    <row r="236" spans="1:7" s="4" customFormat="1" x14ac:dyDescent="0.3">
      <c r="A236" s="4" t="s">
        <v>90</v>
      </c>
      <c r="B236" s="4" t="s">
        <v>168</v>
      </c>
      <c r="C236" s="4">
        <v>9</v>
      </c>
      <c r="D236" s="4">
        <v>0</v>
      </c>
    </row>
    <row r="237" spans="1:7" s="4" customFormat="1" x14ac:dyDescent="0.3">
      <c r="A237" s="4" t="s">
        <v>90</v>
      </c>
      <c r="B237" s="4" t="s">
        <v>5</v>
      </c>
      <c r="C237" s="4">
        <v>1</v>
      </c>
      <c r="D237" s="4">
        <v>1.05</v>
      </c>
    </row>
    <row r="238" spans="1:7" s="4" customFormat="1" x14ac:dyDescent="0.3">
      <c r="A238" s="4" t="s">
        <v>90</v>
      </c>
      <c r="B238" s="4" t="s">
        <v>165</v>
      </c>
      <c r="C238" s="4">
        <v>2</v>
      </c>
      <c r="D238" s="4">
        <f>1/0.79</f>
        <v>1.2658227848101264</v>
      </c>
      <c r="E238" s="4">
        <f>1/1.1</f>
        <v>0.90909090909090906</v>
      </c>
      <c r="F238" s="4">
        <f>1/0.56</f>
        <v>1.7857142857142856</v>
      </c>
      <c r="G238" s="4" t="s">
        <v>255</v>
      </c>
    </row>
    <row r="239" spans="1:7" s="4" customFormat="1" x14ac:dyDescent="0.3">
      <c r="A239" s="4" t="s">
        <v>90</v>
      </c>
      <c r="B239" s="4" t="s">
        <v>37</v>
      </c>
      <c r="C239" s="4">
        <v>1</v>
      </c>
      <c r="D239" s="4">
        <f>1/0.32</f>
        <v>3.125</v>
      </c>
      <c r="E239" s="4">
        <f>1/0.89</f>
        <v>1.1235955056179776</v>
      </c>
      <c r="F239" s="4">
        <f>1/0.11</f>
        <v>9.0909090909090917</v>
      </c>
      <c r="G239" s="4" t="s">
        <v>256</v>
      </c>
    </row>
    <row r="240" spans="1:7" s="4" customFormat="1" x14ac:dyDescent="0.3">
      <c r="A240" s="4" t="s">
        <v>90</v>
      </c>
      <c r="B240" s="4" t="s">
        <v>21</v>
      </c>
      <c r="C240" s="4">
        <v>1</v>
      </c>
      <c r="D240" s="4">
        <f>1/0.68</f>
        <v>1.4705882352941175</v>
      </c>
      <c r="E240" s="4">
        <f>1/0.97</f>
        <v>1.0309278350515465</v>
      </c>
      <c r="F240" s="4">
        <f>1/0.48</f>
        <v>2.0833333333333335</v>
      </c>
      <c r="G240" s="4" t="s">
        <v>250</v>
      </c>
    </row>
    <row r="241" spans="1:7" s="4" customFormat="1" x14ac:dyDescent="0.3">
      <c r="A241" s="4" t="s">
        <v>90</v>
      </c>
      <c r="B241" s="4" t="s">
        <v>166</v>
      </c>
      <c r="C241" s="4">
        <v>2</v>
      </c>
      <c r="D241" s="4">
        <f>1/0.82</f>
        <v>1.2195121951219512</v>
      </c>
      <c r="E241" s="4">
        <f>1/1.34</f>
        <v>0.74626865671641784</v>
      </c>
      <c r="F241" s="4">
        <f>1/0.5</f>
        <v>2</v>
      </c>
      <c r="G241" s="4" t="s">
        <v>280</v>
      </c>
    </row>
    <row r="242" spans="1:7" s="4" customFormat="1" x14ac:dyDescent="0.3">
      <c r="A242" s="4" t="s">
        <v>90</v>
      </c>
      <c r="B242" s="4" t="s">
        <v>7</v>
      </c>
      <c r="C242" s="4">
        <v>1</v>
      </c>
      <c r="D242" s="4">
        <f>1/0.67</f>
        <v>1.4925373134328357</v>
      </c>
      <c r="E242" s="4">
        <f>1/0.95</f>
        <v>1.0526315789473684</v>
      </c>
      <c r="F242" s="4">
        <f>1/0.48</f>
        <v>2.0833333333333335</v>
      </c>
      <c r="G242" s="4" t="s">
        <v>281</v>
      </c>
    </row>
    <row r="243" spans="1:7" x14ac:dyDescent="0.3">
      <c r="A243" t="s">
        <v>73</v>
      </c>
      <c r="B243" t="s">
        <v>168</v>
      </c>
      <c r="C243">
        <v>1</v>
      </c>
      <c r="D243">
        <f>1/0.73</f>
        <v>1.3698630136986301</v>
      </c>
      <c r="E243">
        <v>1</v>
      </c>
      <c r="F243">
        <f>1/0.53</f>
        <v>1.8867924528301885</v>
      </c>
      <c r="G243" s="4" t="s">
        <v>261</v>
      </c>
    </row>
    <row r="244" spans="1:7" x14ac:dyDescent="0.3">
      <c r="A244" t="s">
        <v>73</v>
      </c>
      <c r="B244" t="s">
        <v>5</v>
      </c>
      <c r="C244">
        <v>1</v>
      </c>
      <c r="D244">
        <v>1.0900000000000001</v>
      </c>
    </row>
    <row r="245" spans="1:7" x14ac:dyDescent="0.3">
      <c r="A245" t="s">
        <v>73</v>
      </c>
      <c r="B245" t="s">
        <v>167</v>
      </c>
      <c r="C245">
        <v>2</v>
      </c>
      <c r="D245">
        <v>1.39</v>
      </c>
      <c r="E245">
        <v>0.92</v>
      </c>
      <c r="F245">
        <v>2.1</v>
      </c>
      <c r="G245" s="4" t="s">
        <v>283</v>
      </c>
    </row>
    <row r="246" spans="1:7" x14ac:dyDescent="0.3">
      <c r="A246" t="s">
        <v>73</v>
      </c>
      <c r="B246" t="s">
        <v>165</v>
      </c>
      <c r="C246">
        <v>2</v>
      </c>
      <c r="D246">
        <f>1/0.8</f>
        <v>1.25</v>
      </c>
      <c r="E246">
        <f>1/1.06</f>
        <v>0.94339622641509424</v>
      </c>
      <c r="F246">
        <f>1/0.6</f>
        <v>1.6666666666666667</v>
      </c>
    </row>
    <row r="247" spans="1:7" x14ac:dyDescent="0.3">
      <c r="A247" t="s">
        <v>73</v>
      </c>
      <c r="B247" t="s">
        <v>28</v>
      </c>
      <c r="C247">
        <v>2</v>
      </c>
      <c r="D247">
        <f>1/0.6</f>
        <v>1.6666666666666667</v>
      </c>
      <c r="E247">
        <f>1/1.17</f>
        <v>0.85470085470085477</v>
      </c>
      <c r="F247">
        <f>1/0.3</f>
        <v>3.3333333333333335</v>
      </c>
      <c r="G247" s="4" t="s">
        <v>284</v>
      </c>
    </row>
    <row r="248" spans="1:7" x14ac:dyDescent="0.3">
      <c r="A248" t="s">
        <v>73</v>
      </c>
      <c r="B248" t="s">
        <v>139</v>
      </c>
      <c r="C248">
        <v>2</v>
      </c>
      <c r="D248">
        <v>1.04</v>
      </c>
      <c r="E248">
        <v>0.43</v>
      </c>
      <c r="F248">
        <v>2.5099999999999998</v>
      </c>
    </row>
    <row r="249" spans="1:7" x14ac:dyDescent="0.3">
      <c r="A249" t="s">
        <v>73</v>
      </c>
      <c r="B249" t="s">
        <v>27</v>
      </c>
      <c r="C249">
        <v>2</v>
      </c>
      <c r="D249">
        <f>1/0.94</f>
        <v>1.0638297872340425</v>
      </c>
      <c r="E249">
        <f>1/1.38</f>
        <v>0.7246376811594204</v>
      </c>
      <c r="F249">
        <f>1/0.64</f>
        <v>1.5625</v>
      </c>
    </row>
    <row r="250" spans="1:7" x14ac:dyDescent="0.3">
      <c r="A250" t="s">
        <v>73</v>
      </c>
      <c r="B250" t="s">
        <v>37</v>
      </c>
      <c r="C250">
        <v>2</v>
      </c>
      <c r="D250">
        <f>1/0.82</f>
        <v>1.2195121951219512</v>
      </c>
      <c r="E250">
        <f>1/0.98</f>
        <v>1.0204081632653061</v>
      </c>
      <c r="F250">
        <f>1/0.69</f>
        <v>1.4492753623188408</v>
      </c>
      <c r="G250" t="s">
        <v>256</v>
      </c>
    </row>
    <row r="251" spans="1:7" x14ac:dyDescent="0.3">
      <c r="A251" t="s">
        <v>73</v>
      </c>
      <c r="B251" t="s">
        <v>21</v>
      </c>
      <c r="C251">
        <v>1</v>
      </c>
      <c r="D251">
        <f>1/0.47</f>
        <v>2.1276595744680851</v>
      </c>
      <c r="E251">
        <f>1/0.75</f>
        <v>1.3333333333333333</v>
      </c>
      <c r="F251">
        <f>1/0.29</f>
        <v>3.4482758620689657</v>
      </c>
      <c r="G251" t="s">
        <v>282</v>
      </c>
    </row>
    <row r="252" spans="1:7" x14ac:dyDescent="0.3">
      <c r="A252" t="s">
        <v>73</v>
      </c>
      <c r="B252" t="s">
        <v>7</v>
      </c>
      <c r="C252">
        <v>9</v>
      </c>
      <c r="D252">
        <v>0</v>
      </c>
    </row>
    <row r="253" spans="1:7" x14ac:dyDescent="0.3">
      <c r="A253" t="s">
        <v>73</v>
      </c>
      <c r="B253" t="s">
        <v>6</v>
      </c>
      <c r="C253">
        <v>2</v>
      </c>
      <c r="D253">
        <v>1.1100000000000001</v>
      </c>
      <c r="E253">
        <v>0.69</v>
      </c>
      <c r="F253">
        <v>1.79</v>
      </c>
      <c r="G253" t="s">
        <v>279</v>
      </c>
    </row>
    <row r="254" spans="1:7" x14ac:dyDescent="0.3">
      <c r="A254" t="s">
        <v>73</v>
      </c>
      <c r="B254" t="s">
        <v>23</v>
      </c>
      <c r="C254">
        <v>1</v>
      </c>
      <c r="D254">
        <v>5</v>
      </c>
      <c r="E254">
        <v>3.39</v>
      </c>
      <c r="F254">
        <v>7.4</v>
      </c>
    </row>
    <row r="255" spans="1:7" x14ac:dyDescent="0.3">
      <c r="A255" t="s">
        <v>73</v>
      </c>
      <c r="B255" t="s">
        <v>38</v>
      </c>
      <c r="C255">
        <v>2</v>
      </c>
      <c r="D255">
        <f>1/0.82</f>
        <v>1.2195121951219512</v>
      </c>
      <c r="E255">
        <f>1/0.94</f>
        <v>1.0638297872340425</v>
      </c>
      <c r="F255">
        <f>1/0.71</f>
        <v>1.4084507042253522</v>
      </c>
    </row>
    <row r="256" spans="1:7" s="4" customFormat="1" x14ac:dyDescent="0.3">
      <c r="A256" s="4" t="s">
        <v>97</v>
      </c>
      <c r="B256" s="4" t="s">
        <v>168</v>
      </c>
      <c r="C256" s="4">
        <v>9</v>
      </c>
      <c r="D256" s="4">
        <v>0</v>
      </c>
    </row>
    <row r="257" spans="1:7" s="4" customFormat="1" x14ac:dyDescent="0.3">
      <c r="A257" s="4" t="s">
        <v>97</v>
      </c>
      <c r="B257" s="4" t="s">
        <v>5</v>
      </c>
      <c r="C257" s="4">
        <v>11</v>
      </c>
      <c r="D257" s="4">
        <v>0</v>
      </c>
    </row>
    <row r="258" spans="1:7" s="4" customFormat="1" x14ac:dyDescent="0.3">
      <c r="A258" s="4" t="s">
        <v>97</v>
      </c>
      <c r="B258" s="4" t="s">
        <v>22</v>
      </c>
      <c r="C258" s="4">
        <v>11</v>
      </c>
      <c r="D258" s="4">
        <v>0</v>
      </c>
    </row>
    <row r="259" spans="1:7" s="4" customFormat="1" x14ac:dyDescent="0.3">
      <c r="A259" s="4" t="s">
        <v>97</v>
      </c>
      <c r="B259" s="4" t="s">
        <v>167</v>
      </c>
      <c r="C259" s="4">
        <v>11</v>
      </c>
      <c r="D259" s="4">
        <v>0</v>
      </c>
    </row>
    <row r="260" spans="1:7" s="4" customFormat="1" x14ac:dyDescent="0.3">
      <c r="A260" s="4" t="s">
        <v>97</v>
      </c>
      <c r="B260" s="4" t="s">
        <v>165</v>
      </c>
      <c r="C260" s="4">
        <v>11</v>
      </c>
      <c r="D260" s="4">
        <v>0</v>
      </c>
    </row>
    <row r="261" spans="1:7" s="4" customFormat="1" x14ac:dyDescent="0.3">
      <c r="A261" s="4" t="s">
        <v>97</v>
      </c>
      <c r="B261" s="4" t="s">
        <v>37</v>
      </c>
      <c r="C261" s="4">
        <v>2</v>
      </c>
      <c r="D261" s="4">
        <v>3.2833000000000001</v>
      </c>
      <c r="E261" s="4">
        <v>0.59230000000000005</v>
      </c>
      <c r="F261" s="4">
        <v>18.198597199999998</v>
      </c>
    </row>
    <row r="262" spans="1:7" s="4" customFormat="1" x14ac:dyDescent="0.3">
      <c r="A262" s="4" t="s">
        <v>97</v>
      </c>
      <c r="B262" s="4" t="s">
        <v>7</v>
      </c>
      <c r="C262" s="4">
        <v>11</v>
      </c>
      <c r="D262" s="4">
        <v>0</v>
      </c>
    </row>
    <row r="263" spans="1:7" s="4" customFormat="1" x14ac:dyDescent="0.3">
      <c r="A263" s="4" t="s">
        <v>97</v>
      </c>
      <c r="B263" s="4" t="s">
        <v>6</v>
      </c>
      <c r="C263" s="4">
        <v>11</v>
      </c>
      <c r="D263" s="4">
        <v>0</v>
      </c>
    </row>
    <row r="264" spans="1:7" x14ac:dyDescent="0.3">
      <c r="A264" t="s">
        <v>179</v>
      </c>
      <c r="B264" t="s">
        <v>5</v>
      </c>
      <c r="C264">
        <v>1</v>
      </c>
      <c r="D264">
        <f>1/0.99</f>
        <v>1.0101010101010102</v>
      </c>
      <c r="E264">
        <f>1/0.995</f>
        <v>1.0050251256281406</v>
      </c>
      <c r="F264">
        <f>1/0.98</f>
        <v>1.0204081632653061</v>
      </c>
    </row>
    <row r="265" spans="1:7" x14ac:dyDescent="0.3">
      <c r="A265" t="s">
        <v>179</v>
      </c>
      <c r="B265" t="s">
        <v>167</v>
      </c>
      <c r="C265">
        <v>1</v>
      </c>
      <c r="D265">
        <f>1/0.55</f>
        <v>1.8181818181818181</v>
      </c>
      <c r="E265">
        <f>1/0.78</f>
        <v>1.2820512820512819</v>
      </c>
      <c r="F265">
        <f>1/0.39</f>
        <v>2.5641025641025639</v>
      </c>
      <c r="G265" t="s">
        <v>263</v>
      </c>
    </row>
    <row r="266" spans="1:7" x14ac:dyDescent="0.3">
      <c r="A266" t="s">
        <v>179</v>
      </c>
      <c r="B266" t="s">
        <v>165</v>
      </c>
      <c r="C266">
        <v>1</v>
      </c>
      <c r="D266">
        <f>1/0.74</f>
        <v>1.3513513513513513</v>
      </c>
      <c r="E266">
        <f>1/0.92</f>
        <v>1.0869565217391304</v>
      </c>
      <c r="F266">
        <f>1/0.6</f>
        <v>1.6666666666666667</v>
      </c>
      <c r="G266" t="s">
        <v>255</v>
      </c>
    </row>
    <row r="267" spans="1:7" x14ac:dyDescent="0.3">
      <c r="A267" t="s">
        <v>179</v>
      </c>
      <c r="B267" t="s">
        <v>27</v>
      </c>
      <c r="C267">
        <v>2</v>
      </c>
      <c r="D267">
        <v>1.1399999999999999</v>
      </c>
      <c r="E267">
        <v>0.88</v>
      </c>
      <c r="F267">
        <v>1.49</v>
      </c>
      <c r="G267" t="s">
        <v>272</v>
      </c>
    </row>
    <row r="268" spans="1:7" x14ac:dyDescent="0.3">
      <c r="A268" t="s">
        <v>179</v>
      </c>
      <c r="B268" t="s">
        <v>37</v>
      </c>
      <c r="C268">
        <v>1</v>
      </c>
      <c r="D268">
        <v>3.19</v>
      </c>
      <c r="E268">
        <v>2.2200000000000002</v>
      </c>
      <c r="F268">
        <v>4.58</v>
      </c>
    </row>
    <row r="269" spans="1:7" x14ac:dyDescent="0.3">
      <c r="A269" t="s">
        <v>179</v>
      </c>
      <c r="B269" t="s">
        <v>21</v>
      </c>
      <c r="C269">
        <v>1</v>
      </c>
      <c r="D269">
        <f>1/0.37</f>
        <v>2.7027027027027026</v>
      </c>
      <c r="E269">
        <f>1/0.5</f>
        <v>2</v>
      </c>
      <c r="F269">
        <f>1/0.27</f>
        <v>3.7037037037037033</v>
      </c>
      <c r="G269" t="s">
        <v>250</v>
      </c>
    </row>
    <row r="270" spans="1:7" x14ac:dyDescent="0.3">
      <c r="A270" t="s">
        <v>179</v>
      </c>
      <c r="B270" t="s">
        <v>7</v>
      </c>
      <c r="C270">
        <v>1</v>
      </c>
      <c r="D270">
        <f>1/0.39</f>
        <v>2.5641025641025639</v>
      </c>
      <c r="E270">
        <f>1/0.55</f>
        <v>1.8181818181818181</v>
      </c>
      <c r="F270">
        <f>1/0.28</f>
        <v>3.5714285714285712</v>
      </c>
      <c r="G270" t="s">
        <v>286</v>
      </c>
    </row>
    <row r="271" spans="1:7" x14ac:dyDescent="0.3">
      <c r="A271" t="s">
        <v>179</v>
      </c>
      <c r="B271" t="s">
        <v>6</v>
      </c>
      <c r="C271">
        <v>1</v>
      </c>
      <c r="D271">
        <v>7.82</v>
      </c>
      <c r="E271">
        <v>3.91</v>
      </c>
      <c r="F271">
        <v>15.65</v>
      </c>
      <c r="G271" t="s">
        <v>285</v>
      </c>
    </row>
    <row r="272" spans="1:7" x14ac:dyDescent="0.3">
      <c r="A272" t="s">
        <v>179</v>
      </c>
      <c r="B272" t="s">
        <v>23</v>
      </c>
      <c r="C272">
        <v>1</v>
      </c>
      <c r="D272">
        <v>9.15</v>
      </c>
      <c r="E272">
        <v>5.67</v>
      </c>
      <c r="F272">
        <v>14.82</v>
      </c>
    </row>
    <row r="273" spans="1:7" s="4" customFormat="1" x14ac:dyDescent="0.3">
      <c r="A273" s="4" t="s">
        <v>158</v>
      </c>
      <c r="B273" s="4" t="s">
        <v>5</v>
      </c>
      <c r="C273" s="4">
        <v>1</v>
      </c>
      <c r="D273" s="4">
        <v>1.03</v>
      </c>
    </row>
    <row r="274" spans="1:7" s="4" customFormat="1" x14ac:dyDescent="0.3">
      <c r="A274" s="4" t="s">
        <v>158</v>
      </c>
      <c r="B274" s="4" t="s">
        <v>22</v>
      </c>
      <c r="C274" s="4">
        <v>1</v>
      </c>
      <c r="D274" s="4">
        <v>1.18</v>
      </c>
    </row>
    <row r="275" spans="1:7" s="4" customFormat="1" x14ac:dyDescent="0.3">
      <c r="A275" s="4" t="s">
        <v>158</v>
      </c>
      <c r="B275" s="4" t="s">
        <v>165</v>
      </c>
      <c r="C275" s="4">
        <v>1</v>
      </c>
      <c r="D275" s="4">
        <v>1.35</v>
      </c>
      <c r="E275" s="4">
        <v>1.07</v>
      </c>
      <c r="F275" s="4">
        <v>1.71</v>
      </c>
      <c r="G275" s="4" t="s">
        <v>255</v>
      </c>
    </row>
    <row r="276" spans="1:7" s="4" customFormat="1" x14ac:dyDescent="0.3">
      <c r="A276" s="4" t="s">
        <v>158</v>
      </c>
      <c r="B276" s="4" t="s">
        <v>37</v>
      </c>
      <c r="C276" s="4">
        <v>1</v>
      </c>
      <c r="D276" s="4">
        <v>4.7</v>
      </c>
      <c r="E276" s="4">
        <v>3.27</v>
      </c>
      <c r="F276" s="4">
        <v>6.74</v>
      </c>
      <c r="G276" s="4" t="s">
        <v>256</v>
      </c>
    </row>
    <row r="277" spans="1:7" s="4" customFormat="1" x14ac:dyDescent="0.3">
      <c r="A277" s="4" t="s">
        <v>158</v>
      </c>
      <c r="B277" s="4" t="s">
        <v>7</v>
      </c>
      <c r="C277" s="4">
        <v>1</v>
      </c>
      <c r="D277" s="4">
        <v>1.98</v>
      </c>
      <c r="E277" s="4">
        <v>1.37</v>
      </c>
      <c r="F277" s="4">
        <v>2.86</v>
      </c>
      <c r="G277" t="s">
        <v>286</v>
      </c>
    </row>
    <row r="278" spans="1:7" x14ac:dyDescent="0.3">
      <c r="A278" t="s">
        <v>119</v>
      </c>
      <c r="B278" t="s">
        <v>5</v>
      </c>
      <c r="C278">
        <v>1</v>
      </c>
      <c r="D278">
        <v>1.03</v>
      </c>
    </row>
    <row r="279" spans="1:7" x14ac:dyDescent="0.3">
      <c r="A279" t="s">
        <v>119</v>
      </c>
      <c r="B279" t="s">
        <v>165</v>
      </c>
      <c r="C279">
        <v>2</v>
      </c>
      <c r="D279">
        <f>1/0.86</f>
        <v>1.1627906976744187</v>
      </c>
      <c r="E279">
        <f>1/1.03</f>
        <v>0.970873786407767</v>
      </c>
      <c r="F279">
        <f>1/0.72</f>
        <v>1.3888888888888888</v>
      </c>
    </row>
    <row r="280" spans="1:7" x14ac:dyDescent="0.3">
      <c r="A280" t="s">
        <v>119</v>
      </c>
      <c r="B280" t="s">
        <v>120</v>
      </c>
      <c r="C280">
        <v>1</v>
      </c>
      <c r="D280">
        <v>0.94</v>
      </c>
      <c r="E280" s="4">
        <v>0.91</v>
      </c>
      <c r="F280" s="4">
        <v>0.98</v>
      </c>
    </row>
    <row r="281" spans="1:7" x14ac:dyDescent="0.3">
      <c r="A281" t="s">
        <v>119</v>
      </c>
      <c r="B281" t="s">
        <v>37</v>
      </c>
      <c r="C281">
        <v>1</v>
      </c>
      <c r="D281">
        <f>1/0.34</f>
        <v>2.9411764705882351</v>
      </c>
      <c r="E281">
        <f>1/0.56</f>
        <v>1.7857142857142856</v>
      </c>
      <c r="F281">
        <f>1/0.2</f>
        <v>5</v>
      </c>
    </row>
    <row r="282" spans="1:7" x14ac:dyDescent="0.3">
      <c r="A282" t="s">
        <v>119</v>
      </c>
      <c r="B282" t="s">
        <v>7</v>
      </c>
      <c r="C282">
        <v>9</v>
      </c>
      <c r="D282">
        <v>0</v>
      </c>
    </row>
    <row r="283" spans="1:7" x14ac:dyDescent="0.3">
      <c r="A283" t="s">
        <v>119</v>
      </c>
      <c r="B283" t="s">
        <v>23</v>
      </c>
      <c r="C283">
        <v>1</v>
      </c>
      <c r="D283">
        <v>14.17</v>
      </c>
      <c r="E283">
        <v>7.15</v>
      </c>
      <c r="F283">
        <v>28.08</v>
      </c>
      <c r="G283" t="s">
        <v>287</v>
      </c>
    </row>
    <row r="284" spans="1:7" s="4" customFormat="1" x14ac:dyDescent="0.3">
      <c r="A284" s="4" t="s">
        <v>157</v>
      </c>
      <c r="B284" s="4" t="s">
        <v>168</v>
      </c>
      <c r="C284" s="4">
        <v>11</v>
      </c>
      <c r="D284" s="4">
        <v>0</v>
      </c>
    </row>
    <row r="285" spans="1:7" s="4" customFormat="1" x14ac:dyDescent="0.3">
      <c r="A285" s="4" t="s">
        <v>157</v>
      </c>
      <c r="B285" s="4" t="s">
        <v>5</v>
      </c>
      <c r="C285" s="4">
        <v>11</v>
      </c>
      <c r="D285" s="4">
        <v>0</v>
      </c>
    </row>
    <row r="286" spans="1:7" s="4" customFormat="1" x14ac:dyDescent="0.3">
      <c r="A286" s="4" t="s">
        <v>157</v>
      </c>
      <c r="B286" s="4" t="s">
        <v>165</v>
      </c>
      <c r="C286" s="4">
        <v>11</v>
      </c>
      <c r="D286" s="4">
        <v>0</v>
      </c>
    </row>
    <row r="287" spans="1:7" s="4" customFormat="1" x14ac:dyDescent="0.3">
      <c r="A287" s="4" t="s">
        <v>157</v>
      </c>
      <c r="B287" s="4" t="s">
        <v>37</v>
      </c>
      <c r="C287" s="4">
        <v>1</v>
      </c>
      <c r="D287" s="4">
        <v>4.9000000000000004</v>
      </c>
      <c r="E287" s="4">
        <v>2.4</v>
      </c>
      <c r="F287" s="4">
        <v>10.1</v>
      </c>
    </row>
    <row r="288" spans="1:7" s="4" customFormat="1" x14ac:dyDescent="0.3">
      <c r="A288" s="4" t="s">
        <v>157</v>
      </c>
      <c r="B288" s="4" t="s">
        <v>21</v>
      </c>
      <c r="C288" s="4">
        <v>11</v>
      </c>
      <c r="D288" s="4">
        <v>0</v>
      </c>
    </row>
    <row r="289" spans="1:7" s="4" customFormat="1" x14ac:dyDescent="0.3">
      <c r="A289" s="4" t="s">
        <v>157</v>
      </c>
      <c r="B289" s="4" t="s">
        <v>6</v>
      </c>
      <c r="C289" s="4">
        <v>11</v>
      </c>
      <c r="D289" s="4">
        <v>0</v>
      </c>
    </row>
    <row r="290" spans="1:7" s="4" customFormat="1" x14ac:dyDescent="0.3">
      <c r="A290" s="4" t="s">
        <v>157</v>
      </c>
      <c r="B290" s="4" t="s">
        <v>23</v>
      </c>
      <c r="C290" s="4">
        <v>11</v>
      </c>
      <c r="D290" s="4">
        <v>0</v>
      </c>
    </row>
    <row r="291" spans="1:7" x14ac:dyDescent="0.3">
      <c r="A291" t="s">
        <v>177</v>
      </c>
      <c r="B291" t="s">
        <v>168</v>
      </c>
      <c r="C291">
        <v>11</v>
      </c>
      <c r="D291">
        <v>0</v>
      </c>
    </row>
    <row r="292" spans="1:7" x14ac:dyDescent="0.3">
      <c r="A292" t="s">
        <v>177</v>
      </c>
      <c r="B292" t="s">
        <v>5</v>
      </c>
      <c r="C292">
        <v>11</v>
      </c>
      <c r="D292">
        <v>0</v>
      </c>
    </row>
    <row r="293" spans="1:7" x14ac:dyDescent="0.3">
      <c r="A293" t="s">
        <v>177</v>
      </c>
      <c r="B293" t="s">
        <v>22</v>
      </c>
      <c r="C293">
        <v>11</v>
      </c>
      <c r="D293">
        <v>0</v>
      </c>
    </row>
    <row r="294" spans="1:7" x14ac:dyDescent="0.3">
      <c r="A294" t="s">
        <v>177</v>
      </c>
      <c r="B294" t="s">
        <v>165</v>
      </c>
      <c r="C294">
        <v>11</v>
      </c>
      <c r="D294">
        <v>0</v>
      </c>
    </row>
    <row r="295" spans="1:7" x14ac:dyDescent="0.3">
      <c r="A295" t="s">
        <v>177</v>
      </c>
      <c r="B295" t="s">
        <v>37</v>
      </c>
      <c r="C295">
        <v>1</v>
      </c>
      <c r="D295">
        <v>5.99</v>
      </c>
      <c r="E295">
        <v>1.62</v>
      </c>
      <c r="F295">
        <v>29.69</v>
      </c>
    </row>
    <row r="296" spans="1:7" x14ac:dyDescent="0.3">
      <c r="A296" t="s">
        <v>177</v>
      </c>
      <c r="B296" t="s">
        <v>7</v>
      </c>
      <c r="C296">
        <v>9</v>
      </c>
      <c r="D296">
        <v>0</v>
      </c>
    </row>
    <row r="297" spans="1:7" x14ac:dyDescent="0.3">
      <c r="A297" t="s">
        <v>177</v>
      </c>
      <c r="B297" t="s">
        <v>6</v>
      </c>
      <c r="C297">
        <v>11</v>
      </c>
      <c r="D297">
        <v>0</v>
      </c>
    </row>
    <row r="298" spans="1:7" s="4" customFormat="1" x14ac:dyDescent="0.3">
      <c r="A298" s="4" t="s">
        <v>93</v>
      </c>
      <c r="B298" s="4" t="s">
        <v>5</v>
      </c>
      <c r="C298" s="4">
        <v>1</v>
      </c>
      <c r="D298" s="4">
        <v>1.03</v>
      </c>
    </row>
    <row r="299" spans="1:7" s="4" customFormat="1" x14ac:dyDescent="0.3">
      <c r="A299" s="4" t="s">
        <v>93</v>
      </c>
      <c r="B299" s="4" t="s">
        <v>22</v>
      </c>
      <c r="C299" s="4">
        <v>2</v>
      </c>
      <c r="D299" s="4">
        <v>1.43</v>
      </c>
      <c r="E299" s="4">
        <v>0.94</v>
      </c>
      <c r="F299" s="4">
        <v>2.19</v>
      </c>
    </row>
    <row r="300" spans="1:7" s="4" customFormat="1" x14ac:dyDescent="0.3">
      <c r="A300" s="4" t="s">
        <v>93</v>
      </c>
      <c r="B300" s="4" t="s">
        <v>165</v>
      </c>
      <c r="C300" s="4">
        <v>1</v>
      </c>
      <c r="D300" s="4">
        <f>1/0.56</f>
        <v>1.7857142857142856</v>
      </c>
      <c r="E300" s="4">
        <f>1/0.84</f>
        <v>1.1904761904761905</v>
      </c>
      <c r="F300" s="4">
        <f>1/0.38</f>
        <v>2.6315789473684212</v>
      </c>
      <c r="G300" s="4" t="s">
        <v>255</v>
      </c>
    </row>
    <row r="301" spans="1:7" s="4" customFormat="1" x14ac:dyDescent="0.3">
      <c r="A301" s="4" t="s">
        <v>93</v>
      </c>
      <c r="B301" s="4" t="s">
        <v>37</v>
      </c>
      <c r="C301" s="4">
        <v>1</v>
      </c>
      <c r="D301" s="4">
        <v>1.92</v>
      </c>
      <c r="E301" s="4">
        <v>1.1200000000000001</v>
      </c>
      <c r="F301" s="4">
        <v>3.27</v>
      </c>
      <c r="G301" s="4" t="s">
        <v>256</v>
      </c>
    </row>
    <row r="302" spans="1:7" s="4" customFormat="1" x14ac:dyDescent="0.3">
      <c r="A302" s="4" t="s">
        <v>93</v>
      </c>
      <c r="B302" s="4" t="s">
        <v>7</v>
      </c>
      <c r="C302" s="4">
        <v>9</v>
      </c>
      <c r="D302" s="4">
        <v>0</v>
      </c>
    </row>
    <row r="303" spans="1:7" s="4" customFormat="1" x14ac:dyDescent="0.3">
      <c r="A303" s="4" t="s">
        <v>93</v>
      </c>
      <c r="B303" s="4" t="s">
        <v>18</v>
      </c>
      <c r="C303" s="4">
        <v>1</v>
      </c>
      <c r="D303" s="4">
        <v>3.26</v>
      </c>
      <c r="E303" s="4">
        <v>1.72</v>
      </c>
      <c r="F303" s="4">
        <v>6.19</v>
      </c>
      <c r="G303" s="4" t="s">
        <v>256</v>
      </c>
    </row>
    <row r="304" spans="1:7" x14ac:dyDescent="0.3">
      <c r="A304" t="s">
        <v>95</v>
      </c>
      <c r="B304" t="s">
        <v>168</v>
      </c>
      <c r="C304">
        <v>2</v>
      </c>
      <c r="D304">
        <v>0.91</v>
      </c>
      <c r="E304" s="4">
        <v>0.48</v>
      </c>
      <c r="F304" s="4">
        <v>1.64</v>
      </c>
    </row>
    <row r="305" spans="1:7" x14ac:dyDescent="0.3">
      <c r="A305" t="s">
        <v>95</v>
      </c>
      <c r="B305" t="s">
        <v>5</v>
      </c>
      <c r="C305">
        <v>1</v>
      </c>
      <c r="D305">
        <v>1.05</v>
      </c>
      <c r="E305">
        <v>1.03</v>
      </c>
      <c r="F305">
        <v>1.08</v>
      </c>
    </row>
    <row r="306" spans="1:7" x14ac:dyDescent="0.3">
      <c r="A306" t="s">
        <v>95</v>
      </c>
      <c r="B306" t="s">
        <v>22</v>
      </c>
      <c r="C306">
        <v>2</v>
      </c>
      <c r="D306">
        <v>1.27</v>
      </c>
    </row>
    <row r="307" spans="1:7" x14ac:dyDescent="0.3">
      <c r="A307" t="s">
        <v>95</v>
      </c>
      <c r="B307" t="s">
        <v>165</v>
      </c>
      <c r="C307">
        <v>2</v>
      </c>
      <c r="D307">
        <f>1/0.8</f>
        <v>1.25</v>
      </c>
      <c r="E307">
        <f>1/1.32</f>
        <v>0.75757575757575757</v>
      </c>
      <c r="F307">
        <f>1/0.47</f>
        <v>2.1276595744680851</v>
      </c>
    </row>
    <row r="308" spans="1:7" x14ac:dyDescent="0.3">
      <c r="A308" t="s">
        <v>95</v>
      </c>
      <c r="B308" t="s">
        <v>37</v>
      </c>
      <c r="C308">
        <v>1</v>
      </c>
      <c r="D308">
        <f>1/0.24</f>
        <v>4.166666666666667</v>
      </c>
      <c r="E308">
        <f>1/0.58</f>
        <v>1.7241379310344829</v>
      </c>
      <c r="F308">
        <f>1/0.08</f>
        <v>12.5</v>
      </c>
    </row>
    <row r="309" spans="1:7" x14ac:dyDescent="0.3">
      <c r="A309" t="s">
        <v>95</v>
      </c>
      <c r="B309" t="s">
        <v>21</v>
      </c>
      <c r="C309">
        <v>2</v>
      </c>
      <c r="D309">
        <v>1.63</v>
      </c>
      <c r="E309">
        <v>0.69</v>
      </c>
      <c r="F309">
        <v>3.37</v>
      </c>
      <c r="G309" t="s">
        <v>250</v>
      </c>
    </row>
    <row r="310" spans="1:7" x14ac:dyDescent="0.3">
      <c r="A310" t="s">
        <v>95</v>
      </c>
      <c r="B310" t="s">
        <v>7</v>
      </c>
      <c r="C310">
        <v>2</v>
      </c>
      <c r="D310">
        <v>1.83</v>
      </c>
      <c r="E310">
        <v>0.95</v>
      </c>
      <c r="F310">
        <v>3.76</v>
      </c>
    </row>
    <row r="311" spans="1:7" s="4" customFormat="1" x14ac:dyDescent="0.3">
      <c r="A311" s="4" t="s">
        <v>154</v>
      </c>
      <c r="B311" s="4" t="s">
        <v>5</v>
      </c>
      <c r="C311" s="4">
        <v>1</v>
      </c>
      <c r="D311" s="4">
        <v>1.04</v>
      </c>
      <c r="E311" s="4">
        <v>1.02</v>
      </c>
      <c r="F311" s="4">
        <v>1.06</v>
      </c>
    </row>
    <row r="312" spans="1:7" s="4" customFormat="1" x14ac:dyDescent="0.3">
      <c r="A312" s="4" t="s">
        <v>154</v>
      </c>
      <c r="B312" s="4" t="s">
        <v>165</v>
      </c>
      <c r="C312" s="4">
        <v>2</v>
      </c>
      <c r="D312" s="4">
        <f>1/1.22</f>
        <v>0.81967213114754101</v>
      </c>
      <c r="E312" s="4">
        <v>0.82</v>
      </c>
      <c r="F312" s="4">
        <v>1.8</v>
      </c>
    </row>
    <row r="313" spans="1:7" s="4" customFormat="1" x14ac:dyDescent="0.3">
      <c r="A313" s="4" t="s">
        <v>154</v>
      </c>
      <c r="B313" s="4" t="s">
        <v>37</v>
      </c>
      <c r="C313" s="4">
        <v>1</v>
      </c>
      <c r="D313" s="4">
        <f>1/0.16</f>
        <v>6.25</v>
      </c>
      <c r="E313" s="4">
        <f>1/0.41</f>
        <v>2.4390243902439024</v>
      </c>
      <c r="F313" s="4">
        <f>1/0.06</f>
        <v>16.666666666666668</v>
      </c>
    </row>
    <row r="314" spans="1:7" s="4" customFormat="1" x14ac:dyDescent="0.3">
      <c r="A314" s="4" t="s">
        <v>154</v>
      </c>
      <c r="B314" s="4" t="s">
        <v>21</v>
      </c>
      <c r="C314" s="4">
        <v>2</v>
      </c>
      <c r="D314" s="4">
        <v>1.6</v>
      </c>
      <c r="E314" s="4">
        <v>0.89</v>
      </c>
      <c r="F314" s="4">
        <v>2.88</v>
      </c>
    </row>
    <row r="315" spans="1:7" s="4" customFormat="1" x14ac:dyDescent="0.3">
      <c r="A315" s="4" t="s">
        <v>154</v>
      </c>
      <c r="B315" s="4" t="s">
        <v>25</v>
      </c>
      <c r="C315" s="4">
        <v>9</v>
      </c>
      <c r="D315" s="4">
        <v>0</v>
      </c>
    </row>
    <row r="316" spans="1:7" s="4" customFormat="1" x14ac:dyDescent="0.3">
      <c r="A316" s="4" t="s">
        <v>154</v>
      </c>
      <c r="B316" s="4" t="s">
        <v>7</v>
      </c>
      <c r="C316" s="4">
        <v>1</v>
      </c>
      <c r="D316" s="4">
        <f>1/0.64</f>
        <v>1.5625</v>
      </c>
      <c r="E316" s="4">
        <f>1/0.96</f>
        <v>1.0416666666666667</v>
      </c>
      <c r="F316" s="4">
        <f>1/0.43</f>
        <v>2.3255813953488373</v>
      </c>
      <c r="G316" s="4" t="s">
        <v>288</v>
      </c>
    </row>
    <row r="317" spans="1:7" x14ac:dyDescent="0.3">
      <c r="A317" t="s">
        <v>160</v>
      </c>
      <c r="B317" t="s">
        <v>168</v>
      </c>
      <c r="C317">
        <v>1</v>
      </c>
      <c r="D317">
        <v>1.5</v>
      </c>
      <c r="E317">
        <v>1.3</v>
      </c>
      <c r="F317">
        <v>1.6</v>
      </c>
      <c r="G317" t="s">
        <v>261</v>
      </c>
    </row>
    <row r="318" spans="1:7" x14ac:dyDescent="0.3">
      <c r="A318" t="s">
        <v>160</v>
      </c>
      <c r="B318" t="s">
        <v>5</v>
      </c>
      <c r="C318">
        <v>1</v>
      </c>
      <c r="D318">
        <v>1.03</v>
      </c>
    </row>
    <row r="319" spans="1:7" x14ac:dyDescent="0.3">
      <c r="A319" t="s">
        <v>160</v>
      </c>
      <c r="B319" t="s">
        <v>165</v>
      </c>
      <c r="C319">
        <v>1</v>
      </c>
      <c r="D319">
        <v>1.3</v>
      </c>
      <c r="E319">
        <v>1.1000000000000001</v>
      </c>
      <c r="F319">
        <v>1.5</v>
      </c>
      <c r="G319" t="s">
        <v>255</v>
      </c>
    </row>
    <row r="320" spans="1:7" x14ac:dyDescent="0.3">
      <c r="A320" t="s">
        <v>160</v>
      </c>
      <c r="B320" t="s">
        <v>27</v>
      </c>
      <c r="C320">
        <v>2</v>
      </c>
      <c r="D320">
        <v>0.95</v>
      </c>
      <c r="E320">
        <v>0.7</v>
      </c>
      <c r="F320">
        <v>1.2</v>
      </c>
      <c r="G320" t="s">
        <v>272</v>
      </c>
    </row>
    <row r="321" spans="1:7" x14ac:dyDescent="0.3">
      <c r="A321" t="s">
        <v>160</v>
      </c>
      <c r="B321" t="s">
        <v>37</v>
      </c>
      <c r="C321">
        <v>1</v>
      </c>
      <c r="D321">
        <v>1.5</v>
      </c>
      <c r="G321" t="s">
        <v>284</v>
      </c>
    </row>
    <row r="322" spans="1:7" x14ac:dyDescent="0.3">
      <c r="A322" t="s">
        <v>160</v>
      </c>
      <c r="B322" t="s">
        <v>139</v>
      </c>
      <c r="C322">
        <v>2</v>
      </c>
      <c r="D322">
        <v>1.4</v>
      </c>
      <c r="E322">
        <v>1</v>
      </c>
      <c r="F322">
        <v>1.8</v>
      </c>
      <c r="G322" t="s">
        <v>265</v>
      </c>
    </row>
    <row r="323" spans="1:7" x14ac:dyDescent="0.3">
      <c r="A323" t="s">
        <v>160</v>
      </c>
      <c r="B323" t="s">
        <v>17</v>
      </c>
      <c r="C323">
        <v>2</v>
      </c>
      <c r="D323">
        <f>1.3^(1/7)</f>
        <v>1.038191865525826</v>
      </c>
    </row>
    <row r="324" spans="1:7" s="4" customFormat="1" x14ac:dyDescent="0.3">
      <c r="A324" s="4" t="s">
        <v>14</v>
      </c>
      <c r="B324" s="4" t="s">
        <v>5</v>
      </c>
      <c r="C324" s="4">
        <v>1</v>
      </c>
      <c r="D324" s="4">
        <v>1.05</v>
      </c>
    </row>
    <row r="325" spans="1:7" s="4" customFormat="1" x14ac:dyDescent="0.3">
      <c r="A325" s="4" t="s">
        <v>14</v>
      </c>
      <c r="B325" s="4" t="s">
        <v>167</v>
      </c>
      <c r="C325" s="4">
        <v>1</v>
      </c>
      <c r="D325" s="4">
        <f>1/0.62</f>
        <v>1.6129032258064517</v>
      </c>
      <c r="E325" s="4">
        <f>1/0.73</f>
        <v>1.3698630136986301</v>
      </c>
      <c r="F325" s="4">
        <f>1/0.53</f>
        <v>1.8867924528301885</v>
      </c>
      <c r="G325" s="4" t="s">
        <v>289</v>
      </c>
    </row>
    <row r="326" spans="1:7" s="4" customFormat="1" x14ac:dyDescent="0.3">
      <c r="A326" s="4" t="s">
        <v>14</v>
      </c>
      <c r="B326" s="4" t="s">
        <v>165</v>
      </c>
      <c r="C326" s="4">
        <v>1</v>
      </c>
      <c r="D326" s="4">
        <v>1.21</v>
      </c>
      <c r="E326" s="4">
        <f>1/0.88</f>
        <v>1.1363636363636365</v>
      </c>
      <c r="F326" s="4">
        <f>1/0.78</f>
        <v>1.2820512820512819</v>
      </c>
    </row>
    <row r="327" spans="1:7" s="4" customFormat="1" x14ac:dyDescent="0.3">
      <c r="A327" s="4" t="s">
        <v>14</v>
      </c>
      <c r="B327" s="4" t="s">
        <v>37</v>
      </c>
      <c r="C327" s="4">
        <v>1</v>
      </c>
      <c r="D327" s="4">
        <v>2.13</v>
      </c>
      <c r="E327" s="4">
        <v>1.85</v>
      </c>
      <c r="F327" s="4">
        <v>2.44</v>
      </c>
    </row>
    <row r="328" spans="1:7" s="4" customFormat="1" x14ac:dyDescent="0.3">
      <c r="A328" s="4" t="s">
        <v>14</v>
      </c>
      <c r="B328" s="4" t="s">
        <v>25</v>
      </c>
      <c r="C328" s="4">
        <v>1</v>
      </c>
      <c r="D328" s="4">
        <v>2.68</v>
      </c>
      <c r="E328" s="4">
        <v>2.5</v>
      </c>
      <c r="F328" s="4">
        <v>2.87</v>
      </c>
    </row>
    <row r="329" spans="1:7" s="4" customFormat="1" x14ac:dyDescent="0.3">
      <c r="A329" s="4" t="s">
        <v>14</v>
      </c>
      <c r="B329" s="4" t="s">
        <v>17</v>
      </c>
      <c r="C329" s="4">
        <v>1</v>
      </c>
      <c r="D329" s="4">
        <f>1/0.97</f>
        <v>1.0309278350515465</v>
      </c>
      <c r="E329" s="4">
        <f>1/0.99</f>
        <v>1.0101010101010102</v>
      </c>
      <c r="F329" s="4">
        <f>1/0.94</f>
        <v>1.0638297872340425</v>
      </c>
    </row>
    <row r="330" spans="1:7" s="4" customFormat="1" x14ac:dyDescent="0.3">
      <c r="A330" s="4" t="s">
        <v>14</v>
      </c>
      <c r="B330" s="4" t="s">
        <v>23</v>
      </c>
      <c r="C330" s="4">
        <v>1</v>
      </c>
      <c r="D330" s="4">
        <v>3.11</v>
      </c>
      <c r="E330" s="4">
        <v>2.89</v>
      </c>
      <c r="F330" s="4">
        <v>3.36</v>
      </c>
    </row>
    <row r="331" spans="1:7" x14ac:dyDescent="0.3">
      <c r="A331" t="s">
        <v>86</v>
      </c>
      <c r="B331" t="s">
        <v>5</v>
      </c>
      <c r="C331">
        <v>11</v>
      </c>
      <c r="D331">
        <v>0</v>
      </c>
    </row>
    <row r="332" spans="1:7" x14ac:dyDescent="0.3">
      <c r="A332" t="s">
        <v>86</v>
      </c>
      <c r="B332" t="s">
        <v>165</v>
      </c>
      <c r="C332">
        <v>11</v>
      </c>
      <c r="D332">
        <v>0</v>
      </c>
    </row>
    <row r="333" spans="1:7" x14ac:dyDescent="0.3">
      <c r="A333" t="s">
        <v>86</v>
      </c>
      <c r="B333" t="s">
        <v>7</v>
      </c>
      <c r="C333">
        <v>11</v>
      </c>
      <c r="D333">
        <v>0</v>
      </c>
    </row>
    <row r="334" spans="1:7" x14ac:dyDescent="0.3">
      <c r="A334" t="s">
        <v>86</v>
      </c>
      <c r="B334" t="s">
        <v>17</v>
      </c>
      <c r="C334">
        <v>11</v>
      </c>
      <c r="D334">
        <v>0</v>
      </c>
    </row>
    <row r="335" spans="1:7" x14ac:dyDescent="0.3">
      <c r="A335" t="s">
        <v>86</v>
      </c>
      <c r="B335" t="s">
        <v>87</v>
      </c>
      <c r="C335">
        <v>2</v>
      </c>
      <c r="D335">
        <f>1/0.45</f>
        <v>2.2222222222222223</v>
      </c>
      <c r="E335">
        <f>1/0.87</f>
        <v>1.1494252873563218</v>
      </c>
      <c r="F335">
        <f>1/0.24</f>
        <v>4.166666666666667</v>
      </c>
    </row>
    <row r="336" spans="1:7" x14ac:dyDescent="0.3">
      <c r="A336" t="s">
        <v>86</v>
      </c>
      <c r="B336" t="s">
        <v>38</v>
      </c>
      <c r="C336">
        <v>2</v>
      </c>
      <c r="D336">
        <f>EXP(LN(0.45)-LN(0.42))</f>
        <v>1.0714285714285714</v>
      </c>
    </row>
    <row r="337" spans="1:7" s="4" customFormat="1" x14ac:dyDescent="0.3">
      <c r="A337" s="4" t="s">
        <v>244</v>
      </c>
      <c r="B337" s="4" t="s">
        <v>5</v>
      </c>
      <c r="C337" s="4">
        <v>11</v>
      </c>
      <c r="D337" s="4">
        <v>0</v>
      </c>
    </row>
    <row r="338" spans="1:7" s="4" customFormat="1" x14ac:dyDescent="0.3">
      <c r="A338" s="4" t="s">
        <v>244</v>
      </c>
      <c r="B338" s="4" t="s">
        <v>19</v>
      </c>
      <c r="C338" s="4">
        <v>11</v>
      </c>
      <c r="D338" s="4">
        <v>0</v>
      </c>
    </row>
    <row r="339" spans="1:7" s="4" customFormat="1" x14ac:dyDescent="0.3">
      <c r="A339" s="4" t="s">
        <v>244</v>
      </c>
      <c r="B339" s="4" t="s">
        <v>70</v>
      </c>
      <c r="C339" s="4">
        <v>11</v>
      </c>
      <c r="D339" s="4">
        <v>0</v>
      </c>
    </row>
    <row r="340" spans="1:7" s="4" customFormat="1" x14ac:dyDescent="0.3">
      <c r="A340" s="4" t="s">
        <v>244</v>
      </c>
      <c r="B340" s="4" t="s">
        <v>22</v>
      </c>
      <c r="C340" s="4">
        <v>11</v>
      </c>
      <c r="D340" s="4">
        <v>0</v>
      </c>
    </row>
    <row r="341" spans="1:7" s="4" customFormat="1" x14ac:dyDescent="0.3">
      <c r="A341" s="4" t="s">
        <v>244</v>
      </c>
      <c r="B341" s="4" t="s">
        <v>165</v>
      </c>
      <c r="C341" s="4">
        <v>11</v>
      </c>
      <c r="D341" s="4">
        <v>0</v>
      </c>
    </row>
    <row r="342" spans="1:7" s="4" customFormat="1" x14ac:dyDescent="0.3">
      <c r="A342" s="4" t="s">
        <v>244</v>
      </c>
      <c r="B342" s="4" t="s">
        <v>27</v>
      </c>
      <c r="C342" s="4">
        <v>11</v>
      </c>
      <c r="D342" s="4">
        <v>0</v>
      </c>
    </row>
    <row r="343" spans="1:7" s="4" customFormat="1" x14ac:dyDescent="0.3">
      <c r="A343" s="4" t="s">
        <v>244</v>
      </c>
      <c r="B343" s="4" t="s">
        <v>37</v>
      </c>
      <c r="C343" s="4">
        <v>1</v>
      </c>
      <c r="D343" s="4">
        <f>3.772*((72+136)/(1236+1316))+2.465*(1-((72+136)/(1236+1316)))</f>
        <v>2.5715266457680253</v>
      </c>
    </row>
    <row r="344" spans="1:7" s="4" customFormat="1" x14ac:dyDescent="0.3">
      <c r="A344" s="4" t="s">
        <v>244</v>
      </c>
      <c r="B344" s="4" t="s">
        <v>26</v>
      </c>
      <c r="C344" s="4">
        <v>2</v>
      </c>
      <c r="D344" s="4">
        <f>1/1.556</f>
        <v>0.64267352185089976</v>
      </c>
    </row>
    <row r="345" spans="1:7" s="4" customFormat="1" x14ac:dyDescent="0.3">
      <c r="A345" s="4" t="s">
        <v>244</v>
      </c>
      <c r="B345" s="4" t="s">
        <v>20</v>
      </c>
      <c r="C345" s="4">
        <v>11</v>
      </c>
      <c r="D345" s="4">
        <v>0</v>
      </c>
    </row>
    <row r="346" spans="1:7" s="4" customFormat="1" x14ac:dyDescent="0.3">
      <c r="A346" s="4" t="s">
        <v>244</v>
      </c>
      <c r="B346" s="4" t="s">
        <v>69</v>
      </c>
      <c r="C346" s="4">
        <v>11</v>
      </c>
      <c r="D346" s="4">
        <v>0</v>
      </c>
    </row>
    <row r="347" spans="1:7" s="4" customFormat="1" x14ac:dyDescent="0.3">
      <c r="A347" s="4" t="s">
        <v>244</v>
      </c>
      <c r="B347" s="4" t="s">
        <v>195</v>
      </c>
      <c r="C347" s="4">
        <v>11</v>
      </c>
      <c r="D347" s="4">
        <v>0</v>
      </c>
    </row>
    <row r="348" spans="1:7" s="4" customFormat="1" x14ac:dyDescent="0.3">
      <c r="A348" s="4" t="s">
        <v>244</v>
      </c>
      <c r="B348" s="4" t="s">
        <v>195</v>
      </c>
      <c r="C348" s="4">
        <v>11</v>
      </c>
      <c r="D348" s="4">
        <v>0</v>
      </c>
    </row>
    <row r="349" spans="1:7" s="4" customFormat="1" x14ac:dyDescent="0.3">
      <c r="A349" s="4" t="s">
        <v>244</v>
      </c>
      <c r="B349" s="4" t="s">
        <v>68</v>
      </c>
      <c r="C349" s="4">
        <v>11</v>
      </c>
      <c r="D349" s="4">
        <v>0</v>
      </c>
    </row>
    <row r="350" spans="1:7" x14ac:dyDescent="0.3">
      <c r="A350" t="s">
        <v>150</v>
      </c>
      <c r="B350" t="s">
        <v>5</v>
      </c>
      <c r="C350">
        <v>1</v>
      </c>
      <c r="D350">
        <v>1.05</v>
      </c>
      <c r="E350">
        <v>1.04</v>
      </c>
      <c r="F350">
        <v>1.06</v>
      </c>
      <c r="G350" t="s">
        <v>291</v>
      </c>
    </row>
    <row r="351" spans="1:7" x14ac:dyDescent="0.3">
      <c r="A351" t="s">
        <v>150</v>
      </c>
      <c r="B351" t="s">
        <v>22</v>
      </c>
      <c r="C351">
        <v>1</v>
      </c>
      <c r="D351">
        <v>1.1100000000000001</v>
      </c>
      <c r="E351">
        <v>1.03</v>
      </c>
      <c r="F351">
        <v>1.2</v>
      </c>
      <c r="G351" t="s">
        <v>290</v>
      </c>
    </row>
    <row r="352" spans="1:7" x14ac:dyDescent="0.3">
      <c r="A352" t="s">
        <v>150</v>
      </c>
      <c r="B352" t="s">
        <v>165</v>
      </c>
      <c r="C352">
        <v>1</v>
      </c>
      <c r="D352">
        <f>1/0.79</f>
        <v>1.2658227848101264</v>
      </c>
      <c r="E352">
        <f>1/0.95</f>
        <v>1.0526315789473684</v>
      </c>
      <c r="F352">
        <f>1/0.65</f>
        <v>1.5384615384615383</v>
      </c>
      <c r="G352" t="s">
        <v>255</v>
      </c>
    </row>
    <row r="353" spans="1:7" x14ac:dyDescent="0.3">
      <c r="A353" t="s">
        <v>150</v>
      </c>
      <c r="B353" t="s">
        <v>27</v>
      </c>
      <c r="C353">
        <v>1</v>
      </c>
      <c r="D353">
        <f>1/0.68</f>
        <v>1.4705882352941175</v>
      </c>
      <c r="E353">
        <f>1/0.87</f>
        <v>1.1494252873563218</v>
      </c>
      <c r="F353">
        <f>1/0.53</f>
        <v>1.8867924528301885</v>
      </c>
      <c r="G353" t="s">
        <v>272</v>
      </c>
    </row>
    <row r="354" spans="1:7" x14ac:dyDescent="0.3">
      <c r="A354" t="s">
        <v>150</v>
      </c>
      <c r="B354" t="s">
        <v>37</v>
      </c>
      <c r="C354">
        <v>1</v>
      </c>
      <c r="D354">
        <f>1/(0.97^(16-1))</f>
        <v>1.5791521866119844</v>
      </c>
      <c r="G354" t="s">
        <v>256</v>
      </c>
    </row>
    <row r="355" spans="1:7" x14ac:dyDescent="0.3">
      <c r="A355" t="s">
        <v>150</v>
      </c>
      <c r="B355" t="s">
        <v>17</v>
      </c>
      <c r="C355">
        <v>1</v>
      </c>
      <c r="D355">
        <f>1/0.95</f>
        <v>1.0526315789473684</v>
      </c>
      <c r="E355">
        <f>1/0.99</f>
        <v>1.0101010101010102</v>
      </c>
      <c r="F355">
        <f>1/0.92</f>
        <v>1.0869565217391304</v>
      </c>
      <c r="G355" t="s">
        <v>291</v>
      </c>
    </row>
    <row r="356" spans="1:7" s="4" customFormat="1" x14ac:dyDescent="0.3">
      <c r="A356" s="4" t="s">
        <v>144</v>
      </c>
      <c r="B356" s="4" t="s">
        <v>5</v>
      </c>
      <c r="C356" s="4">
        <v>11</v>
      </c>
      <c r="D356" s="4">
        <v>0</v>
      </c>
    </row>
    <row r="357" spans="1:7" s="4" customFormat="1" x14ac:dyDescent="0.3">
      <c r="A357" s="4" t="s">
        <v>144</v>
      </c>
      <c r="B357" s="4" t="s">
        <v>22</v>
      </c>
      <c r="C357" s="4">
        <v>11</v>
      </c>
      <c r="D357" s="4">
        <v>0</v>
      </c>
    </row>
    <row r="358" spans="1:7" s="4" customFormat="1" x14ac:dyDescent="0.3">
      <c r="A358" s="4" t="s">
        <v>144</v>
      </c>
      <c r="B358" s="4" t="s">
        <v>167</v>
      </c>
      <c r="C358" s="4">
        <v>9</v>
      </c>
      <c r="D358" s="4">
        <v>0</v>
      </c>
    </row>
    <row r="359" spans="1:7" s="4" customFormat="1" x14ac:dyDescent="0.3">
      <c r="A359" s="4" t="s">
        <v>144</v>
      </c>
      <c r="B359" s="4" t="s">
        <v>212</v>
      </c>
      <c r="C359" s="4">
        <v>11</v>
      </c>
      <c r="D359" s="4">
        <v>0</v>
      </c>
    </row>
    <row r="360" spans="1:7" s="4" customFormat="1" x14ac:dyDescent="0.3">
      <c r="A360" s="4" t="s">
        <v>144</v>
      </c>
      <c r="B360" s="4" t="s">
        <v>165</v>
      </c>
      <c r="C360" s="4">
        <v>11</v>
      </c>
      <c r="D360" s="4">
        <v>0</v>
      </c>
    </row>
    <row r="361" spans="1:7" s="4" customFormat="1" x14ac:dyDescent="0.3">
      <c r="A361" s="4" t="s">
        <v>144</v>
      </c>
      <c r="B361" s="4" t="s">
        <v>37</v>
      </c>
      <c r="C361" s="4">
        <v>1</v>
      </c>
      <c r="D361" s="4">
        <f>1/0.24</f>
        <v>4.166666666666667</v>
      </c>
    </row>
    <row r="362" spans="1:7" s="4" customFormat="1" x14ac:dyDescent="0.3">
      <c r="A362" s="4" t="s">
        <v>144</v>
      </c>
      <c r="B362" s="4" t="s">
        <v>21</v>
      </c>
      <c r="C362" s="4">
        <v>11</v>
      </c>
      <c r="D362" s="4">
        <v>0</v>
      </c>
    </row>
    <row r="363" spans="1:7" s="4" customFormat="1" x14ac:dyDescent="0.3">
      <c r="A363" s="4" t="s">
        <v>144</v>
      </c>
      <c r="B363" s="4" t="s">
        <v>7</v>
      </c>
      <c r="C363" s="4">
        <v>9</v>
      </c>
      <c r="D363" s="4">
        <v>0</v>
      </c>
    </row>
    <row r="364" spans="1:7" s="4" customFormat="1" x14ac:dyDescent="0.3">
      <c r="A364" s="4" t="s">
        <v>144</v>
      </c>
      <c r="B364" s="4" t="s">
        <v>6</v>
      </c>
      <c r="C364" s="4">
        <v>11</v>
      </c>
      <c r="D364" s="4">
        <v>0</v>
      </c>
    </row>
    <row r="365" spans="1:7" s="4" customFormat="1" x14ac:dyDescent="0.3">
      <c r="A365" s="4" t="s">
        <v>144</v>
      </c>
      <c r="B365" s="4" t="s">
        <v>18</v>
      </c>
      <c r="C365" s="4">
        <v>11</v>
      </c>
      <c r="D365" s="4">
        <v>0</v>
      </c>
    </row>
    <row r="366" spans="1:7" s="4" customFormat="1" x14ac:dyDescent="0.3">
      <c r="A366" s="4" t="s">
        <v>144</v>
      </c>
      <c r="B366" s="4" t="s">
        <v>195</v>
      </c>
      <c r="C366" s="4">
        <v>11</v>
      </c>
      <c r="D366" s="4">
        <v>0</v>
      </c>
    </row>
    <row r="367" spans="1:7" x14ac:dyDescent="0.3">
      <c r="A367" t="s">
        <v>239</v>
      </c>
      <c r="B367" t="s">
        <v>168</v>
      </c>
      <c r="C367">
        <v>11</v>
      </c>
      <c r="D367">
        <v>0</v>
      </c>
    </row>
    <row r="368" spans="1:7" x14ac:dyDescent="0.3">
      <c r="A368" t="s">
        <v>239</v>
      </c>
      <c r="B368" t="s">
        <v>5</v>
      </c>
      <c r="C368">
        <v>11</v>
      </c>
      <c r="D368">
        <v>0</v>
      </c>
    </row>
    <row r="369" spans="1:4" x14ac:dyDescent="0.3">
      <c r="A369" t="s">
        <v>239</v>
      </c>
      <c r="B369" t="s">
        <v>22</v>
      </c>
      <c r="C369">
        <v>11</v>
      </c>
      <c r="D369">
        <v>0</v>
      </c>
    </row>
    <row r="370" spans="1:4" x14ac:dyDescent="0.3">
      <c r="A370" t="s">
        <v>239</v>
      </c>
      <c r="B370" t="s">
        <v>165</v>
      </c>
      <c r="C370">
        <v>11</v>
      </c>
      <c r="D370">
        <v>0</v>
      </c>
    </row>
    <row r="371" spans="1:4" x14ac:dyDescent="0.3">
      <c r="A371" t="s">
        <v>239</v>
      </c>
      <c r="B371" t="s">
        <v>37</v>
      </c>
      <c r="C371">
        <v>1</v>
      </c>
      <c r="D371">
        <f>(18.9/81.1)/(5.5/94.5)</f>
        <v>4.0041475170944967</v>
      </c>
    </row>
    <row r="372" spans="1:4" x14ac:dyDescent="0.3">
      <c r="A372" t="s">
        <v>239</v>
      </c>
      <c r="B372" t="s">
        <v>21</v>
      </c>
      <c r="C372">
        <v>11</v>
      </c>
      <c r="D372">
        <v>0</v>
      </c>
    </row>
    <row r="373" spans="1:4" x14ac:dyDescent="0.3">
      <c r="A373" t="s">
        <v>239</v>
      </c>
      <c r="B373" t="s">
        <v>6</v>
      </c>
      <c r="C373">
        <v>11</v>
      </c>
      <c r="D373">
        <v>0</v>
      </c>
    </row>
    <row r="374" spans="1:4" x14ac:dyDescent="0.3">
      <c r="A374" t="s">
        <v>239</v>
      </c>
      <c r="B374" t="s">
        <v>17</v>
      </c>
      <c r="C374">
        <v>11</v>
      </c>
      <c r="D374">
        <v>0</v>
      </c>
    </row>
    <row r="375" spans="1:4" x14ac:dyDescent="0.3">
      <c r="A375" t="s">
        <v>239</v>
      </c>
      <c r="B375" t="s">
        <v>38</v>
      </c>
      <c r="C375">
        <v>1</v>
      </c>
      <c r="D375">
        <f>(13/87)/(6/94)</f>
        <v>2.3409961685823757</v>
      </c>
    </row>
    <row r="376" spans="1:4" s="4" customFormat="1" x14ac:dyDescent="0.3">
      <c r="A376" s="4" t="s">
        <v>122</v>
      </c>
      <c r="B376" s="4" t="s">
        <v>5</v>
      </c>
      <c r="C376" s="4">
        <v>11</v>
      </c>
      <c r="D376" s="4">
        <v>0</v>
      </c>
    </row>
    <row r="377" spans="1:4" s="4" customFormat="1" x14ac:dyDescent="0.3">
      <c r="A377" s="4" t="s">
        <v>122</v>
      </c>
      <c r="B377" s="4" t="s">
        <v>22</v>
      </c>
      <c r="C377" s="4">
        <v>11</v>
      </c>
      <c r="D377" s="4">
        <v>0</v>
      </c>
    </row>
    <row r="378" spans="1:4" s="4" customFormat="1" x14ac:dyDescent="0.3">
      <c r="A378" s="4" t="s">
        <v>122</v>
      </c>
      <c r="B378" s="4" t="s">
        <v>165</v>
      </c>
      <c r="C378" s="4">
        <v>11</v>
      </c>
      <c r="D378" s="4">
        <v>0</v>
      </c>
    </row>
    <row r="379" spans="1:4" s="4" customFormat="1" x14ac:dyDescent="0.3">
      <c r="A379" s="4" t="s">
        <v>122</v>
      </c>
      <c r="B379" s="4" t="s">
        <v>28</v>
      </c>
      <c r="C379" s="4">
        <v>11</v>
      </c>
      <c r="D379" s="4">
        <v>0</v>
      </c>
    </row>
    <row r="380" spans="1:4" s="4" customFormat="1" x14ac:dyDescent="0.3">
      <c r="A380" s="4" t="s">
        <v>122</v>
      </c>
      <c r="B380" s="4" t="s">
        <v>41</v>
      </c>
      <c r="C380" s="4">
        <v>11</v>
      </c>
      <c r="D380" s="4">
        <v>0</v>
      </c>
    </row>
    <row r="381" spans="1:4" s="4" customFormat="1" x14ac:dyDescent="0.3">
      <c r="A381" s="4" t="s">
        <v>122</v>
      </c>
      <c r="B381" s="4" t="s">
        <v>139</v>
      </c>
      <c r="C381" s="4">
        <v>11</v>
      </c>
      <c r="D381" s="4">
        <v>0</v>
      </c>
    </row>
    <row r="382" spans="1:4" s="4" customFormat="1" x14ac:dyDescent="0.3">
      <c r="A382" s="4" t="s">
        <v>122</v>
      </c>
      <c r="B382" s="4" t="s">
        <v>37</v>
      </c>
      <c r="C382" s="4">
        <v>2</v>
      </c>
      <c r="D382" s="4">
        <f>1/0.69</f>
        <v>1.4492753623188408</v>
      </c>
    </row>
    <row r="383" spans="1:4" x14ac:dyDescent="0.3">
      <c r="A383" t="s">
        <v>75</v>
      </c>
      <c r="B383" t="s">
        <v>5</v>
      </c>
      <c r="C383">
        <v>1</v>
      </c>
      <c r="D383">
        <v>1.03</v>
      </c>
    </row>
    <row r="384" spans="1:4" x14ac:dyDescent="0.3">
      <c r="A384" t="s">
        <v>75</v>
      </c>
      <c r="B384" t="s">
        <v>22</v>
      </c>
      <c r="C384">
        <v>1</v>
      </c>
      <c r="D384">
        <v>1.08</v>
      </c>
    </row>
    <row r="385" spans="1:6" x14ac:dyDescent="0.3">
      <c r="A385" t="s">
        <v>75</v>
      </c>
      <c r="B385" t="s">
        <v>167</v>
      </c>
      <c r="C385">
        <v>1</v>
      </c>
      <c r="D385">
        <v>1.86</v>
      </c>
    </row>
    <row r="386" spans="1:6" x14ac:dyDescent="0.3">
      <c r="A386" t="s">
        <v>75</v>
      </c>
      <c r="B386" t="s">
        <v>165</v>
      </c>
      <c r="C386">
        <v>2</v>
      </c>
      <c r="D386">
        <f>1.11507</f>
        <v>1.11507</v>
      </c>
      <c r="E386">
        <v>0.97968999999999995</v>
      </c>
      <c r="F386">
        <v>1.2753000000000001</v>
      </c>
    </row>
    <row r="387" spans="1:6" x14ac:dyDescent="0.3">
      <c r="A387" t="s">
        <v>75</v>
      </c>
      <c r="B387" t="s">
        <v>37</v>
      </c>
      <c r="C387">
        <v>1</v>
      </c>
      <c r="D387">
        <v>2.38</v>
      </c>
      <c r="E387">
        <v>1.64</v>
      </c>
      <c r="F387">
        <v>3.41</v>
      </c>
    </row>
    <row r="388" spans="1:6" x14ac:dyDescent="0.3">
      <c r="A388" t="s">
        <v>75</v>
      </c>
      <c r="B388" t="s">
        <v>7</v>
      </c>
      <c r="C388">
        <v>9</v>
      </c>
      <c r="D388">
        <v>0</v>
      </c>
    </row>
    <row r="389" spans="1:6" x14ac:dyDescent="0.3">
      <c r="A389" t="s">
        <v>75</v>
      </c>
      <c r="B389" t="s">
        <v>17</v>
      </c>
      <c r="C389">
        <v>1</v>
      </c>
      <c r="D389">
        <f>2.3^(1/12)</f>
        <v>1.0718746164893651</v>
      </c>
    </row>
    <row r="390" spans="1:6" x14ac:dyDescent="0.3">
      <c r="A390" t="s">
        <v>75</v>
      </c>
      <c r="B390" t="s">
        <v>18</v>
      </c>
      <c r="C390">
        <v>1</v>
      </c>
      <c r="D390">
        <f>1.2919</f>
        <v>1.2919</v>
      </c>
      <c r="E390">
        <v>1.0320100000000001</v>
      </c>
      <c r="F390">
        <v>1.5823</v>
      </c>
    </row>
    <row r="391" spans="1:6" s="4" customFormat="1" x14ac:dyDescent="0.3">
      <c r="A391" s="4" t="s">
        <v>46</v>
      </c>
      <c r="B391" s="4" t="s">
        <v>168</v>
      </c>
      <c r="C391" s="4">
        <v>9</v>
      </c>
      <c r="D391" s="4">
        <v>0</v>
      </c>
    </row>
    <row r="392" spans="1:6" s="4" customFormat="1" x14ac:dyDescent="0.3">
      <c r="A392" s="4" t="s">
        <v>46</v>
      </c>
      <c r="B392" s="4" t="s">
        <v>5</v>
      </c>
      <c r="C392" s="4">
        <v>11</v>
      </c>
      <c r="D392" s="4">
        <v>0</v>
      </c>
    </row>
    <row r="393" spans="1:6" s="4" customFormat="1" x14ac:dyDescent="0.3">
      <c r="A393" s="4" t="s">
        <v>46</v>
      </c>
      <c r="B393" s="4" t="s">
        <v>22</v>
      </c>
      <c r="C393" s="4">
        <v>11</v>
      </c>
      <c r="D393" s="4">
        <v>0</v>
      </c>
    </row>
    <row r="394" spans="1:6" s="4" customFormat="1" x14ac:dyDescent="0.3">
      <c r="A394" s="4" t="s">
        <v>46</v>
      </c>
      <c r="B394" s="4" t="s">
        <v>165</v>
      </c>
      <c r="C394" s="4">
        <v>11</v>
      </c>
      <c r="D394" s="4">
        <v>0</v>
      </c>
    </row>
    <row r="395" spans="1:6" s="4" customFormat="1" x14ac:dyDescent="0.3">
      <c r="A395" s="4" t="s">
        <v>46</v>
      </c>
      <c r="B395" s="4" t="s">
        <v>18</v>
      </c>
      <c r="C395" s="4">
        <v>11</v>
      </c>
      <c r="D395" s="4">
        <v>0</v>
      </c>
    </row>
    <row r="396" spans="1:6" s="4" customFormat="1" x14ac:dyDescent="0.3">
      <c r="A396" s="4" t="s">
        <v>46</v>
      </c>
      <c r="B396" s="4" t="s">
        <v>38</v>
      </c>
      <c r="C396" s="4">
        <v>1</v>
      </c>
      <c r="D396" s="4">
        <v>1.53</v>
      </c>
      <c r="E396" s="9">
        <v>1.1523000000000001</v>
      </c>
      <c r="F396" s="4">
        <v>2.0215999999999998</v>
      </c>
    </row>
    <row r="397" spans="1:6" s="4" customFormat="1" x14ac:dyDescent="0.3">
      <c r="A397" s="4" t="s">
        <v>46</v>
      </c>
      <c r="B397" s="4" t="s">
        <v>52</v>
      </c>
      <c r="C397" s="4">
        <v>11</v>
      </c>
      <c r="D397" s="4">
        <v>0</v>
      </c>
    </row>
    <row r="398" spans="1:6" x14ac:dyDescent="0.3">
      <c r="A398" t="s">
        <v>240</v>
      </c>
      <c r="B398" t="s">
        <v>168</v>
      </c>
      <c r="C398">
        <v>2</v>
      </c>
      <c r="D398">
        <v>0</v>
      </c>
    </row>
    <row r="399" spans="1:6" x14ac:dyDescent="0.3">
      <c r="A399" t="s">
        <v>240</v>
      </c>
      <c r="B399" t="s">
        <v>5</v>
      </c>
      <c r="C399">
        <v>1</v>
      </c>
      <c r="D399">
        <v>1.03</v>
      </c>
    </row>
    <row r="400" spans="1:6" x14ac:dyDescent="0.3">
      <c r="A400" t="s">
        <v>240</v>
      </c>
      <c r="B400" t="s">
        <v>128</v>
      </c>
      <c r="C400">
        <v>1</v>
      </c>
      <c r="D400">
        <v>4.9000000000000004</v>
      </c>
      <c r="E400">
        <v>1.3</v>
      </c>
      <c r="F400">
        <v>19.399999999999999</v>
      </c>
    </row>
    <row r="401" spans="1:6" x14ac:dyDescent="0.3">
      <c r="A401" t="s">
        <v>240</v>
      </c>
      <c r="B401" t="s">
        <v>132</v>
      </c>
      <c r="C401">
        <v>2</v>
      </c>
      <c r="D401">
        <v>0</v>
      </c>
    </row>
    <row r="402" spans="1:6" x14ac:dyDescent="0.3">
      <c r="A402" t="s">
        <v>240</v>
      </c>
      <c r="B402" t="s">
        <v>58</v>
      </c>
      <c r="C402">
        <v>2</v>
      </c>
      <c r="D402">
        <v>0</v>
      </c>
    </row>
    <row r="403" spans="1:6" x14ac:dyDescent="0.3">
      <c r="A403" t="s">
        <v>240</v>
      </c>
      <c r="B403" t="s">
        <v>167</v>
      </c>
      <c r="C403">
        <v>2</v>
      </c>
      <c r="D403">
        <v>0</v>
      </c>
    </row>
    <row r="404" spans="1:6" x14ac:dyDescent="0.3">
      <c r="A404" t="s">
        <v>240</v>
      </c>
      <c r="B404" t="s">
        <v>136</v>
      </c>
      <c r="C404">
        <v>2</v>
      </c>
      <c r="D404">
        <v>0</v>
      </c>
    </row>
    <row r="405" spans="1:6" x14ac:dyDescent="0.3">
      <c r="A405" t="s">
        <v>240</v>
      </c>
      <c r="B405" t="s">
        <v>137</v>
      </c>
      <c r="C405">
        <v>1</v>
      </c>
      <c r="D405">
        <v>1.3</v>
      </c>
      <c r="E405">
        <v>1.1000000000000001</v>
      </c>
      <c r="F405">
        <v>1.6</v>
      </c>
    </row>
    <row r="406" spans="1:6" x14ac:dyDescent="0.3">
      <c r="A406" t="s">
        <v>240</v>
      </c>
      <c r="B406" t="s">
        <v>126</v>
      </c>
      <c r="C406">
        <v>2</v>
      </c>
      <c r="D406">
        <v>0</v>
      </c>
    </row>
    <row r="407" spans="1:6" x14ac:dyDescent="0.3">
      <c r="A407" t="s">
        <v>240</v>
      </c>
      <c r="B407" t="s">
        <v>165</v>
      </c>
      <c r="C407">
        <v>2</v>
      </c>
      <c r="D407">
        <v>0</v>
      </c>
    </row>
    <row r="408" spans="1:6" x14ac:dyDescent="0.3">
      <c r="A408" t="s">
        <v>240</v>
      </c>
      <c r="B408" t="s">
        <v>37</v>
      </c>
      <c r="C408">
        <v>2</v>
      </c>
      <c r="D408">
        <v>0</v>
      </c>
    </row>
    <row r="409" spans="1:6" x14ac:dyDescent="0.3">
      <c r="A409" t="s">
        <v>240</v>
      </c>
      <c r="B409" t="s">
        <v>7</v>
      </c>
      <c r="C409">
        <v>2</v>
      </c>
      <c r="D409">
        <v>0</v>
      </c>
    </row>
    <row r="410" spans="1:6" x14ac:dyDescent="0.3">
      <c r="A410" t="s">
        <v>240</v>
      </c>
      <c r="B410" t="s">
        <v>7</v>
      </c>
      <c r="C410">
        <v>9</v>
      </c>
      <c r="D410">
        <v>0</v>
      </c>
    </row>
    <row r="411" spans="1:6" x14ac:dyDescent="0.3">
      <c r="A411" t="s">
        <v>240</v>
      </c>
      <c r="B411" t="s">
        <v>23</v>
      </c>
      <c r="C411">
        <v>2</v>
      </c>
      <c r="D411">
        <v>0</v>
      </c>
    </row>
    <row r="412" spans="1:6" x14ac:dyDescent="0.3">
      <c r="A412" t="s">
        <v>240</v>
      </c>
      <c r="B412" t="s">
        <v>186</v>
      </c>
      <c r="C412">
        <v>2</v>
      </c>
      <c r="D412">
        <v>0</v>
      </c>
    </row>
    <row r="413" spans="1:6" x14ac:dyDescent="0.3">
      <c r="A413" t="s">
        <v>240</v>
      </c>
      <c r="B413" t="s">
        <v>131</v>
      </c>
      <c r="C413">
        <v>2</v>
      </c>
      <c r="D413">
        <v>0</v>
      </c>
    </row>
    <row r="414" spans="1:6" x14ac:dyDescent="0.3">
      <c r="A414" t="s">
        <v>240</v>
      </c>
      <c r="B414" t="s">
        <v>38</v>
      </c>
      <c r="C414">
        <v>2</v>
      </c>
      <c r="D414">
        <v>0</v>
      </c>
    </row>
    <row r="415" spans="1:6" x14ac:dyDescent="0.3">
      <c r="A415" t="s">
        <v>240</v>
      </c>
      <c r="B415" t="s">
        <v>52</v>
      </c>
      <c r="C415">
        <v>2</v>
      </c>
      <c r="D415">
        <v>0</v>
      </c>
    </row>
    <row r="416" spans="1:6" x14ac:dyDescent="0.3">
      <c r="A416" t="s">
        <v>240</v>
      </c>
      <c r="B416" t="s">
        <v>133</v>
      </c>
      <c r="C416">
        <v>2</v>
      </c>
      <c r="D416">
        <v>0</v>
      </c>
    </row>
    <row r="417" spans="1:7" x14ac:dyDescent="0.3">
      <c r="A417" t="s">
        <v>240</v>
      </c>
      <c r="B417" t="s">
        <v>134</v>
      </c>
      <c r="C417">
        <v>2</v>
      </c>
      <c r="D417">
        <v>0</v>
      </c>
    </row>
    <row r="418" spans="1:7" x14ac:dyDescent="0.3">
      <c r="A418" t="s">
        <v>240</v>
      </c>
      <c r="B418" t="s">
        <v>129</v>
      </c>
      <c r="C418">
        <v>2</v>
      </c>
      <c r="D418">
        <v>0</v>
      </c>
    </row>
    <row r="419" spans="1:7" s="4" customFormat="1" x14ac:dyDescent="0.3">
      <c r="A419" s="4" t="s">
        <v>15</v>
      </c>
      <c r="B419" s="4" t="s">
        <v>5</v>
      </c>
      <c r="C419" s="4">
        <v>1</v>
      </c>
      <c r="D419" s="4">
        <v>1.04</v>
      </c>
    </row>
    <row r="420" spans="1:7" s="4" customFormat="1" x14ac:dyDescent="0.3">
      <c r="A420" s="4" t="s">
        <v>15</v>
      </c>
      <c r="B420" s="4" t="s">
        <v>167</v>
      </c>
      <c r="C420" s="4">
        <v>9</v>
      </c>
      <c r="D420" s="4">
        <v>0</v>
      </c>
    </row>
    <row r="421" spans="1:7" s="4" customFormat="1" x14ac:dyDescent="0.3">
      <c r="A421" s="4" t="s">
        <v>15</v>
      </c>
      <c r="B421" s="4" t="s">
        <v>165</v>
      </c>
      <c r="C421" s="4">
        <v>1</v>
      </c>
      <c r="D421" s="4">
        <v>1.63</v>
      </c>
      <c r="E421" s="4">
        <v>1.32</v>
      </c>
      <c r="F421" s="4">
        <v>2</v>
      </c>
    </row>
    <row r="422" spans="1:7" s="4" customFormat="1" x14ac:dyDescent="0.3">
      <c r="A422" s="4" t="s">
        <v>15</v>
      </c>
      <c r="B422" s="4" t="s">
        <v>27</v>
      </c>
      <c r="C422" s="4">
        <v>2</v>
      </c>
      <c r="D422" s="4">
        <v>1.25</v>
      </c>
      <c r="E422" s="4">
        <v>0.97</v>
      </c>
      <c r="F422" s="4">
        <v>1.62</v>
      </c>
    </row>
    <row r="423" spans="1:7" s="4" customFormat="1" x14ac:dyDescent="0.3">
      <c r="A423" s="4" t="s">
        <v>15</v>
      </c>
      <c r="B423" s="4" t="s">
        <v>37</v>
      </c>
      <c r="C423" s="4">
        <v>1</v>
      </c>
      <c r="D423" s="4">
        <v>3.33</v>
      </c>
      <c r="E423" s="4">
        <v>2.33</v>
      </c>
      <c r="F423" s="4">
        <v>4.75</v>
      </c>
    </row>
    <row r="424" spans="1:7" s="4" customFormat="1" x14ac:dyDescent="0.3">
      <c r="A424" s="4" t="s">
        <v>15</v>
      </c>
      <c r="B424" s="4" t="s">
        <v>21</v>
      </c>
      <c r="C424" s="4">
        <v>2</v>
      </c>
      <c r="D424" s="4">
        <v>1.19</v>
      </c>
      <c r="E424" s="4">
        <v>0.81</v>
      </c>
      <c r="F424" s="4">
        <v>1.75</v>
      </c>
    </row>
    <row r="425" spans="1:7" s="4" customFormat="1" x14ac:dyDescent="0.3">
      <c r="A425" s="4" t="s">
        <v>15</v>
      </c>
      <c r="B425" s="4" t="s">
        <v>7</v>
      </c>
      <c r="C425" s="4">
        <v>1</v>
      </c>
      <c r="D425" s="4">
        <v>2.44</v>
      </c>
      <c r="E425" s="4">
        <f>0.86/0.42</f>
        <v>2.0476190476190474</v>
      </c>
      <c r="F425" s="4">
        <f>2.25/0.77</f>
        <v>2.9220779220779218</v>
      </c>
      <c r="G425" s="4" t="s">
        <v>275</v>
      </c>
    </row>
    <row r="426" spans="1:7" s="4" customFormat="1" x14ac:dyDescent="0.3">
      <c r="A426" s="4" t="s">
        <v>15</v>
      </c>
      <c r="B426" s="4" t="s">
        <v>17</v>
      </c>
      <c r="C426" s="4">
        <v>1</v>
      </c>
      <c r="D426" s="4">
        <v>1.07</v>
      </c>
    </row>
    <row r="427" spans="1:7" s="4" customFormat="1" x14ac:dyDescent="0.3">
      <c r="A427" s="4" t="s">
        <v>15</v>
      </c>
      <c r="B427" s="4" t="s">
        <v>23</v>
      </c>
      <c r="C427" s="4">
        <v>1</v>
      </c>
      <c r="D427" s="4">
        <v>7.09</v>
      </c>
      <c r="E427" s="4">
        <v>4.03</v>
      </c>
      <c r="F427" s="4">
        <v>12.5</v>
      </c>
    </row>
    <row r="428" spans="1:7" x14ac:dyDescent="0.3">
      <c r="A428" t="s">
        <v>48</v>
      </c>
      <c r="B428" t="s">
        <v>5</v>
      </c>
      <c r="C428">
        <v>1</v>
      </c>
      <c r="D428">
        <v>1.07</v>
      </c>
    </row>
    <row r="429" spans="1:7" x14ac:dyDescent="0.3">
      <c r="A429" t="s">
        <v>48</v>
      </c>
      <c r="B429" t="s">
        <v>22</v>
      </c>
      <c r="C429">
        <v>2</v>
      </c>
      <c r="D429">
        <v>1.01</v>
      </c>
      <c r="E429">
        <v>0.99</v>
      </c>
      <c r="F429">
        <v>1.03</v>
      </c>
    </row>
    <row r="430" spans="1:7" x14ac:dyDescent="0.3">
      <c r="A430" t="s">
        <v>48</v>
      </c>
      <c r="B430" t="s">
        <v>167</v>
      </c>
      <c r="C430">
        <v>1</v>
      </c>
      <c r="D430">
        <v>1.59</v>
      </c>
      <c r="E430">
        <f>1/0.88</f>
        <v>1.1363636363636365</v>
      </c>
      <c r="F430">
        <f>1/0.45</f>
        <v>2.2222222222222223</v>
      </c>
    </row>
    <row r="431" spans="1:7" x14ac:dyDescent="0.3">
      <c r="A431" t="s">
        <v>48</v>
      </c>
      <c r="B431" t="s">
        <v>165</v>
      </c>
      <c r="C431">
        <v>2</v>
      </c>
      <c r="D431">
        <v>1.27</v>
      </c>
      <c r="E431">
        <f>1/1.06</f>
        <v>0.94339622641509424</v>
      </c>
      <c r="F431">
        <f>1/0.59</f>
        <v>1.6949152542372883</v>
      </c>
    </row>
    <row r="432" spans="1:7" x14ac:dyDescent="0.3">
      <c r="A432" t="s">
        <v>48</v>
      </c>
      <c r="B432" t="s">
        <v>28</v>
      </c>
      <c r="C432">
        <v>2</v>
      </c>
      <c r="D432">
        <f>1.06/0.75</f>
        <v>1.4133333333333333</v>
      </c>
      <c r="E432">
        <f>1.91/1.38</f>
        <v>1.3840579710144929</v>
      </c>
      <c r="F432">
        <f>0.59/0.4</f>
        <v>1.4749999999999999</v>
      </c>
    </row>
    <row r="433" spans="1:7" x14ac:dyDescent="0.3">
      <c r="A433" t="s">
        <v>48</v>
      </c>
      <c r="B433" t="s">
        <v>41</v>
      </c>
      <c r="C433">
        <v>2</v>
      </c>
      <c r="D433">
        <v>1.18</v>
      </c>
    </row>
    <row r="434" spans="1:7" x14ac:dyDescent="0.3">
      <c r="A434" t="s">
        <v>48</v>
      </c>
      <c r="B434" t="s">
        <v>27</v>
      </c>
      <c r="C434">
        <v>2</v>
      </c>
      <c r="D434">
        <v>1.49</v>
      </c>
      <c r="E434">
        <f>1/1.17</f>
        <v>0.85470085470085477</v>
      </c>
      <c r="F434">
        <f>1/0.38</f>
        <v>2.6315789473684212</v>
      </c>
    </row>
    <row r="435" spans="1:7" x14ac:dyDescent="0.3">
      <c r="A435" t="s">
        <v>48</v>
      </c>
      <c r="B435" t="s">
        <v>37</v>
      </c>
      <c r="C435">
        <v>1</v>
      </c>
      <c r="D435">
        <v>1.92</v>
      </c>
      <c r="E435">
        <f>1/0.92</f>
        <v>1.0869565217391304</v>
      </c>
      <c r="F435">
        <f>1/0.3</f>
        <v>3.3333333333333335</v>
      </c>
    </row>
    <row r="436" spans="1:7" x14ac:dyDescent="0.3">
      <c r="A436" t="s">
        <v>48</v>
      </c>
      <c r="B436" t="s">
        <v>7</v>
      </c>
      <c r="C436">
        <v>1</v>
      </c>
      <c r="D436">
        <f>1.22/0.76</f>
        <v>1.6052631578947367</v>
      </c>
      <c r="E436">
        <f>0.77/0.52</f>
        <v>1.4807692307692308</v>
      </c>
      <c r="F436">
        <f>1.94/1.11</f>
        <v>1.7477477477477474</v>
      </c>
      <c r="G436" t="s">
        <v>292</v>
      </c>
    </row>
    <row r="437" spans="1:7" x14ac:dyDescent="0.3">
      <c r="A437" t="s">
        <v>48</v>
      </c>
      <c r="B437" t="s">
        <v>6</v>
      </c>
      <c r="C437">
        <v>2</v>
      </c>
      <c r="D437">
        <v>1.08</v>
      </c>
      <c r="E437">
        <v>0.65</v>
      </c>
      <c r="F437">
        <v>1.8</v>
      </c>
    </row>
    <row r="438" spans="1:7" x14ac:dyDescent="0.3">
      <c r="A438" t="s">
        <v>48</v>
      </c>
      <c r="B438" s="2" t="s">
        <v>53</v>
      </c>
      <c r="C438">
        <v>2</v>
      </c>
      <c r="D438">
        <v>0.96</v>
      </c>
    </row>
    <row r="439" spans="1:7" x14ac:dyDescent="0.3">
      <c r="A439" t="s">
        <v>48</v>
      </c>
      <c r="B439" t="s">
        <v>50</v>
      </c>
      <c r="C439">
        <v>2</v>
      </c>
      <c r="D439">
        <v>1.19</v>
      </c>
    </row>
    <row r="440" spans="1:7" x14ac:dyDescent="0.3">
      <c r="A440" t="s">
        <v>48</v>
      </c>
      <c r="B440" s="2" t="s">
        <v>51</v>
      </c>
      <c r="C440">
        <v>2</v>
      </c>
      <c r="D440">
        <v>1.19</v>
      </c>
    </row>
    <row r="441" spans="1:7" x14ac:dyDescent="0.3">
      <c r="A441" t="s">
        <v>48</v>
      </c>
      <c r="B441" t="s">
        <v>49</v>
      </c>
      <c r="C441">
        <v>2</v>
      </c>
      <c r="D441">
        <v>1.1399999999999999</v>
      </c>
    </row>
    <row r="442" spans="1:7" x14ac:dyDescent="0.3">
      <c r="A442" t="s">
        <v>48</v>
      </c>
      <c r="B442" t="s">
        <v>38</v>
      </c>
      <c r="C442">
        <v>1</v>
      </c>
      <c r="D442">
        <v>1.85</v>
      </c>
      <c r="E442">
        <f>1/0.87</f>
        <v>1.1494252873563218</v>
      </c>
      <c r="F442">
        <f>1/0.33</f>
        <v>3.0303030303030303</v>
      </c>
    </row>
    <row r="443" spans="1:7" x14ac:dyDescent="0.3">
      <c r="A443" t="s">
        <v>48</v>
      </c>
      <c r="B443" t="s">
        <v>52</v>
      </c>
      <c r="C443">
        <v>2</v>
      </c>
      <c r="D443">
        <v>1.04</v>
      </c>
    </row>
    <row r="444" spans="1:7" s="4" customFormat="1" x14ac:dyDescent="0.3">
      <c r="A444" s="4" t="s">
        <v>16</v>
      </c>
      <c r="B444" s="4" t="s">
        <v>168</v>
      </c>
      <c r="C444" s="4">
        <v>9</v>
      </c>
      <c r="D444" s="4">
        <v>0</v>
      </c>
    </row>
    <row r="445" spans="1:7" s="4" customFormat="1" x14ac:dyDescent="0.3">
      <c r="A445" s="4" t="s">
        <v>16</v>
      </c>
      <c r="B445" s="4" t="s">
        <v>5</v>
      </c>
      <c r="C445" s="4">
        <v>1</v>
      </c>
      <c r="D445" s="4">
        <v>0</v>
      </c>
    </row>
    <row r="446" spans="1:7" s="4" customFormat="1" x14ac:dyDescent="0.3">
      <c r="A446" s="4" t="s">
        <v>16</v>
      </c>
      <c r="B446" s="4" t="s">
        <v>167</v>
      </c>
      <c r="C446" s="4">
        <v>2</v>
      </c>
      <c r="D446" s="4">
        <v>1.54</v>
      </c>
      <c r="E446" s="4">
        <v>0.87</v>
      </c>
      <c r="F446" s="4">
        <v>2.72</v>
      </c>
    </row>
    <row r="447" spans="1:7" s="4" customFormat="1" x14ac:dyDescent="0.3">
      <c r="A447" s="4" t="s">
        <v>16</v>
      </c>
      <c r="B447" s="4" t="s">
        <v>165</v>
      </c>
      <c r="C447" s="4">
        <v>1</v>
      </c>
      <c r="D447" s="4">
        <v>1.45</v>
      </c>
      <c r="E447" s="4">
        <v>1.1399999999999999</v>
      </c>
      <c r="F447" s="4">
        <v>1.83</v>
      </c>
    </row>
    <row r="448" spans="1:7" s="4" customFormat="1" x14ac:dyDescent="0.3">
      <c r="A448" s="4" t="s">
        <v>16</v>
      </c>
      <c r="B448" s="4" t="s">
        <v>28</v>
      </c>
      <c r="C448" s="4">
        <v>2</v>
      </c>
      <c r="D448" s="4">
        <v>1.46</v>
      </c>
      <c r="E448" s="4">
        <v>0.97</v>
      </c>
      <c r="F448" s="4">
        <v>2.2000000000000002</v>
      </c>
    </row>
    <row r="449" spans="1:6" s="4" customFormat="1" x14ac:dyDescent="0.3">
      <c r="A449" s="4" t="s">
        <v>16</v>
      </c>
      <c r="B449" s="4" t="s">
        <v>27</v>
      </c>
      <c r="C449" s="4">
        <v>1</v>
      </c>
      <c r="D449" s="4">
        <f>0.83/0.47</f>
        <v>1.7659574468085106</v>
      </c>
      <c r="E449" s="4">
        <f>0.39/0.22</f>
        <v>1.7727272727272727</v>
      </c>
      <c r="F449" s="4">
        <f>0.98/1.78</f>
        <v>0.550561797752809</v>
      </c>
    </row>
    <row r="450" spans="1:6" s="4" customFormat="1" x14ac:dyDescent="0.3">
      <c r="A450" s="4" t="s">
        <v>16</v>
      </c>
      <c r="B450" s="4" t="s">
        <v>37</v>
      </c>
      <c r="C450" s="4">
        <v>1</v>
      </c>
      <c r="D450" s="4">
        <f>1/0.72</f>
        <v>1.3888888888888888</v>
      </c>
      <c r="E450" s="4">
        <f>1/0.94</f>
        <v>1.0638297872340425</v>
      </c>
      <c r="F450" s="4">
        <f>1/0.55</f>
        <v>1.8181818181818181</v>
      </c>
    </row>
    <row r="451" spans="1:6" s="4" customFormat="1" x14ac:dyDescent="0.3">
      <c r="A451" s="4" t="s">
        <v>16</v>
      </c>
      <c r="B451" s="4" t="s">
        <v>21</v>
      </c>
      <c r="C451" s="4">
        <v>3</v>
      </c>
      <c r="D451" s="4">
        <v>2.57</v>
      </c>
    </row>
    <row r="452" spans="1:6" s="4" customFormat="1" x14ac:dyDescent="0.3">
      <c r="A452" s="4" t="s">
        <v>16</v>
      </c>
      <c r="B452" s="4" t="s">
        <v>26</v>
      </c>
      <c r="C452" s="4">
        <v>2</v>
      </c>
      <c r="D452" s="4">
        <v>1.01</v>
      </c>
      <c r="E452" s="4">
        <f>1/1.54</f>
        <v>0.64935064935064934</v>
      </c>
      <c r="F452" s="4">
        <f>1/0.63</f>
        <v>1.5873015873015872</v>
      </c>
    </row>
    <row r="453" spans="1:6" s="4" customFormat="1" x14ac:dyDescent="0.3">
      <c r="A453" s="4" t="s">
        <v>16</v>
      </c>
      <c r="B453" s="4" t="s">
        <v>7</v>
      </c>
      <c r="C453" s="4">
        <v>9</v>
      </c>
      <c r="D453" s="4">
        <v>0</v>
      </c>
    </row>
    <row r="454" spans="1:6" s="4" customFormat="1" x14ac:dyDescent="0.3">
      <c r="A454" s="4" t="s">
        <v>16</v>
      </c>
      <c r="B454" s="4" t="s">
        <v>6</v>
      </c>
      <c r="C454" s="4">
        <v>4</v>
      </c>
      <c r="D454" s="4">
        <v>1.06</v>
      </c>
    </row>
    <row r="455" spans="1:6" s="4" customFormat="1" x14ac:dyDescent="0.3">
      <c r="A455" s="4" t="s">
        <v>16</v>
      </c>
      <c r="B455" s="4" t="s">
        <v>23</v>
      </c>
      <c r="C455" s="4">
        <v>1</v>
      </c>
      <c r="D455" s="4">
        <v>3</v>
      </c>
      <c r="E455" s="4">
        <v>1.97</v>
      </c>
      <c r="F455" s="4">
        <v>4.5599999999999996</v>
      </c>
    </row>
    <row r="456" spans="1:6" x14ac:dyDescent="0.3">
      <c r="A456" t="s">
        <v>183</v>
      </c>
      <c r="B456" t="s">
        <v>5</v>
      </c>
      <c r="C456">
        <v>1</v>
      </c>
      <c r="D456">
        <v>1.02</v>
      </c>
    </row>
    <row r="457" spans="1:6" x14ac:dyDescent="0.3">
      <c r="A457" t="s">
        <v>183</v>
      </c>
      <c r="B457" t="s">
        <v>167</v>
      </c>
      <c r="C457">
        <v>1</v>
      </c>
      <c r="D457">
        <f>1.5/0.92</f>
        <v>1.6304347826086956</v>
      </c>
      <c r="E457">
        <f>3.24/5</f>
        <v>0.64800000000000002</v>
      </c>
      <c r="F457">
        <f>0.7/0.17</f>
        <v>4.117647058823529</v>
      </c>
    </row>
    <row r="458" spans="1:6" x14ac:dyDescent="0.3">
      <c r="A458" t="s">
        <v>183</v>
      </c>
      <c r="B458" t="s">
        <v>165</v>
      </c>
      <c r="C458">
        <v>2</v>
      </c>
      <c r="D458">
        <f>1/1.09</f>
        <v>0.9174311926605504</v>
      </c>
      <c r="E458">
        <f>1/1.82</f>
        <v>0.54945054945054939</v>
      </c>
      <c r="F458">
        <f>1/0.65</f>
        <v>1.5384615384615383</v>
      </c>
    </row>
    <row r="459" spans="1:6" x14ac:dyDescent="0.3">
      <c r="A459" t="s">
        <v>183</v>
      </c>
      <c r="B459" t="s">
        <v>27</v>
      </c>
      <c r="C459">
        <v>2</v>
      </c>
      <c r="D459">
        <v>0.85</v>
      </c>
      <c r="E459">
        <v>0.46</v>
      </c>
      <c r="F459">
        <v>1.56</v>
      </c>
    </row>
    <row r="460" spans="1:6" x14ac:dyDescent="0.3">
      <c r="A460" t="s">
        <v>183</v>
      </c>
      <c r="B460" t="s">
        <v>37</v>
      </c>
      <c r="C460">
        <v>2</v>
      </c>
      <c r="D460">
        <v>1.96</v>
      </c>
      <c r="E460">
        <v>0.54</v>
      </c>
      <c r="F460">
        <v>7.11</v>
      </c>
    </row>
    <row r="461" spans="1:6" x14ac:dyDescent="0.3">
      <c r="A461" t="s">
        <v>183</v>
      </c>
      <c r="B461" t="s">
        <v>7</v>
      </c>
      <c r="C461">
        <v>9</v>
      </c>
      <c r="D461">
        <v>0</v>
      </c>
    </row>
    <row r="462" spans="1:6" x14ac:dyDescent="0.3">
      <c r="A462" t="s">
        <v>183</v>
      </c>
      <c r="B462" t="s">
        <v>17</v>
      </c>
      <c r="C462">
        <v>1</v>
      </c>
      <c r="D462">
        <f>2.7^(1/6)</f>
        <v>1.1800324784021132</v>
      </c>
      <c r="E462">
        <f>1.41^(1/6)</f>
        <v>1.0589363391885744</v>
      </c>
      <c r="F462">
        <f>5.14^(1/6)</f>
        <v>1.3136929013333134</v>
      </c>
    </row>
    <row r="463" spans="1:6" x14ac:dyDescent="0.3">
      <c r="A463" t="s">
        <v>183</v>
      </c>
      <c r="B463" t="s">
        <v>23</v>
      </c>
      <c r="C463">
        <v>1</v>
      </c>
      <c r="D463">
        <v>6.8</v>
      </c>
      <c r="E463">
        <v>2.72</v>
      </c>
      <c r="F463">
        <v>17.02</v>
      </c>
    </row>
    <row r="464" spans="1:6" s="4" customFormat="1" x14ac:dyDescent="0.3">
      <c r="A464" s="4" t="s">
        <v>241</v>
      </c>
      <c r="B464" s="4" t="s">
        <v>231</v>
      </c>
      <c r="C464" s="4">
        <v>11</v>
      </c>
      <c r="D464" s="4">
        <v>0</v>
      </c>
    </row>
    <row r="465" spans="1:4" s="4" customFormat="1" x14ac:dyDescent="0.3">
      <c r="A465" s="4" t="s">
        <v>241</v>
      </c>
      <c r="B465" s="4" t="s">
        <v>5</v>
      </c>
      <c r="C465" s="4">
        <v>11</v>
      </c>
      <c r="D465" s="4">
        <v>0</v>
      </c>
    </row>
    <row r="466" spans="1:4" s="4" customFormat="1" x14ac:dyDescent="0.3">
      <c r="A466" s="4" t="s">
        <v>241</v>
      </c>
      <c r="B466" s="4" t="s">
        <v>128</v>
      </c>
      <c r="C466" s="4">
        <v>11</v>
      </c>
      <c r="D466" s="4">
        <v>0</v>
      </c>
    </row>
    <row r="467" spans="1:4" s="4" customFormat="1" x14ac:dyDescent="0.3">
      <c r="A467" s="4" t="s">
        <v>241</v>
      </c>
      <c r="B467" s="4" t="s">
        <v>58</v>
      </c>
      <c r="C467" s="4">
        <v>11</v>
      </c>
      <c r="D467" s="4">
        <v>0</v>
      </c>
    </row>
    <row r="468" spans="1:4" s="4" customFormat="1" x14ac:dyDescent="0.3">
      <c r="A468" s="4" t="s">
        <v>241</v>
      </c>
      <c r="B468" s="4" t="s">
        <v>37</v>
      </c>
      <c r="C468" s="4">
        <v>1</v>
      </c>
      <c r="D468" s="4">
        <f>1/0.26</f>
        <v>3.8461538461538458</v>
      </c>
    </row>
    <row r="469" spans="1:4" s="4" customFormat="1" x14ac:dyDescent="0.3">
      <c r="A469" s="4" t="s">
        <v>241</v>
      </c>
      <c r="B469" s="7" t="s">
        <v>233</v>
      </c>
      <c r="C469" s="4">
        <v>11</v>
      </c>
      <c r="D469" s="4">
        <v>0</v>
      </c>
    </row>
    <row r="470" spans="1:4" s="4" customFormat="1" x14ac:dyDescent="0.3">
      <c r="A470" s="4" t="s">
        <v>241</v>
      </c>
      <c r="B470" s="4" t="s">
        <v>189</v>
      </c>
      <c r="C470" s="4">
        <v>11</v>
      </c>
      <c r="D470" s="4">
        <v>0</v>
      </c>
    </row>
    <row r="471" spans="1:4" s="4" customFormat="1" x14ac:dyDescent="0.3">
      <c r="A471" s="4" t="s">
        <v>241</v>
      </c>
      <c r="B471" s="4" t="s">
        <v>7</v>
      </c>
      <c r="C471" s="4">
        <v>9</v>
      </c>
      <c r="D471" s="4">
        <v>0</v>
      </c>
    </row>
    <row r="472" spans="1:4" s="4" customFormat="1" x14ac:dyDescent="0.3">
      <c r="A472" s="4" t="s">
        <v>241</v>
      </c>
      <c r="B472" s="4" t="s">
        <v>190</v>
      </c>
      <c r="C472" s="4">
        <v>11</v>
      </c>
      <c r="D472" s="4">
        <v>0</v>
      </c>
    </row>
    <row r="473" spans="1:4" s="4" customFormat="1" x14ac:dyDescent="0.3">
      <c r="A473" s="4" t="s">
        <v>241</v>
      </c>
      <c r="B473" s="4" t="s">
        <v>185</v>
      </c>
      <c r="C473" s="4">
        <v>11</v>
      </c>
      <c r="D473" s="4">
        <v>0</v>
      </c>
    </row>
    <row r="474" spans="1:4" s="4" customFormat="1" x14ac:dyDescent="0.3">
      <c r="A474" s="4" t="s">
        <v>241</v>
      </c>
      <c r="B474" s="4" t="s">
        <v>191</v>
      </c>
      <c r="C474" s="4">
        <v>11</v>
      </c>
      <c r="D474" s="4">
        <v>0</v>
      </c>
    </row>
    <row r="475" spans="1:4" s="4" customFormat="1" x14ac:dyDescent="0.3">
      <c r="A475" s="4" t="s">
        <v>241</v>
      </c>
      <c r="B475" s="4" t="s">
        <v>23</v>
      </c>
      <c r="C475" s="4">
        <v>11</v>
      </c>
      <c r="D475" s="4">
        <v>0</v>
      </c>
    </row>
    <row r="476" spans="1:4" s="4" customFormat="1" x14ac:dyDescent="0.3">
      <c r="A476" s="4" t="s">
        <v>241</v>
      </c>
      <c r="B476" s="4" t="s">
        <v>186</v>
      </c>
      <c r="C476" s="4">
        <v>11</v>
      </c>
      <c r="D476" s="4">
        <v>0</v>
      </c>
    </row>
    <row r="477" spans="1:4" s="4" customFormat="1" x14ac:dyDescent="0.3">
      <c r="A477" s="4" t="s">
        <v>241</v>
      </c>
      <c r="B477" s="4" t="s">
        <v>188</v>
      </c>
      <c r="C477" s="4">
        <v>11</v>
      </c>
      <c r="D477" s="4">
        <v>0</v>
      </c>
    </row>
    <row r="478" spans="1:4" x14ac:dyDescent="0.3">
      <c r="A478" t="s">
        <v>242</v>
      </c>
      <c r="B478" t="s">
        <v>5</v>
      </c>
      <c r="C478">
        <v>11</v>
      </c>
      <c r="D478">
        <v>0</v>
      </c>
    </row>
    <row r="479" spans="1:4" x14ac:dyDescent="0.3">
      <c r="A479" t="s">
        <v>242</v>
      </c>
      <c r="B479" t="s">
        <v>22</v>
      </c>
      <c r="C479">
        <v>11</v>
      </c>
      <c r="D479">
        <v>0</v>
      </c>
    </row>
    <row r="480" spans="1:4" x14ac:dyDescent="0.3">
      <c r="A480" t="s">
        <v>242</v>
      </c>
      <c r="B480" t="s">
        <v>165</v>
      </c>
      <c r="C480">
        <v>11</v>
      </c>
      <c r="D480">
        <v>0</v>
      </c>
    </row>
    <row r="481" spans="1:6" x14ac:dyDescent="0.3">
      <c r="A481" t="s">
        <v>242</v>
      </c>
      <c r="B481" t="s">
        <v>37</v>
      </c>
      <c r="C481">
        <v>1</v>
      </c>
      <c r="D481">
        <v>3.81</v>
      </c>
    </row>
    <row r="482" spans="1:6" x14ac:dyDescent="0.3">
      <c r="A482" t="s">
        <v>242</v>
      </c>
      <c r="B482" t="s">
        <v>7</v>
      </c>
      <c r="C482">
        <v>9</v>
      </c>
      <c r="D482">
        <v>0</v>
      </c>
    </row>
    <row r="483" spans="1:6" x14ac:dyDescent="0.3">
      <c r="A483" t="s">
        <v>242</v>
      </c>
      <c r="B483" t="s">
        <v>17</v>
      </c>
      <c r="C483">
        <v>11</v>
      </c>
      <c r="D483">
        <v>0</v>
      </c>
    </row>
    <row r="484" spans="1:6" x14ac:dyDescent="0.3">
      <c r="A484" t="s">
        <v>242</v>
      </c>
      <c r="B484" t="s">
        <v>18</v>
      </c>
      <c r="C484">
        <v>11</v>
      </c>
      <c r="D484">
        <v>0</v>
      </c>
    </row>
    <row r="485" spans="1:6" x14ac:dyDescent="0.3">
      <c r="A485" t="s">
        <v>242</v>
      </c>
      <c r="B485" t="s">
        <v>195</v>
      </c>
      <c r="C485">
        <v>11</v>
      </c>
      <c r="D485">
        <v>0</v>
      </c>
    </row>
    <row r="486" spans="1:6" s="4" customFormat="1" x14ac:dyDescent="0.3">
      <c r="A486" s="4" t="s">
        <v>105</v>
      </c>
      <c r="B486" s="4" t="s">
        <v>168</v>
      </c>
      <c r="C486" s="4">
        <v>2</v>
      </c>
      <c r="D486" s="4">
        <v>1.3</v>
      </c>
      <c r="E486" s="4">
        <v>0.83347000000000004</v>
      </c>
      <c r="F486" s="4">
        <v>2.0226799999999998</v>
      </c>
    </row>
    <row r="487" spans="1:6" s="4" customFormat="1" x14ac:dyDescent="0.3">
      <c r="A487" s="4" t="s">
        <v>105</v>
      </c>
      <c r="B487" s="4" t="s">
        <v>5</v>
      </c>
      <c r="C487" s="4">
        <v>1</v>
      </c>
      <c r="D487" s="4">
        <v>1.05</v>
      </c>
      <c r="E487" s="4">
        <v>1.02169</v>
      </c>
      <c r="F487" s="4">
        <v>1.0790999999999999</v>
      </c>
    </row>
    <row r="488" spans="1:6" s="4" customFormat="1" x14ac:dyDescent="0.3">
      <c r="A488" s="4" t="s">
        <v>105</v>
      </c>
      <c r="B488" s="4" t="s">
        <v>165</v>
      </c>
      <c r="C488" s="4">
        <v>1</v>
      </c>
      <c r="D488" s="4">
        <f>1/0.74</f>
        <v>1.3513513513513513</v>
      </c>
      <c r="E488" s="4">
        <f>1/0.95398</f>
        <v>1.0482400050315519</v>
      </c>
      <c r="F488" s="4">
        <f>1/0.57401</f>
        <v>1.742129928050034</v>
      </c>
    </row>
    <row r="489" spans="1:6" s="4" customFormat="1" x14ac:dyDescent="0.3">
      <c r="A489" s="4" t="s">
        <v>105</v>
      </c>
      <c r="B489" s="4" t="s">
        <v>37</v>
      </c>
      <c r="C489" s="4">
        <v>1</v>
      </c>
      <c r="D489" s="4">
        <f>1/0.32</f>
        <v>3.125</v>
      </c>
    </row>
    <row r="490" spans="1:6" s="4" customFormat="1" x14ac:dyDescent="0.3">
      <c r="A490" s="4" t="s">
        <v>105</v>
      </c>
      <c r="B490" s="4" t="s">
        <v>21</v>
      </c>
      <c r="C490" s="4">
        <v>1</v>
      </c>
      <c r="D490" s="4">
        <v>2.46</v>
      </c>
      <c r="E490" s="4">
        <v>1.48569</v>
      </c>
      <c r="F490" s="4">
        <v>4.0732499999999998</v>
      </c>
    </row>
    <row r="491" spans="1:6" s="4" customFormat="1" x14ac:dyDescent="0.3">
      <c r="A491" s="4" t="s">
        <v>105</v>
      </c>
      <c r="B491" s="4" t="s">
        <v>6</v>
      </c>
      <c r="C491" s="4">
        <v>2</v>
      </c>
      <c r="D491" s="4">
        <f>0.8</f>
        <v>0.8</v>
      </c>
    </row>
    <row r="492" spans="1:6" s="4" customFormat="1" x14ac:dyDescent="0.3">
      <c r="A492" s="4" t="s">
        <v>105</v>
      </c>
      <c r="B492" s="4" t="s">
        <v>17</v>
      </c>
      <c r="C492" s="4">
        <v>2</v>
      </c>
      <c r="D492" s="4">
        <f>1/0.94</f>
        <v>1.0638297872340425</v>
      </c>
      <c r="E492" s="4">
        <f>1/0.98468</f>
        <v>1.01555835398302</v>
      </c>
      <c r="F492" s="4">
        <f>1/0.89735</f>
        <v>1.1143923775561375</v>
      </c>
    </row>
    <row r="493" spans="1:6" s="4" customFormat="1" x14ac:dyDescent="0.3">
      <c r="A493" s="4" t="s">
        <v>105</v>
      </c>
      <c r="B493" s="4" t="s">
        <v>23</v>
      </c>
      <c r="C493" s="4">
        <v>11</v>
      </c>
      <c r="D493" s="4">
        <v>0</v>
      </c>
    </row>
    <row r="494" spans="1:6" s="4" customFormat="1" x14ac:dyDescent="0.3">
      <c r="A494" s="4" t="s">
        <v>105</v>
      </c>
      <c r="B494" s="4" t="s">
        <v>38</v>
      </c>
      <c r="C494" s="4">
        <v>1</v>
      </c>
      <c r="D494" s="4">
        <f>1/0.32</f>
        <v>3.125</v>
      </c>
      <c r="E494" s="4">
        <f>1/0.60586</f>
        <v>1.6505463308355066</v>
      </c>
      <c r="F494" s="4">
        <f>1/0.16902</f>
        <v>5.9164595905809962</v>
      </c>
    </row>
    <row r="495" spans="1:6" x14ac:dyDescent="0.3">
      <c r="A495" t="s">
        <v>106</v>
      </c>
      <c r="B495" t="s">
        <v>168</v>
      </c>
      <c r="C495">
        <v>11</v>
      </c>
      <c r="D495">
        <v>0</v>
      </c>
    </row>
    <row r="496" spans="1:6" x14ac:dyDescent="0.3">
      <c r="A496" t="s">
        <v>106</v>
      </c>
      <c r="B496" t="s">
        <v>5</v>
      </c>
      <c r="C496">
        <v>11</v>
      </c>
      <c r="D496">
        <v>0</v>
      </c>
    </row>
    <row r="497" spans="1:6" x14ac:dyDescent="0.3">
      <c r="A497" t="s">
        <v>106</v>
      </c>
      <c r="B497" t="s">
        <v>70</v>
      </c>
      <c r="C497">
        <v>11</v>
      </c>
      <c r="D497">
        <v>0</v>
      </c>
    </row>
    <row r="498" spans="1:6" x14ac:dyDescent="0.3">
      <c r="A498" t="s">
        <v>106</v>
      </c>
      <c r="B498" t="s">
        <v>22</v>
      </c>
      <c r="C498">
        <v>11</v>
      </c>
      <c r="D498">
        <v>0</v>
      </c>
    </row>
    <row r="499" spans="1:6" x14ac:dyDescent="0.3">
      <c r="A499" t="s">
        <v>106</v>
      </c>
      <c r="B499" t="s">
        <v>165</v>
      </c>
      <c r="C499">
        <v>11</v>
      </c>
      <c r="D499">
        <v>0</v>
      </c>
    </row>
    <row r="500" spans="1:6" x14ac:dyDescent="0.3">
      <c r="A500" t="s">
        <v>106</v>
      </c>
      <c r="B500" t="s">
        <v>139</v>
      </c>
      <c r="C500">
        <v>11</v>
      </c>
      <c r="D500">
        <v>0</v>
      </c>
    </row>
    <row r="501" spans="1:6" x14ac:dyDescent="0.3">
      <c r="A501" t="s">
        <v>106</v>
      </c>
      <c r="B501" t="s">
        <v>37</v>
      </c>
      <c r="C501">
        <v>2</v>
      </c>
      <c r="D501">
        <f>(5/(100-5))/(2.9/(100-2.9))</f>
        <v>1.7622504537205081</v>
      </c>
    </row>
    <row r="502" spans="1:6" x14ac:dyDescent="0.3">
      <c r="A502" t="s">
        <v>106</v>
      </c>
      <c r="B502" t="s">
        <v>61</v>
      </c>
      <c r="C502">
        <v>11</v>
      </c>
      <c r="D502">
        <v>0</v>
      </c>
    </row>
    <row r="503" spans="1:6" x14ac:dyDescent="0.3">
      <c r="A503" t="s">
        <v>106</v>
      </c>
      <c r="B503" t="s">
        <v>108</v>
      </c>
      <c r="C503">
        <v>11</v>
      </c>
      <c r="D503">
        <v>0</v>
      </c>
    </row>
    <row r="504" spans="1:6" x14ac:dyDescent="0.3">
      <c r="A504" t="s">
        <v>106</v>
      </c>
      <c r="B504" t="s">
        <v>6</v>
      </c>
      <c r="C504">
        <v>11</v>
      </c>
      <c r="D504">
        <v>0</v>
      </c>
    </row>
    <row r="505" spans="1:6" x14ac:dyDescent="0.3">
      <c r="A505" t="s">
        <v>106</v>
      </c>
      <c r="B505" t="s">
        <v>17</v>
      </c>
      <c r="C505">
        <v>11</v>
      </c>
      <c r="D505">
        <v>0</v>
      </c>
    </row>
    <row r="506" spans="1:6" x14ac:dyDescent="0.3">
      <c r="A506" t="s">
        <v>106</v>
      </c>
      <c r="B506" t="s">
        <v>110</v>
      </c>
      <c r="C506">
        <v>11</v>
      </c>
      <c r="D506">
        <v>0</v>
      </c>
    </row>
    <row r="507" spans="1:6" x14ac:dyDescent="0.3">
      <c r="A507" t="s">
        <v>106</v>
      </c>
      <c r="B507" t="s">
        <v>18</v>
      </c>
      <c r="C507">
        <v>11</v>
      </c>
      <c r="D507">
        <v>0</v>
      </c>
    </row>
    <row r="508" spans="1:6" x14ac:dyDescent="0.3">
      <c r="A508" t="s">
        <v>106</v>
      </c>
      <c r="B508" t="s">
        <v>195</v>
      </c>
      <c r="C508">
        <v>11</v>
      </c>
      <c r="D508">
        <v>0</v>
      </c>
    </row>
    <row r="509" spans="1:6" s="4" customFormat="1" x14ac:dyDescent="0.3">
      <c r="A509" s="4" t="s">
        <v>112</v>
      </c>
      <c r="B509" s="4" t="s">
        <v>5</v>
      </c>
      <c r="C509" s="4">
        <v>1</v>
      </c>
      <c r="D509" s="4">
        <f>1.3^(1/5)</f>
        <v>1.0538739520617835</v>
      </c>
      <c r="E509" s="4">
        <f>1.3^(1/5)-0.01</f>
        <v>1.0438739520617835</v>
      </c>
      <c r="F509" s="4">
        <f>1.3^(1/5)+0.01</f>
        <v>1.0638739520617835</v>
      </c>
    </row>
    <row r="510" spans="1:6" s="4" customFormat="1" x14ac:dyDescent="0.3">
      <c r="A510" s="4" t="s">
        <v>112</v>
      </c>
      <c r="B510" s="4" t="s">
        <v>167</v>
      </c>
      <c r="C510" s="4">
        <v>1</v>
      </c>
      <c r="D510" s="4">
        <v>2.6</v>
      </c>
      <c r="E510" s="4">
        <v>2.4</v>
      </c>
      <c r="F510" s="4">
        <v>2.8</v>
      </c>
    </row>
    <row r="511" spans="1:6" s="4" customFormat="1" x14ac:dyDescent="0.3">
      <c r="A511" s="4" t="s">
        <v>112</v>
      </c>
      <c r="B511" s="4" t="s">
        <v>165</v>
      </c>
      <c r="C511" s="4">
        <v>1</v>
      </c>
      <c r="D511" s="4">
        <f>1/0.9</f>
        <v>1.1111111111111112</v>
      </c>
      <c r="E511" s="4">
        <f>1/0.9</f>
        <v>1.1111111111111112</v>
      </c>
      <c r="F511" s="4">
        <f>1/0.8</f>
        <v>1.25</v>
      </c>
    </row>
    <row r="512" spans="1:6" s="4" customFormat="1" x14ac:dyDescent="0.3">
      <c r="A512" s="4" t="s">
        <v>112</v>
      </c>
      <c r="B512" s="4" t="s">
        <v>37</v>
      </c>
      <c r="C512" s="4">
        <v>1</v>
      </c>
      <c r="D512" s="4">
        <f>1/0.64</f>
        <v>1.5625</v>
      </c>
      <c r="E512" s="4">
        <v>1.39</v>
      </c>
      <c r="F512" s="4">
        <v>1.72</v>
      </c>
    </row>
    <row r="513" spans="1:6" s="4" customFormat="1" x14ac:dyDescent="0.3">
      <c r="A513" s="4" t="s">
        <v>112</v>
      </c>
      <c r="B513" s="4" t="s">
        <v>25</v>
      </c>
      <c r="C513" s="4">
        <v>1</v>
      </c>
      <c r="D513" s="4">
        <v>2.6</v>
      </c>
      <c r="E513" s="4">
        <v>2.4</v>
      </c>
      <c r="F513" s="4">
        <v>2.8</v>
      </c>
    </row>
    <row r="514" spans="1:6" s="4" customFormat="1" x14ac:dyDescent="0.3">
      <c r="A514" s="4" t="s">
        <v>112</v>
      </c>
      <c r="B514" s="4" t="s">
        <v>17</v>
      </c>
      <c r="C514" s="4">
        <v>2</v>
      </c>
      <c r="D514" s="4">
        <f>1/0.9</f>
        <v>1.1111111111111112</v>
      </c>
      <c r="E514" s="4">
        <f>1/1</f>
        <v>1</v>
      </c>
      <c r="F514" s="4">
        <f>1/0.9</f>
        <v>1.1111111111111112</v>
      </c>
    </row>
    <row r="515" spans="1:6" s="4" customFormat="1" x14ac:dyDescent="0.3">
      <c r="A515" s="4" t="s">
        <v>112</v>
      </c>
      <c r="B515" s="4" t="s">
        <v>23</v>
      </c>
      <c r="C515" s="4">
        <v>1</v>
      </c>
      <c r="D515" s="4">
        <v>3</v>
      </c>
      <c r="E515" s="4">
        <v>2.7</v>
      </c>
      <c r="F515" s="4">
        <v>3.4</v>
      </c>
    </row>
    <row r="516" spans="1:6" x14ac:dyDescent="0.3">
      <c r="A516" t="s">
        <v>116</v>
      </c>
      <c r="B516" t="s">
        <v>5</v>
      </c>
      <c r="C516">
        <v>11</v>
      </c>
      <c r="D516">
        <v>0</v>
      </c>
    </row>
    <row r="517" spans="1:6" x14ac:dyDescent="0.3">
      <c r="A517" t="s">
        <v>116</v>
      </c>
      <c r="B517" t="s">
        <v>165</v>
      </c>
      <c r="C517">
        <v>11</v>
      </c>
      <c r="D517">
        <v>0</v>
      </c>
    </row>
    <row r="518" spans="1:6" x14ac:dyDescent="0.3">
      <c r="A518" t="s">
        <v>116</v>
      </c>
      <c r="B518" t="s">
        <v>37</v>
      </c>
      <c r="C518">
        <v>1</v>
      </c>
      <c r="D518">
        <f>1/0.46</f>
        <v>2.1739130434782608</v>
      </c>
      <c r="E518">
        <v>0.71</v>
      </c>
      <c r="F518">
        <v>6.67</v>
      </c>
    </row>
    <row r="519" spans="1:6" x14ac:dyDescent="0.3">
      <c r="A519" t="s">
        <v>116</v>
      </c>
      <c r="B519" t="s">
        <v>7</v>
      </c>
      <c r="C519">
        <v>9</v>
      </c>
      <c r="D519">
        <v>0</v>
      </c>
    </row>
    <row r="520" spans="1:6" x14ac:dyDescent="0.3">
      <c r="A520" t="s">
        <v>116</v>
      </c>
      <c r="B520" t="s">
        <v>6</v>
      </c>
      <c r="C520">
        <v>11</v>
      </c>
      <c r="D520">
        <v>0</v>
      </c>
    </row>
    <row r="521" spans="1:6" x14ac:dyDescent="0.3">
      <c r="A521" t="s">
        <v>116</v>
      </c>
      <c r="B521" t="s">
        <v>17</v>
      </c>
      <c r="C521">
        <v>11</v>
      </c>
      <c r="D521">
        <v>0</v>
      </c>
    </row>
    <row r="522" spans="1:6" x14ac:dyDescent="0.3">
      <c r="A522" t="s">
        <v>116</v>
      </c>
      <c r="B522" t="s">
        <v>23</v>
      </c>
      <c r="C522">
        <v>11</v>
      </c>
      <c r="D522">
        <v>0</v>
      </c>
    </row>
    <row r="523" spans="1:6" s="4" customFormat="1" x14ac:dyDescent="0.3">
      <c r="A523" s="4" t="s">
        <v>59</v>
      </c>
      <c r="B523" s="4" t="s">
        <v>5</v>
      </c>
      <c r="C523" s="4">
        <v>1</v>
      </c>
      <c r="D523" s="4">
        <v>1.06</v>
      </c>
      <c r="E523" s="4">
        <v>1.05</v>
      </c>
      <c r="F523" s="4">
        <v>1.08</v>
      </c>
    </row>
    <row r="524" spans="1:6" s="4" customFormat="1" x14ac:dyDescent="0.3">
      <c r="A524" s="4" t="s">
        <v>59</v>
      </c>
      <c r="B524" s="4" t="s">
        <v>22</v>
      </c>
      <c r="C524" s="4">
        <v>2</v>
      </c>
      <c r="D524" s="4">
        <v>1</v>
      </c>
      <c r="E524" s="4">
        <v>0.97</v>
      </c>
      <c r="F524" s="4">
        <v>1.05</v>
      </c>
    </row>
    <row r="525" spans="1:6" s="4" customFormat="1" x14ac:dyDescent="0.3">
      <c r="A525" s="4" t="s">
        <v>59</v>
      </c>
      <c r="B525" s="4" t="s">
        <v>165</v>
      </c>
      <c r="C525" s="4">
        <v>1</v>
      </c>
      <c r="D525" s="4">
        <f>1/0.69</f>
        <v>1.4492753623188408</v>
      </c>
      <c r="E525" s="4">
        <f>1/0.89</f>
        <v>1.1235955056179776</v>
      </c>
      <c r="F525" s="4">
        <f>1/0.55</f>
        <v>1.8181818181818181</v>
      </c>
    </row>
    <row r="526" spans="1:6" s="4" customFormat="1" x14ac:dyDescent="0.3">
      <c r="A526" s="4" t="s">
        <v>59</v>
      </c>
      <c r="B526" s="4" t="s">
        <v>28</v>
      </c>
      <c r="C526" s="4">
        <v>2</v>
      </c>
      <c r="D526" s="4">
        <v>1</v>
      </c>
      <c r="E526" s="4">
        <v>0.99</v>
      </c>
      <c r="F526" s="4">
        <v>1.01</v>
      </c>
    </row>
    <row r="527" spans="1:6" s="4" customFormat="1" x14ac:dyDescent="0.3">
      <c r="A527" s="4" t="s">
        <v>59</v>
      </c>
      <c r="B527" s="4" t="s">
        <v>37</v>
      </c>
      <c r="C527" s="4">
        <v>1</v>
      </c>
      <c r="D527" s="4">
        <v>1.89</v>
      </c>
      <c r="E527" s="4">
        <v>1.29</v>
      </c>
      <c r="F527" s="4">
        <v>2.75</v>
      </c>
    </row>
    <row r="528" spans="1:6" s="4" customFormat="1" x14ac:dyDescent="0.3">
      <c r="A528" s="4" t="s">
        <v>59</v>
      </c>
      <c r="B528" s="4" t="s">
        <v>61</v>
      </c>
      <c r="C528" s="4">
        <v>1</v>
      </c>
      <c r="D528" s="4">
        <v>1.02</v>
      </c>
      <c r="E528" s="4">
        <v>1.01</v>
      </c>
      <c r="F528" s="4">
        <v>1.03</v>
      </c>
    </row>
    <row r="529" spans="1:7" s="4" customFormat="1" x14ac:dyDescent="0.3">
      <c r="A529" s="4" t="s">
        <v>59</v>
      </c>
      <c r="B529" s="8" t="s">
        <v>60</v>
      </c>
      <c r="C529" s="4">
        <v>2</v>
      </c>
      <c r="D529" s="4">
        <v>0.81</v>
      </c>
      <c r="E529" s="4">
        <v>0.92</v>
      </c>
      <c r="F529" s="4">
        <v>1.05</v>
      </c>
    </row>
    <row r="530" spans="1:7" x14ac:dyDescent="0.3">
      <c r="A530" t="s">
        <v>170</v>
      </c>
      <c r="B530" t="s">
        <v>5</v>
      </c>
      <c r="C530">
        <v>1</v>
      </c>
      <c r="D530">
        <v>1.03</v>
      </c>
    </row>
    <row r="531" spans="1:7" x14ac:dyDescent="0.3">
      <c r="A531" t="s">
        <v>170</v>
      </c>
      <c r="B531" t="s">
        <v>22</v>
      </c>
      <c r="C531">
        <v>1</v>
      </c>
      <c r="D531">
        <v>1.32</v>
      </c>
    </row>
    <row r="532" spans="1:7" x14ac:dyDescent="0.3">
      <c r="A532" t="s">
        <v>170</v>
      </c>
      <c r="B532" t="s">
        <v>167</v>
      </c>
      <c r="C532">
        <v>1</v>
      </c>
      <c r="D532">
        <v>3.31</v>
      </c>
      <c r="E532" s="4">
        <v>2.08</v>
      </c>
      <c r="F532" s="4">
        <v>5.28</v>
      </c>
      <c r="G532" t="s">
        <v>293</v>
      </c>
    </row>
    <row r="533" spans="1:7" x14ac:dyDescent="0.3">
      <c r="A533" t="s">
        <v>170</v>
      </c>
      <c r="B533" t="s">
        <v>165</v>
      </c>
      <c r="C533">
        <v>1</v>
      </c>
      <c r="D533">
        <v>1.33</v>
      </c>
      <c r="E533">
        <v>1.1299999999999999</v>
      </c>
      <c r="F533">
        <v>1.56</v>
      </c>
    </row>
    <row r="534" spans="1:7" x14ac:dyDescent="0.3">
      <c r="A534" t="s">
        <v>170</v>
      </c>
      <c r="B534" t="s">
        <v>37</v>
      </c>
      <c r="C534">
        <v>1</v>
      </c>
      <c r="D534">
        <v>3.4</v>
      </c>
      <c r="E534">
        <v>2.68</v>
      </c>
      <c r="F534">
        <v>4.3</v>
      </c>
    </row>
    <row r="535" spans="1:7" x14ac:dyDescent="0.3">
      <c r="A535" t="s">
        <v>170</v>
      </c>
      <c r="B535" t="s">
        <v>7</v>
      </c>
      <c r="C535">
        <v>1</v>
      </c>
      <c r="D535">
        <v>2.62</v>
      </c>
      <c r="E535">
        <v>1.96</v>
      </c>
      <c r="F535">
        <v>3.49</v>
      </c>
    </row>
    <row r="536" spans="1:7" s="4" customFormat="1" x14ac:dyDescent="0.3">
      <c r="A536" s="4" t="s">
        <v>118</v>
      </c>
      <c r="B536" s="4" t="s">
        <v>168</v>
      </c>
      <c r="C536" s="4">
        <v>11</v>
      </c>
      <c r="D536" s="4">
        <v>0</v>
      </c>
    </row>
    <row r="537" spans="1:7" s="4" customFormat="1" x14ac:dyDescent="0.3">
      <c r="A537" s="4" t="s">
        <v>118</v>
      </c>
      <c r="B537" s="4" t="s">
        <v>5</v>
      </c>
      <c r="C537" s="4">
        <v>11</v>
      </c>
      <c r="D537" s="4">
        <v>0</v>
      </c>
    </row>
    <row r="538" spans="1:7" s="4" customFormat="1" x14ac:dyDescent="0.3">
      <c r="A538" s="4" t="s">
        <v>118</v>
      </c>
      <c r="B538" s="4" t="s">
        <v>165</v>
      </c>
      <c r="C538" s="4">
        <v>11</v>
      </c>
      <c r="D538" s="4">
        <v>0</v>
      </c>
    </row>
    <row r="539" spans="1:7" s="4" customFormat="1" x14ac:dyDescent="0.3">
      <c r="A539" s="4" t="s">
        <v>118</v>
      </c>
      <c r="B539" s="4" t="s">
        <v>37</v>
      </c>
      <c r="C539" s="4">
        <v>1</v>
      </c>
      <c r="D539" s="4">
        <v>3.08</v>
      </c>
      <c r="E539" s="4">
        <v>2.0699999999999998</v>
      </c>
      <c r="F539" s="4">
        <v>4.57</v>
      </c>
    </row>
    <row r="540" spans="1:7" s="4" customFormat="1" x14ac:dyDescent="0.3">
      <c r="A540" s="4" t="s">
        <v>118</v>
      </c>
      <c r="B540" s="4" t="s">
        <v>6</v>
      </c>
      <c r="C540" s="4">
        <v>11</v>
      </c>
      <c r="D540" s="4">
        <v>0</v>
      </c>
    </row>
    <row r="541" spans="1:7" s="4" customFormat="1" x14ac:dyDescent="0.3">
      <c r="A541" s="4" t="s">
        <v>118</v>
      </c>
      <c r="B541" s="4" t="s">
        <v>23</v>
      </c>
      <c r="C541" s="4">
        <v>11</v>
      </c>
      <c r="D541" s="4">
        <v>0</v>
      </c>
    </row>
    <row r="542" spans="1:7" s="4" customFormat="1" x14ac:dyDescent="0.3">
      <c r="A542" s="4" t="s">
        <v>118</v>
      </c>
      <c r="B542" s="4" t="s">
        <v>18</v>
      </c>
      <c r="C542" s="4">
        <v>11</v>
      </c>
      <c r="D542" s="4">
        <v>0</v>
      </c>
    </row>
    <row r="543" spans="1:7" x14ac:dyDescent="0.3">
      <c r="A543" t="s">
        <v>171</v>
      </c>
      <c r="B543" t="s">
        <v>168</v>
      </c>
      <c r="C543">
        <v>2</v>
      </c>
      <c r="D543">
        <v>1.45</v>
      </c>
      <c r="E543">
        <v>0.98</v>
      </c>
      <c r="F543">
        <v>2.14</v>
      </c>
      <c r="G543" t="s">
        <v>296</v>
      </c>
    </row>
    <row r="544" spans="1:7" x14ac:dyDescent="0.3">
      <c r="A544" t="s">
        <v>171</v>
      </c>
      <c r="B544" t="s">
        <v>5</v>
      </c>
      <c r="C544">
        <v>1</v>
      </c>
      <c r="D544">
        <v>1.03</v>
      </c>
    </row>
    <row r="545" spans="1:7" x14ac:dyDescent="0.3">
      <c r="A545" t="s">
        <v>171</v>
      </c>
      <c r="B545" t="s">
        <v>167</v>
      </c>
      <c r="C545">
        <v>1</v>
      </c>
      <c r="D545">
        <v>1.47</v>
      </c>
      <c r="E545">
        <v>0.97</v>
      </c>
      <c r="F545">
        <v>2.21</v>
      </c>
      <c r="G545" t="s">
        <v>294</v>
      </c>
    </row>
    <row r="546" spans="1:7" x14ac:dyDescent="0.3">
      <c r="A546" t="s">
        <v>171</v>
      </c>
      <c r="B546" t="s">
        <v>165</v>
      </c>
      <c r="C546">
        <v>2</v>
      </c>
      <c r="D546">
        <f>1/0.77</f>
        <v>1.2987012987012987</v>
      </c>
      <c r="E546">
        <f>1/1.11</f>
        <v>0.9009009009009008</v>
      </c>
      <c r="F546">
        <f>1/0.54</f>
        <v>1.8518518518518516</v>
      </c>
    </row>
    <row r="547" spans="1:7" x14ac:dyDescent="0.3">
      <c r="A547" t="s">
        <v>171</v>
      </c>
      <c r="B547" t="s">
        <v>37</v>
      </c>
      <c r="C547">
        <v>1</v>
      </c>
      <c r="D547">
        <f>1/0.5</f>
        <v>2</v>
      </c>
      <c r="E547">
        <f>1/0.73</f>
        <v>1.3698630136986301</v>
      </c>
      <c r="F547">
        <f>1/0.34</f>
        <v>2.9411764705882351</v>
      </c>
    </row>
    <row r="548" spans="1:7" x14ac:dyDescent="0.3">
      <c r="A548" t="s">
        <v>171</v>
      </c>
      <c r="B548" t="s">
        <v>7</v>
      </c>
      <c r="C548">
        <v>1</v>
      </c>
      <c r="D548">
        <f>1/0.46</f>
        <v>2.1739130434782608</v>
      </c>
      <c r="E548">
        <f>1/0.85</f>
        <v>1.1764705882352942</v>
      </c>
      <c r="F548">
        <f>1/0.25</f>
        <v>4</v>
      </c>
      <c r="G548" t="s">
        <v>295</v>
      </c>
    </row>
    <row r="549" spans="1:7" x14ac:dyDescent="0.3">
      <c r="A549" t="s">
        <v>171</v>
      </c>
      <c r="B549" t="s">
        <v>6</v>
      </c>
      <c r="C549">
        <v>1</v>
      </c>
      <c r="D549">
        <f>1.57</f>
        <v>1.57</v>
      </c>
      <c r="E549">
        <v>0.91</v>
      </c>
      <c r="F549">
        <v>2.67</v>
      </c>
    </row>
    <row r="550" spans="1:7" x14ac:dyDescent="0.3">
      <c r="A550" t="s">
        <v>171</v>
      </c>
      <c r="B550" t="s">
        <v>17</v>
      </c>
      <c r="C550">
        <v>1</v>
      </c>
      <c r="D550">
        <f>1/0.89</f>
        <v>1.1235955056179776</v>
      </c>
      <c r="E550">
        <f>1/0.97</f>
        <v>1.0309278350515465</v>
      </c>
      <c r="F550">
        <f>1/0.81</f>
        <v>1.2345679012345678</v>
      </c>
    </row>
    <row r="551" spans="1:7" x14ac:dyDescent="0.3">
      <c r="A551" t="s">
        <v>171</v>
      </c>
      <c r="B551" t="s">
        <v>173</v>
      </c>
      <c r="C551">
        <v>1</v>
      </c>
      <c r="D551">
        <v>60.92</v>
      </c>
      <c r="E551">
        <v>25.2</v>
      </c>
      <c r="F551">
        <v>147.30000000000001</v>
      </c>
    </row>
    <row r="552" spans="1:7" x14ac:dyDescent="0.3">
      <c r="A552" t="s">
        <v>171</v>
      </c>
      <c r="B552" t="s">
        <v>172</v>
      </c>
      <c r="C552">
        <v>2</v>
      </c>
      <c r="D552">
        <v>1.03</v>
      </c>
      <c r="E552">
        <v>0.12</v>
      </c>
      <c r="F552">
        <v>8.9700000000000006</v>
      </c>
    </row>
    <row r="553" spans="1:7" s="4" customFormat="1" x14ac:dyDescent="0.3">
      <c r="A553" s="4" t="s">
        <v>57</v>
      </c>
      <c r="B553" s="4" t="s">
        <v>5</v>
      </c>
      <c r="C553" s="4">
        <v>1</v>
      </c>
      <c r="D553" s="4">
        <v>1.06</v>
      </c>
      <c r="E553" s="4">
        <v>1.03</v>
      </c>
      <c r="F553" s="4">
        <v>1.1100000000000001</v>
      </c>
    </row>
    <row r="554" spans="1:7" s="4" customFormat="1" x14ac:dyDescent="0.3">
      <c r="A554" s="4" t="s">
        <v>57</v>
      </c>
      <c r="B554" s="4" t="s">
        <v>58</v>
      </c>
      <c r="C554" s="4">
        <v>1</v>
      </c>
      <c r="D554" s="4">
        <v>1.06</v>
      </c>
      <c r="E554" s="4">
        <v>1.01</v>
      </c>
      <c r="F554" s="4">
        <v>1.1100000000000001</v>
      </c>
    </row>
    <row r="555" spans="1:7" s="4" customFormat="1" x14ac:dyDescent="0.3">
      <c r="A555" s="4" t="s">
        <v>57</v>
      </c>
      <c r="B555" s="4" t="s">
        <v>167</v>
      </c>
      <c r="C555" s="4">
        <v>1</v>
      </c>
      <c r="D555" s="4">
        <v>2.29</v>
      </c>
      <c r="E555" s="4">
        <v>1.18</v>
      </c>
      <c r="F555" s="4">
        <v>4.49</v>
      </c>
    </row>
    <row r="556" spans="1:7" s="4" customFormat="1" x14ac:dyDescent="0.3">
      <c r="A556" s="4" t="s">
        <v>57</v>
      </c>
      <c r="B556" s="4" t="s">
        <v>165</v>
      </c>
      <c r="C556" s="4">
        <v>1</v>
      </c>
      <c r="D556" s="4">
        <v>2.1</v>
      </c>
      <c r="E556" s="4">
        <v>1.1000000000000001</v>
      </c>
      <c r="F556" s="4">
        <v>3.89</v>
      </c>
    </row>
    <row r="557" spans="1:7" s="4" customFormat="1" x14ac:dyDescent="0.3">
      <c r="A557" s="4" t="s">
        <v>57</v>
      </c>
      <c r="B557" s="4" t="s">
        <v>27</v>
      </c>
      <c r="C557" s="4">
        <v>4</v>
      </c>
      <c r="D557" s="4">
        <v>1.27</v>
      </c>
      <c r="E557" s="4">
        <v>0.74</v>
      </c>
      <c r="F557" s="4">
        <v>2.17</v>
      </c>
    </row>
    <row r="558" spans="1:7" s="4" customFormat="1" x14ac:dyDescent="0.3">
      <c r="A558" s="4" t="s">
        <v>57</v>
      </c>
      <c r="B558" s="4" t="s">
        <v>37</v>
      </c>
      <c r="C558" s="4">
        <v>1</v>
      </c>
      <c r="D558" s="4">
        <v>2.4700000000000002</v>
      </c>
      <c r="E558" s="4">
        <v>1.1200000000000001</v>
      </c>
      <c r="F558" s="4">
        <v>5.0999999999999996</v>
      </c>
    </row>
    <row r="559" spans="1:7" s="4" customFormat="1" x14ac:dyDescent="0.3">
      <c r="A559" s="4" t="s">
        <v>57</v>
      </c>
      <c r="B559" s="4" t="s">
        <v>7</v>
      </c>
      <c r="C559" s="4">
        <v>9</v>
      </c>
      <c r="D559" s="4">
        <v>0</v>
      </c>
    </row>
    <row r="560" spans="1:7" x14ac:dyDescent="0.3">
      <c r="A560" t="s">
        <v>181</v>
      </c>
      <c r="B560" t="s">
        <v>5</v>
      </c>
      <c r="C560">
        <v>1</v>
      </c>
      <c r="D560">
        <v>1.04</v>
      </c>
    </row>
    <row r="561" spans="1:6" x14ac:dyDescent="0.3">
      <c r="A561" t="s">
        <v>181</v>
      </c>
      <c r="B561" t="s">
        <v>70</v>
      </c>
      <c r="C561">
        <v>2</v>
      </c>
      <c r="D561">
        <v>1.28</v>
      </c>
      <c r="E561" s="4">
        <v>0.59099999999999997</v>
      </c>
      <c r="F561" s="4">
        <v>2.7749999999999999</v>
      </c>
    </row>
    <row r="562" spans="1:6" x14ac:dyDescent="0.3">
      <c r="A562" t="s">
        <v>181</v>
      </c>
      <c r="B562" t="s">
        <v>22</v>
      </c>
      <c r="C562">
        <v>1</v>
      </c>
      <c r="D562">
        <v>1.0900000000000001</v>
      </c>
    </row>
    <row r="563" spans="1:6" x14ac:dyDescent="0.3">
      <c r="A563" t="s">
        <v>181</v>
      </c>
      <c r="B563" t="s">
        <v>155</v>
      </c>
      <c r="C563">
        <v>1</v>
      </c>
      <c r="D563">
        <v>7.8769999999999998</v>
      </c>
      <c r="E563">
        <v>4.3769999999999998</v>
      </c>
      <c r="F563">
        <v>14.177</v>
      </c>
    </row>
    <row r="564" spans="1:6" x14ac:dyDescent="0.3">
      <c r="A564" t="s">
        <v>181</v>
      </c>
      <c r="B564" t="s">
        <v>167</v>
      </c>
      <c r="C564">
        <v>1</v>
      </c>
      <c r="D564">
        <v>3.141</v>
      </c>
      <c r="E564">
        <v>1.1870000000000001</v>
      </c>
      <c r="F564">
        <v>8.3109999999999999</v>
      </c>
    </row>
    <row r="565" spans="1:6" x14ac:dyDescent="0.3">
      <c r="A565" t="s">
        <v>181</v>
      </c>
      <c r="B565" t="s">
        <v>165</v>
      </c>
      <c r="C565">
        <v>2</v>
      </c>
      <c r="D565">
        <f>1/1.132</f>
        <v>0.88339222614840995</v>
      </c>
      <c r="E565">
        <f>1/1.762</f>
        <v>0.56753688989784334</v>
      </c>
      <c r="F565">
        <f>1/0.727</f>
        <v>1.3755158184319121</v>
      </c>
    </row>
    <row r="566" spans="1:6" x14ac:dyDescent="0.3">
      <c r="A566" t="s">
        <v>181</v>
      </c>
      <c r="B566" t="s">
        <v>37</v>
      </c>
      <c r="C566">
        <v>2</v>
      </c>
      <c r="D566">
        <f>0.954</f>
        <v>0.95399999999999996</v>
      </c>
      <c r="E566">
        <f>1/1.651</f>
        <v>0.60569351907934588</v>
      </c>
      <c r="F566">
        <f>1/0.552</f>
        <v>1.8115942028985506</v>
      </c>
    </row>
    <row r="567" spans="1:6" x14ac:dyDescent="0.3">
      <c r="A567" t="s">
        <v>181</v>
      </c>
      <c r="B567" t="s">
        <v>60</v>
      </c>
      <c r="C567">
        <v>1</v>
      </c>
      <c r="D567">
        <v>2.0059999999999998</v>
      </c>
      <c r="E567">
        <v>1.1890000000000001</v>
      </c>
      <c r="F567">
        <v>3.383</v>
      </c>
    </row>
    <row r="568" spans="1:6" s="4" customFormat="1" x14ac:dyDescent="0.3">
      <c r="A568" s="4" t="s">
        <v>220</v>
      </c>
      <c r="B568" s="4" t="s">
        <v>234</v>
      </c>
      <c r="C568" s="4">
        <v>11</v>
      </c>
      <c r="D568" s="4">
        <v>0</v>
      </c>
    </row>
    <row r="569" spans="1:6" s="4" customFormat="1" x14ac:dyDescent="0.3">
      <c r="A569" s="4" t="s">
        <v>220</v>
      </c>
      <c r="B569" s="4" t="s">
        <v>5</v>
      </c>
      <c r="C569" s="4">
        <v>11</v>
      </c>
      <c r="D569" s="4">
        <v>0</v>
      </c>
    </row>
    <row r="570" spans="1:6" s="4" customFormat="1" x14ac:dyDescent="0.3">
      <c r="A570" s="4" t="s">
        <v>220</v>
      </c>
      <c r="B570" s="4" t="s">
        <v>22</v>
      </c>
      <c r="C570" s="4">
        <v>11</v>
      </c>
      <c r="D570" s="4">
        <v>0</v>
      </c>
    </row>
    <row r="571" spans="1:6" s="4" customFormat="1" x14ac:dyDescent="0.3">
      <c r="A571" s="4" t="s">
        <v>220</v>
      </c>
      <c r="B571" s="4" t="s">
        <v>165</v>
      </c>
      <c r="C571" s="4">
        <v>11</v>
      </c>
      <c r="D571" s="4">
        <v>0</v>
      </c>
    </row>
    <row r="572" spans="1:6" s="4" customFormat="1" x14ac:dyDescent="0.3">
      <c r="A572" s="4" t="s">
        <v>220</v>
      </c>
      <c r="B572" s="4" t="s">
        <v>27</v>
      </c>
      <c r="C572" s="4">
        <v>11</v>
      </c>
      <c r="D572" s="4">
        <v>0</v>
      </c>
    </row>
    <row r="573" spans="1:6" s="4" customFormat="1" x14ac:dyDescent="0.3">
      <c r="A573" s="4" t="s">
        <v>220</v>
      </c>
      <c r="B573" s="4" t="s">
        <v>7</v>
      </c>
      <c r="C573" s="4">
        <v>11</v>
      </c>
      <c r="D573" s="4">
        <v>0</v>
      </c>
    </row>
    <row r="574" spans="1:6" s="4" customFormat="1" x14ac:dyDescent="0.3">
      <c r="A574" s="4" t="s">
        <v>220</v>
      </c>
      <c r="B574" s="4" t="s">
        <v>6</v>
      </c>
      <c r="C574" s="4">
        <v>11</v>
      </c>
      <c r="D574" s="4">
        <v>0</v>
      </c>
    </row>
    <row r="575" spans="1:6" s="4" customFormat="1" x14ac:dyDescent="0.3">
      <c r="A575" s="4" t="s">
        <v>220</v>
      </c>
      <c r="B575" s="4" t="s">
        <v>17</v>
      </c>
      <c r="C575" s="4">
        <v>11</v>
      </c>
      <c r="D575" s="4">
        <v>0</v>
      </c>
    </row>
    <row r="576" spans="1:6" s="4" customFormat="1" x14ac:dyDescent="0.3">
      <c r="A576" s="4" t="s">
        <v>220</v>
      </c>
      <c r="B576" s="4" t="s">
        <v>51</v>
      </c>
      <c r="C576" s="4">
        <v>2</v>
      </c>
      <c r="D576" s="4">
        <v>1.43</v>
      </c>
    </row>
    <row r="577" spans="1:6" s="4" customFormat="1" x14ac:dyDescent="0.3">
      <c r="A577" s="4" t="s">
        <v>220</v>
      </c>
      <c r="B577" s="4" t="s">
        <v>38</v>
      </c>
      <c r="C577" s="4">
        <v>2</v>
      </c>
      <c r="D577" s="4">
        <v>1.67</v>
      </c>
    </row>
    <row r="578" spans="1:6" s="4" customFormat="1" x14ac:dyDescent="0.3">
      <c r="A578" s="4" t="s">
        <v>220</v>
      </c>
      <c r="B578" s="4" t="s">
        <v>222</v>
      </c>
      <c r="C578" s="4">
        <v>11</v>
      </c>
      <c r="D578" s="4">
        <v>0</v>
      </c>
    </row>
    <row r="579" spans="1:6" x14ac:dyDescent="0.3">
      <c r="A579" t="s">
        <v>229</v>
      </c>
      <c r="B579" t="s">
        <v>5</v>
      </c>
      <c r="C579">
        <v>11</v>
      </c>
      <c r="D579">
        <v>0</v>
      </c>
    </row>
    <row r="580" spans="1:6" x14ac:dyDescent="0.3">
      <c r="A580" t="s">
        <v>229</v>
      </c>
      <c r="B580" t="s">
        <v>22</v>
      </c>
      <c r="C580">
        <v>11</v>
      </c>
      <c r="D580">
        <v>0</v>
      </c>
    </row>
    <row r="581" spans="1:6" x14ac:dyDescent="0.3">
      <c r="A581" t="s">
        <v>229</v>
      </c>
      <c r="B581" t="s">
        <v>165</v>
      </c>
      <c r="C581">
        <v>11</v>
      </c>
      <c r="D581">
        <v>0</v>
      </c>
    </row>
    <row r="582" spans="1:6" x14ac:dyDescent="0.3">
      <c r="A582" t="s">
        <v>229</v>
      </c>
      <c r="B582" t="s">
        <v>139</v>
      </c>
      <c r="C582">
        <v>11</v>
      </c>
      <c r="D582">
        <v>0</v>
      </c>
    </row>
    <row r="583" spans="1:6" x14ac:dyDescent="0.3">
      <c r="A583" t="s">
        <v>229</v>
      </c>
      <c r="B583" t="s">
        <v>27</v>
      </c>
      <c r="C583">
        <v>11</v>
      </c>
      <c r="D583">
        <v>0</v>
      </c>
    </row>
    <row r="584" spans="1:6" x14ac:dyDescent="0.3">
      <c r="A584" t="s">
        <v>229</v>
      </c>
      <c r="B584" t="s">
        <v>7</v>
      </c>
      <c r="C584">
        <v>9</v>
      </c>
      <c r="D584">
        <v>0</v>
      </c>
    </row>
    <row r="585" spans="1:6" x14ac:dyDescent="0.3">
      <c r="A585" t="s">
        <v>229</v>
      </c>
      <c r="B585" t="s">
        <v>17</v>
      </c>
      <c r="C585">
        <v>11</v>
      </c>
      <c r="D585">
        <v>0</v>
      </c>
    </row>
    <row r="586" spans="1:6" x14ac:dyDescent="0.3">
      <c r="A586" t="s">
        <v>229</v>
      </c>
      <c r="B586" t="s">
        <v>38</v>
      </c>
      <c r="C586">
        <v>1</v>
      </c>
      <c r="D586">
        <v>2.2400000000000002</v>
      </c>
      <c r="E586">
        <f>1.31</f>
        <v>1.31</v>
      </c>
      <c r="F586">
        <v>3.55</v>
      </c>
    </row>
    <row r="587" spans="1:6" s="4" customFormat="1" x14ac:dyDescent="0.3">
      <c r="A587" s="4" t="s">
        <v>156</v>
      </c>
      <c r="B587" s="4" t="s">
        <v>5</v>
      </c>
      <c r="C587" s="4">
        <v>1</v>
      </c>
      <c r="D587" s="4">
        <v>1.03</v>
      </c>
      <c r="E587" s="4">
        <v>1.01</v>
      </c>
      <c r="F587" s="4">
        <v>1.06</v>
      </c>
    </row>
    <row r="588" spans="1:6" s="4" customFormat="1" x14ac:dyDescent="0.3">
      <c r="A588" s="4" t="s">
        <v>156</v>
      </c>
      <c r="B588" s="4" t="s">
        <v>22</v>
      </c>
      <c r="C588" s="4">
        <v>2</v>
      </c>
      <c r="D588" s="4">
        <v>0</v>
      </c>
    </row>
    <row r="589" spans="1:6" s="4" customFormat="1" x14ac:dyDescent="0.3">
      <c r="A589" s="4" t="s">
        <v>156</v>
      </c>
      <c r="B589" s="4" t="s">
        <v>155</v>
      </c>
      <c r="C589" s="4">
        <v>1</v>
      </c>
      <c r="D589" s="4">
        <v>10.92</v>
      </c>
      <c r="E589" s="4">
        <v>7.02</v>
      </c>
      <c r="F589" s="4">
        <v>16.96</v>
      </c>
    </row>
    <row r="590" spans="1:6" s="4" customFormat="1" x14ac:dyDescent="0.3">
      <c r="A590" s="4" t="s">
        <v>156</v>
      </c>
      <c r="B590" s="4" t="s">
        <v>165</v>
      </c>
      <c r="C590" s="4">
        <v>1</v>
      </c>
      <c r="D590" s="4">
        <f>1/0.68</f>
        <v>1.4705882352941175</v>
      </c>
      <c r="E590" s="4">
        <f>1/0.92</f>
        <v>1.0869565217391304</v>
      </c>
      <c r="F590" s="4">
        <f>1/0.52</f>
        <v>1.9230769230769229</v>
      </c>
    </row>
    <row r="591" spans="1:6" s="4" customFormat="1" x14ac:dyDescent="0.3">
      <c r="A591" s="4" t="s">
        <v>156</v>
      </c>
      <c r="B591" s="4" t="s">
        <v>139</v>
      </c>
      <c r="C591" s="4">
        <v>2</v>
      </c>
      <c r="D591" s="4">
        <f>1.14/0.78</f>
        <v>1.4615384615384615</v>
      </c>
      <c r="E591" s="4">
        <f>1.72/1.21</f>
        <v>1.4214876033057851</v>
      </c>
      <c r="F591" s="4">
        <f>0.76/0.51</f>
        <v>1.4901960784313726</v>
      </c>
    </row>
    <row r="592" spans="1:6" s="4" customFormat="1" x14ac:dyDescent="0.3">
      <c r="A592" s="4" t="s">
        <v>156</v>
      </c>
      <c r="B592" s="4" t="s">
        <v>27</v>
      </c>
      <c r="C592" s="4">
        <v>2</v>
      </c>
      <c r="D592" s="4">
        <f>1/0.85</f>
        <v>1.1764705882352942</v>
      </c>
      <c r="E592" s="4">
        <f>1/1.22</f>
        <v>0.81967213114754101</v>
      </c>
      <c r="F592" s="4">
        <f>1/0.59</f>
        <v>1.6949152542372883</v>
      </c>
    </row>
    <row r="593" spans="1:6" s="4" customFormat="1" x14ac:dyDescent="0.3">
      <c r="A593" s="4" t="s">
        <v>156</v>
      </c>
      <c r="B593" s="4" t="s">
        <v>21</v>
      </c>
      <c r="C593" s="4">
        <v>1</v>
      </c>
      <c r="D593" s="4">
        <f>1/0.63</f>
        <v>1.5873015873015872</v>
      </c>
      <c r="E593" s="4">
        <f>1/0.98</f>
        <v>1.0204081632653061</v>
      </c>
      <c r="F593" s="4">
        <f>1/0.41</f>
        <v>2.4390243902439024</v>
      </c>
    </row>
    <row r="594" spans="1:6" s="4" customFormat="1" x14ac:dyDescent="0.3">
      <c r="A594" s="4" t="s">
        <v>156</v>
      </c>
      <c r="B594" s="4" t="s">
        <v>6</v>
      </c>
      <c r="C594" s="4">
        <v>2</v>
      </c>
      <c r="D594" s="4">
        <v>1.27</v>
      </c>
      <c r="E594" s="4">
        <v>0.81</v>
      </c>
      <c r="F594" s="4">
        <v>1.99</v>
      </c>
    </row>
    <row r="595" spans="1:6" s="4" customFormat="1" x14ac:dyDescent="0.3">
      <c r="A595" s="4" t="s">
        <v>156</v>
      </c>
      <c r="B595" s="4" t="s">
        <v>38</v>
      </c>
      <c r="C595" s="4">
        <v>1</v>
      </c>
      <c r="D595" s="4">
        <f>1/0.34</f>
        <v>2.9411764705882351</v>
      </c>
      <c r="E595" s="4">
        <f>1/0.55</f>
        <v>1.8181818181818181</v>
      </c>
      <c r="F595" s="4">
        <f>1/0.21</f>
        <v>4.7619047619047619</v>
      </c>
    </row>
    <row r="596" spans="1:6" x14ac:dyDescent="0.3">
      <c r="A596" t="s">
        <v>39</v>
      </c>
      <c r="B596" t="s">
        <v>5</v>
      </c>
      <c r="C596">
        <v>11</v>
      </c>
      <c r="D596">
        <v>0</v>
      </c>
    </row>
    <row r="597" spans="1:6" x14ac:dyDescent="0.3">
      <c r="A597" t="s">
        <v>39</v>
      </c>
      <c r="B597" t="s">
        <v>28</v>
      </c>
      <c r="C597">
        <v>11</v>
      </c>
      <c r="D597">
        <v>0</v>
      </c>
    </row>
    <row r="598" spans="1:6" x14ac:dyDescent="0.3">
      <c r="A598" t="s">
        <v>39</v>
      </c>
      <c r="B598" t="s">
        <v>41</v>
      </c>
      <c r="C598">
        <v>11</v>
      </c>
      <c r="D598">
        <v>0</v>
      </c>
    </row>
    <row r="599" spans="1:6" x14ac:dyDescent="0.3">
      <c r="A599" t="s">
        <v>39</v>
      </c>
      <c r="B599" t="s">
        <v>40</v>
      </c>
      <c r="C599">
        <v>11</v>
      </c>
      <c r="D599">
        <v>0</v>
      </c>
    </row>
    <row r="600" spans="1:6" x14ac:dyDescent="0.3">
      <c r="A600" t="s">
        <v>39</v>
      </c>
      <c r="B600" t="s">
        <v>27</v>
      </c>
      <c r="C600">
        <v>11</v>
      </c>
      <c r="D600">
        <v>0</v>
      </c>
    </row>
    <row r="601" spans="1:6" x14ac:dyDescent="0.3">
      <c r="A601" t="s">
        <v>39</v>
      </c>
      <c r="B601" t="s">
        <v>37</v>
      </c>
      <c r="C601">
        <v>1</v>
      </c>
      <c r="D601">
        <v>1.79</v>
      </c>
    </row>
    <row r="602" spans="1:6" x14ac:dyDescent="0.3">
      <c r="A602" t="s">
        <v>39</v>
      </c>
      <c r="B602" t="s">
        <v>6</v>
      </c>
      <c r="C602">
        <v>11</v>
      </c>
      <c r="D602">
        <v>0</v>
      </c>
    </row>
    <row r="603" spans="1:6" s="4" customFormat="1" x14ac:dyDescent="0.3">
      <c r="A603" s="4" t="s">
        <v>175</v>
      </c>
      <c r="B603" s="4" t="s">
        <v>5</v>
      </c>
      <c r="C603" s="4">
        <v>1</v>
      </c>
      <c r="D603" s="4">
        <v>1.02</v>
      </c>
    </row>
    <row r="604" spans="1:6" s="4" customFormat="1" x14ac:dyDescent="0.3">
      <c r="A604" s="4" t="s">
        <v>175</v>
      </c>
      <c r="B604" s="4" t="s">
        <v>22</v>
      </c>
      <c r="C604" s="4">
        <v>1</v>
      </c>
      <c r="D604" s="4">
        <v>0.92</v>
      </c>
    </row>
    <row r="605" spans="1:6" s="4" customFormat="1" x14ac:dyDescent="0.3">
      <c r="A605" s="4" t="s">
        <v>175</v>
      </c>
      <c r="B605" s="4" t="s">
        <v>155</v>
      </c>
      <c r="C605" s="4">
        <v>1</v>
      </c>
      <c r="D605" s="4">
        <v>7.76</v>
      </c>
      <c r="E605" s="4">
        <v>6.69</v>
      </c>
      <c r="F605" s="4">
        <v>8.7799999999999994</v>
      </c>
    </row>
    <row r="606" spans="1:6" s="4" customFormat="1" x14ac:dyDescent="0.3">
      <c r="A606" s="4" t="s">
        <v>175</v>
      </c>
      <c r="B606" s="4" t="s">
        <v>167</v>
      </c>
      <c r="C606" s="4">
        <v>1</v>
      </c>
      <c r="D606" s="4">
        <f>1.46/0.55</f>
        <v>2.6545454545454543</v>
      </c>
      <c r="E606" s="4">
        <f>1.8/0.72</f>
        <v>2.5</v>
      </c>
      <c r="F606" s="4">
        <f>1.18/0.42</f>
        <v>2.8095238095238093</v>
      </c>
    </row>
    <row r="607" spans="1:6" s="4" customFormat="1" x14ac:dyDescent="0.3">
      <c r="A607" s="4" t="s">
        <v>175</v>
      </c>
      <c r="B607" s="4" t="s">
        <v>165</v>
      </c>
      <c r="C607" s="4">
        <v>1</v>
      </c>
      <c r="D607" s="4">
        <f>1/0.79</f>
        <v>1.2658227848101264</v>
      </c>
      <c r="E607" s="4">
        <f>1/0.89</f>
        <v>1.1235955056179776</v>
      </c>
      <c r="F607" s="4">
        <f>1/0.7</f>
        <v>1.4285714285714286</v>
      </c>
    </row>
    <row r="608" spans="1:6" s="4" customFormat="1" x14ac:dyDescent="0.3">
      <c r="A608" s="4" t="s">
        <v>175</v>
      </c>
      <c r="B608" s="4" t="s">
        <v>27</v>
      </c>
      <c r="C608" s="4">
        <v>2</v>
      </c>
      <c r="D608" s="4">
        <f>1/0.96</f>
        <v>1.0416666666666667</v>
      </c>
      <c r="E608" s="4">
        <f>1/1.12</f>
        <v>0.89285714285714279</v>
      </c>
      <c r="F608" s="4">
        <f>1/0.81</f>
        <v>1.2345679012345678</v>
      </c>
    </row>
    <row r="609" spans="1:7" s="4" customFormat="1" x14ac:dyDescent="0.3">
      <c r="A609" s="4" t="s">
        <v>175</v>
      </c>
      <c r="B609" s="4" t="s">
        <v>37</v>
      </c>
      <c r="C609" s="4">
        <v>1</v>
      </c>
      <c r="D609" s="4">
        <v>2.33</v>
      </c>
      <c r="E609" s="4">
        <v>1.88</v>
      </c>
      <c r="F609" s="4">
        <v>2.9</v>
      </c>
    </row>
    <row r="610" spans="1:7" s="4" customFormat="1" x14ac:dyDescent="0.3">
      <c r="A610" s="4" t="s">
        <v>175</v>
      </c>
      <c r="B610" s="4" t="s">
        <v>7</v>
      </c>
      <c r="C610" s="4">
        <v>1</v>
      </c>
      <c r="D610" s="4">
        <f>2.9/0.8</f>
        <v>3.6249999999999996</v>
      </c>
      <c r="E610" s="4">
        <f>2.22/0.68</f>
        <v>3.2647058823529411</v>
      </c>
      <c r="F610" s="4">
        <f>3.79/0.94</f>
        <v>4.0319148936170217</v>
      </c>
      <c r="G610" s="4" t="s">
        <v>275</v>
      </c>
    </row>
    <row r="611" spans="1:7" x14ac:dyDescent="0.3">
      <c r="A611" t="s">
        <v>146</v>
      </c>
      <c r="B611" t="s">
        <v>168</v>
      </c>
      <c r="C611">
        <v>2</v>
      </c>
      <c r="D611">
        <v>1.3</v>
      </c>
      <c r="E611">
        <v>0.8</v>
      </c>
      <c r="F611">
        <v>2.1</v>
      </c>
    </row>
    <row r="612" spans="1:7" x14ac:dyDescent="0.3">
      <c r="A612" t="s">
        <v>146</v>
      </c>
      <c r="B612" t="s">
        <v>5</v>
      </c>
      <c r="C612">
        <v>1</v>
      </c>
      <c r="D612">
        <v>1.03</v>
      </c>
    </row>
    <row r="613" spans="1:7" x14ac:dyDescent="0.3">
      <c r="A613" t="s">
        <v>146</v>
      </c>
      <c r="B613" t="s">
        <v>22</v>
      </c>
      <c r="C613">
        <v>1</v>
      </c>
      <c r="D613">
        <v>1.82</v>
      </c>
    </row>
    <row r="614" spans="1:7" x14ac:dyDescent="0.3">
      <c r="A614" t="s">
        <v>146</v>
      </c>
      <c r="B614" t="s">
        <v>165</v>
      </c>
      <c r="C614">
        <v>1</v>
      </c>
      <c r="D614">
        <f>1/0.5</f>
        <v>2</v>
      </c>
      <c r="E614">
        <f>1/0.8</f>
        <v>1.25</v>
      </c>
      <c r="F614">
        <f>1/0.3</f>
        <v>3.3333333333333335</v>
      </c>
    </row>
    <row r="615" spans="1:7" x14ac:dyDescent="0.3">
      <c r="A615" t="s">
        <v>146</v>
      </c>
      <c r="B615" t="s">
        <v>28</v>
      </c>
      <c r="C615">
        <v>2</v>
      </c>
      <c r="D615">
        <v>0.9</v>
      </c>
      <c r="E615">
        <v>0.3</v>
      </c>
      <c r="F615">
        <v>2.2999999999999998</v>
      </c>
    </row>
    <row r="616" spans="1:7" x14ac:dyDescent="0.3">
      <c r="A616" t="s">
        <v>146</v>
      </c>
      <c r="B616" t="s">
        <v>27</v>
      </c>
      <c r="C616">
        <v>1</v>
      </c>
      <c r="D616">
        <v>2</v>
      </c>
      <c r="E616">
        <v>1.1000000000000001</v>
      </c>
      <c r="F616">
        <v>3.5</v>
      </c>
    </row>
    <row r="617" spans="1:7" x14ac:dyDescent="0.3">
      <c r="A617" t="s">
        <v>146</v>
      </c>
      <c r="B617" t="s">
        <v>37</v>
      </c>
      <c r="C617">
        <v>1</v>
      </c>
      <c r="D617">
        <v>5.0999999999999996</v>
      </c>
      <c r="E617">
        <v>1.9</v>
      </c>
      <c r="F617">
        <v>13.5</v>
      </c>
    </row>
    <row r="618" spans="1:7" s="4" customFormat="1" x14ac:dyDescent="0.3">
      <c r="A618" s="4" t="s">
        <v>140</v>
      </c>
      <c r="B618" s="4" t="s">
        <v>5</v>
      </c>
      <c r="C618" s="4">
        <v>1</v>
      </c>
      <c r="D618" s="4">
        <v>1.02</v>
      </c>
    </row>
    <row r="619" spans="1:7" s="4" customFormat="1" x14ac:dyDescent="0.3">
      <c r="A619" s="4" t="s">
        <v>140</v>
      </c>
      <c r="B619" s="4" t="s">
        <v>22</v>
      </c>
      <c r="C619" s="4">
        <v>11</v>
      </c>
      <c r="D619" s="4">
        <v>0</v>
      </c>
    </row>
    <row r="620" spans="1:7" s="4" customFormat="1" x14ac:dyDescent="0.3">
      <c r="A620" s="4" t="s">
        <v>140</v>
      </c>
      <c r="B620" s="4" t="s">
        <v>139</v>
      </c>
      <c r="C620" s="4">
        <v>2</v>
      </c>
      <c r="D620" s="4">
        <v>0.96</v>
      </c>
      <c r="E620" s="4">
        <v>0.72</v>
      </c>
      <c r="F620" s="4">
        <v>1.29</v>
      </c>
    </row>
    <row r="621" spans="1:7" s="4" customFormat="1" x14ac:dyDescent="0.3">
      <c r="A621" s="4" t="s">
        <v>140</v>
      </c>
      <c r="B621" s="4" t="s">
        <v>27</v>
      </c>
      <c r="C621" s="4">
        <v>2</v>
      </c>
      <c r="D621" s="4">
        <f>1/0.92</f>
        <v>1.0869565217391304</v>
      </c>
      <c r="E621" s="4">
        <f>1/1.53</f>
        <v>0.65359477124183007</v>
      </c>
      <c r="F621" s="4">
        <f>1/0.56</f>
        <v>1.7857142857142856</v>
      </c>
    </row>
    <row r="622" spans="1:7" s="4" customFormat="1" x14ac:dyDescent="0.3">
      <c r="A622" s="4" t="s">
        <v>140</v>
      </c>
      <c r="B622" s="4" t="s">
        <v>37</v>
      </c>
      <c r="C622" s="4">
        <v>1</v>
      </c>
      <c r="D622" s="4">
        <f>1/0.46</f>
        <v>2.1739130434782608</v>
      </c>
      <c r="E622" s="4">
        <f>1/0.72</f>
        <v>1.3888888888888888</v>
      </c>
      <c r="F622" s="4">
        <f>1/0.29</f>
        <v>3.4482758620689657</v>
      </c>
    </row>
    <row r="623" spans="1:7" s="4" customFormat="1" x14ac:dyDescent="0.3">
      <c r="A623" s="4" t="s">
        <v>140</v>
      </c>
      <c r="B623" s="4" t="s">
        <v>17</v>
      </c>
      <c r="C623" s="4">
        <v>1</v>
      </c>
      <c r="D623" s="4">
        <f>(1/0.53)^(1/(2002-1996.5))</f>
        <v>1.1223586553213274</v>
      </c>
    </row>
    <row r="624" spans="1:7" s="4" customFormat="1" x14ac:dyDescent="0.3">
      <c r="A624" s="4" t="s">
        <v>140</v>
      </c>
      <c r="B624" s="4" t="s">
        <v>18</v>
      </c>
      <c r="C624" s="4">
        <v>1</v>
      </c>
      <c r="D624" s="4">
        <f>EXP(LN(1.38)-LN(0.77))</f>
        <v>1.7922077922077919</v>
      </c>
      <c r="E624" s="4">
        <f>2.08/1.31</f>
        <v>1.5877862595419847</v>
      </c>
      <c r="F624" s="4">
        <f>0.91/0.45</f>
        <v>2.0222222222222221</v>
      </c>
    </row>
    <row r="625" spans="1:7" x14ac:dyDescent="0.3">
      <c r="A625" t="s">
        <v>247</v>
      </c>
      <c r="B625" t="s">
        <v>5</v>
      </c>
      <c r="C625">
        <v>1</v>
      </c>
      <c r="D625">
        <v>1.03</v>
      </c>
    </row>
    <row r="626" spans="1:7" x14ac:dyDescent="0.3">
      <c r="A626" t="s">
        <v>247</v>
      </c>
      <c r="B626" t="s">
        <v>37</v>
      </c>
      <c r="C626">
        <v>1</v>
      </c>
      <c r="D626">
        <v>4.2</v>
      </c>
      <c r="E626">
        <v>3.1</v>
      </c>
      <c r="F626">
        <v>5.8</v>
      </c>
    </row>
    <row r="627" spans="1:7" x14ac:dyDescent="0.3">
      <c r="A627" t="s">
        <v>247</v>
      </c>
      <c r="B627" t="s">
        <v>7</v>
      </c>
      <c r="C627">
        <v>1</v>
      </c>
      <c r="D627">
        <v>2</v>
      </c>
      <c r="E627">
        <v>1.6</v>
      </c>
      <c r="F627">
        <v>2.6</v>
      </c>
      <c r="G627" t="s">
        <v>275</v>
      </c>
    </row>
    <row r="628" spans="1:7" x14ac:dyDescent="0.3">
      <c r="A628" t="s">
        <v>247</v>
      </c>
      <c r="B628" t="s">
        <v>69</v>
      </c>
      <c r="C628">
        <v>1</v>
      </c>
      <c r="D628">
        <v>0.4</v>
      </c>
      <c r="E628">
        <v>0.2</v>
      </c>
      <c r="F628">
        <v>0.7</v>
      </c>
    </row>
    <row r="629" spans="1:7" x14ac:dyDescent="0.3">
      <c r="A629" t="s">
        <v>247</v>
      </c>
      <c r="B629" t="s">
        <v>23</v>
      </c>
      <c r="C629">
        <v>1</v>
      </c>
      <c r="D629">
        <v>3.8</v>
      </c>
      <c r="E629">
        <v>2.9</v>
      </c>
      <c r="F629">
        <v>4.9000000000000004</v>
      </c>
    </row>
    <row r="630" spans="1:7" x14ac:dyDescent="0.3">
      <c r="A630" t="s">
        <v>247</v>
      </c>
      <c r="B630" t="s">
        <v>195</v>
      </c>
      <c r="C630">
        <v>1</v>
      </c>
      <c r="D630">
        <v>2.2999999999999998</v>
      </c>
      <c r="E630">
        <v>1.6</v>
      </c>
      <c r="F630">
        <v>3.3</v>
      </c>
    </row>
    <row r="631" spans="1:7" s="4" customFormat="1" x14ac:dyDescent="0.3">
      <c r="A631" s="4" t="s">
        <v>226</v>
      </c>
      <c r="B631" s="4" t="s">
        <v>155</v>
      </c>
      <c r="C631" s="4">
        <v>11</v>
      </c>
      <c r="D631" s="4">
        <v>0</v>
      </c>
    </row>
    <row r="632" spans="1:7" s="4" customFormat="1" x14ac:dyDescent="0.3">
      <c r="A632" s="4" t="s">
        <v>226</v>
      </c>
      <c r="B632" s="4" t="s">
        <v>38</v>
      </c>
      <c r="C632" s="4">
        <v>1</v>
      </c>
      <c r="D632" s="4">
        <v>7.3</v>
      </c>
      <c r="E632" s="4">
        <v>2.2999999999999998</v>
      </c>
      <c r="F632" s="4">
        <v>22.9</v>
      </c>
    </row>
    <row r="633" spans="1:7" x14ac:dyDescent="0.3">
      <c r="A633" t="s">
        <v>219</v>
      </c>
      <c r="B633" t="s">
        <v>5</v>
      </c>
      <c r="C633">
        <v>11</v>
      </c>
      <c r="D633">
        <v>0</v>
      </c>
    </row>
    <row r="634" spans="1:7" x14ac:dyDescent="0.3">
      <c r="A634" t="s">
        <v>219</v>
      </c>
      <c r="B634" t="s">
        <v>22</v>
      </c>
      <c r="C634">
        <v>11</v>
      </c>
      <c r="D634">
        <v>0</v>
      </c>
    </row>
    <row r="635" spans="1:7" x14ac:dyDescent="0.3">
      <c r="A635" t="s">
        <v>219</v>
      </c>
      <c r="B635" t="s">
        <v>165</v>
      </c>
      <c r="C635">
        <v>11</v>
      </c>
      <c r="D635">
        <v>0</v>
      </c>
    </row>
    <row r="636" spans="1:7" x14ac:dyDescent="0.3">
      <c r="A636" t="s">
        <v>219</v>
      </c>
      <c r="B636" t="s">
        <v>37</v>
      </c>
      <c r="C636">
        <v>2</v>
      </c>
      <c r="D636">
        <f>1/0.62</f>
        <v>1.6129032258064517</v>
      </c>
      <c r="E636">
        <f>1/1.25</f>
        <v>0.8</v>
      </c>
      <c r="F636">
        <f>1/0.31</f>
        <v>3.2258064516129035</v>
      </c>
    </row>
    <row r="637" spans="1:7" x14ac:dyDescent="0.3">
      <c r="A637" t="s">
        <v>219</v>
      </c>
      <c r="B637" t="s">
        <v>7</v>
      </c>
      <c r="C637">
        <v>11</v>
      </c>
      <c r="D637">
        <v>0</v>
      </c>
    </row>
    <row r="638" spans="1:7" s="4" customFormat="1" x14ac:dyDescent="0.3">
      <c r="A638" s="4" t="s">
        <v>124</v>
      </c>
      <c r="B638" s="4" t="s">
        <v>5</v>
      </c>
      <c r="C638" s="4">
        <v>1</v>
      </c>
      <c r="D638" s="4">
        <v>1.03</v>
      </c>
    </row>
    <row r="639" spans="1:7" s="4" customFormat="1" x14ac:dyDescent="0.3">
      <c r="A639" s="4" t="s">
        <v>124</v>
      </c>
      <c r="B639" s="4" t="s">
        <v>167</v>
      </c>
      <c r="C639" s="4">
        <v>1</v>
      </c>
      <c r="D639" s="4">
        <v>1.4</v>
      </c>
      <c r="E639" s="4">
        <v>1.2</v>
      </c>
      <c r="F639" s="4">
        <v>1.8</v>
      </c>
      <c r="G639" s="4" t="s">
        <v>297</v>
      </c>
    </row>
    <row r="640" spans="1:7" s="4" customFormat="1" x14ac:dyDescent="0.3">
      <c r="A640" s="4" t="s">
        <v>124</v>
      </c>
      <c r="B640" s="4" t="s">
        <v>165</v>
      </c>
      <c r="C640" s="4">
        <v>1</v>
      </c>
      <c r="D640" s="4">
        <v>1.4</v>
      </c>
      <c r="E640" s="4">
        <v>1.3</v>
      </c>
      <c r="F640" s="4">
        <v>1.6</v>
      </c>
    </row>
    <row r="641" spans="1:7" s="4" customFormat="1" x14ac:dyDescent="0.3">
      <c r="A641" s="4" t="s">
        <v>124</v>
      </c>
      <c r="B641" s="4" t="s">
        <v>37</v>
      </c>
      <c r="C641" s="4">
        <v>1</v>
      </c>
      <c r="D641" s="4">
        <v>4</v>
      </c>
      <c r="E641" s="4">
        <v>3.1</v>
      </c>
      <c r="F641" s="4">
        <v>5.0999999999999996</v>
      </c>
    </row>
    <row r="642" spans="1:7" s="4" customFormat="1" x14ac:dyDescent="0.3">
      <c r="A642" s="4" t="s">
        <v>124</v>
      </c>
      <c r="B642" s="4" t="s">
        <v>7</v>
      </c>
      <c r="C642" s="4">
        <v>1</v>
      </c>
      <c r="D642" s="4">
        <v>2.9</v>
      </c>
      <c r="E642" s="4">
        <v>2.1</v>
      </c>
      <c r="F642" s="4">
        <v>3.6</v>
      </c>
      <c r="G642" s="4" t="s">
        <v>275</v>
      </c>
    </row>
    <row r="643" spans="1:7" s="4" customFormat="1" x14ac:dyDescent="0.3">
      <c r="A643" s="4" t="s">
        <v>124</v>
      </c>
      <c r="B643" s="4" t="s">
        <v>6</v>
      </c>
      <c r="C643" s="4">
        <v>1</v>
      </c>
      <c r="D643" s="4">
        <v>1.4</v>
      </c>
      <c r="E643" s="4">
        <v>1.1000000000000001</v>
      </c>
      <c r="F643" s="4">
        <v>1.8</v>
      </c>
    </row>
    <row r="644" spans="1:7" s="4" customFormat="1" x14ac:dyDescent="0.3">
      <c r="A644" s="4" t="s">
        <v>124</v>
      </c>
      <c r="B644" s="4" t="s">
        <v>17</v>
      </c>
      <c r="C644" s="4">
        <v>1</v>
      </c>
      <c r="D644" s="4">
        <f>1.2^(1/9.5)</f>
        <v>1.0193770881176922</v>
      </c>
      <c r="E644" s="4">
        <f>1^(1/9.5)</f>
        <v>1</v>
      </c>
      <c r="F644" s="4">
        <f>1.4^(1/9.5)</f>
        <v>1.0360528231879826</v>
      </c>
    </row>
    <row r="645" spans="1:7" s="4" customFormat="1" x14ac:dyDescent="0.3">
      <c r="A645" s="4" t="s">
        <v>124</v>
      </c>
      <c r="B645" s="4" t="s">
        <v>23</v>
      </c>
      <c r="C645" s="4">
        <v>1</v>
      </c>
      <c r="D645" s="4">
        <v>6.3</v>
      </c>
      <c r="E645" s="4">
        <v>4.3</v>
      </c>
      <c r="F645" s="4">
        <v>9.1999999999999993</v>
      </c>
    </row>
    <row r="646" spans="1:7" x14ac:dyDescent="0.3">
      <c r="A646" t="s">
        <v>245</v>
      </c>
      <c r="B646" t="s">
        <v>5</v>
      </c>
      <c r="C646">
        <v>1</v>
      </c>
      <c r="D646">
        <v>1.03</v>
      </c>
    </row>
    <row r="647" spans="1:7" x14ac:dyDescent="0.3">
      <c r="A647" t="s">
        <v>245</v>
      </c>
      <c r="B647" t="s">
        <v>70</v>
      </c>
      <c r="C647">
        <v>1</v>
      </c>
      <c r="D647">
        <v>0.9</v>
      </c>
      <c r="E647" s="4">
        <v>0.68</v>
      </c>
      <c r="F647" s="4">
        <v>1.18</v>
      </c>
    </row>
    <row r="648" spans="1:7" x14ac:dyDescent="0.3">
      <c r="A648" t="s">
        <v>245</v>
      </c>
      <c r="B648" t="s">
        <v>22</v>
      </c>
      <c r="C648">
        <v>1</v>
      </c>
      <c r="D648">
        <v>1.1499999999999999</v>
      </c>
    </row>
    <row r="649" spans="1:7" x14ac:dyDescent="0.3">
      <c r="A649" t="s">
        <v>245</v>
      </c>
      <c r="B649" t="s">
        <v>167</v>
      </c>
      <c r="C649">
        <v>9</v>
      </c>
      <c r="D649">
        <v>0</v>
      </c>
    </row>
    <row r="650" spans="1:7" x14ac:dyDescent="0.3">
      <c r="A650" t="s">
        <v>245</v>
      </c>
      <c r="B650" t="s">
        <v>215</v>
      </c>
      <c r="C650">
        <v>2</v>
      </c>
      <c r="D650">
        <v>1</v>
      </c>
      <c r="E650">
        <v>0.75</v>
      </c>
      <c r="F650">
        <v>1.34</v>
      </c>
    </row>
    <row r="651" spans="1:7" x14ac:dyDescent="0.3">
      <c r="A651" t="s">
        <v>245</v>
      </c>
      <c r="B651" t="s">
        <v>204</v>
      </c>
      <c r="C651">
        <v>1</v>
      </c>
      <c r="D651">
        <v>1.59</v>
      </c>
      <c r="E651">
        <v>1.01</v>
      </c>
      <c r="F651">
        <v>2.4900000000000002</v>
      </c>
    </row>
    <row r="652" spans="1:7" x14ac:dyDescent="0.3">
      <c r="A652" t="s">
        <v>245</v>
      </c>
      <c r="B652" t="s">
        <v>165</v>
      </c>
      <c r="C652">
        <v>2</v>
      </c>
      <c r="D652">
        <f>1/0.9</f>
        <v>1.1111111111111112</v>
      </c>
      <c r="E652">
        <f>1/1.02</f>
        <v>0.98039215686274506</v>
      </c>
      <c r="F652">
        <f>1/0.79</f>
        <v>1.2658227848101264</v>
      </c>
    </row>
    <row r="653" spans="1:7" x14ac:dyDescent="0.3">
      <c r="A653" t="s">
        <v>245</v>
      </c>
      <c r="B653" t="s">
        <v>139</v>
      </c>
      <c r="C653">
        <v>1</v>
      </c>
      <c r="D653">
        <f>1.46/0.79</f>
        <v>1.8481012658227847</v>
      </c>
    </row>
    <row r="654" spans="1:7" x14ac:dyDescent="0.3">
      <c r="A654" t="s">
        <v>245</v>
      </c>
      <c r="B654" t="s">
        <v>27</v>
      </c>
      <c r="C654">
        <v>1</v>
      </c>
      <c r="D654">
        <v>1.59</v>
      </c>
    </row>
    <row r="655" spans="1:7" x14ac:dyDescent="0.3">
      <c r="A655" t="s">
        <v>245</v>
      </c>
      <c r="B655" t="s">
        <v>37</v>
      </c>
      <c r="C655">
        <v>1</v>
      </c>
      <c r="D655">
        <f>1/0.68</f>
        <v>1.4705882352941175</v>
      </c>
    </row>
    <row r="656" spans="1:7" x14ac:dyDescent="0.3">
      <c r="A656" t="s">
        <v>245</v>
      </c>
      <c r="B656" t="s">
        <v>21</v>
      </c>
      <c r="C656">
        <v>1</v>
      </c>
      <c r="D656">
        <v>2.19</v>
      </c>
      <c r="E656">
        <v>1.33</v>
      </c>
      <c r="F656">
        <v>3.59</v>
      </c>
    </row>
    <row r="657" spans="1:6" x14ac:dyDescent="0.3">
      <c r="A657" t="s">
        <v>245</v>
      </c>
      <c r="B657" t="s">
        <v>26</v>
      </c>
      <c r="C657">
        <v>2</v>
      </c>
      <c r="D657">
        <f>1/0.92</f>
        <v>1.0869565217391304</v>
      </c>
      <c r="E657">
        <f>1/1.14</f>
        <v>0.87719298245614041</v>
      </c>
      <c r="F657">
        <f>1/0.75</f>
        <v>1.3333333333333333</v>
      </c>
    </row>
    <row r="658" spans="1:6" x14ac:dyDescent="0.3">
      <c r="A658" t="s">
        <v>245</v>
      </c>
      <c r="B658" t="s">
        <v>193</v>
      </c>
      <c r="C658">
        <v>1</v>
      </c>
      <c r="D658">
        <v>1.21</v>
      </c>
      <c r="E658">
        <v>1.04</v>
      </c>
      <c r="F658">
        <v>1.42</v>
      </c>
    </row>
    <row r="659" spans="1:6" x14ac:dyDescent="0.3">
      <c r="A659" t="s">
        <v>245</v>
      </c>
      <c r="B659" t="s">
        <v>7</v>
      </c>
      <c r="C659">
        <v>9</v>
      </c>
      <c r="D659">
        <v>0</v>
      </c>
    </row>
    <row r="660" spans="1:6" x14ac:dyDescent="0.3">
      <c r="A660" t="s">
        <v>245</v>
      </c>
      <c r="B660" t="s">
        <v>6</v>
      </c>
      <c r="C660">
        <v>1</v>
      </c>
      <c r="D660">
        <f>1.03/0.78</f>
        <v>1.3205128205128205</v>
      </c>
      <c r="E660">
        <f>0.76/0.62</f>
        <v>1.2258064516129032</v>
      </c>
      <c r="F660">
        <f>1.41/0.99</f>
        <v>1.4242424242424241</v>
      </c>
    </row>
    <row r="661" spans="1:6" x14ac:dyDescent="0.3">
      <c r="A661" t="s">
        <v>245</v>
      </c>
      <c r="B661" t="s">
        <v>69</v>
      </c>
      <c r="C661">
        <v>1</v>
      </c>
      <c r="D661">
        <v>1.53</v>
      </c>
      <c r="E661">
        <v>1.06</v>
      </c>
      <c r="F661">
        <v>2.21</v>
      </c>
    </row>
    <row r="662" spans="1:6" x14ac:dyDescent="0.3">
      <c r="A662" t="s">
        <v>245</v>
      </c>
      <c r="B662" t="s">
        <v>17</v>
      </c>
      <c r="C662">
        <v>1</v>
      </c>
      <c r="D662">
        <v>1.08</v>
      </c>
    </row>
    <row r="663" spans="1:6" x14ac:dyDescent="0.3">
      <c r="A663" t="s">
        <v>245</v>
      </c>
      <c r="B663" t="s">
        <v>110</v>
      </c>
      <c r="C663">
        <v>2</v>
      </c>
      <c r="D663">
        <f>1.05/0.77</f>
        <v>1.3636363636363638</v>
      </c>
    </row>
    <row r="664" spans="1:6" x14ac:dyDescent="0.3">
      <c r="A664" t="s">
        <v>245</v>
      </c>
      <c r="B664" t="s">
        <v>18</v>
      </c>
      <c r="C664">
        <v>1</v>
      </c>
      <c r="D664">
        <f>1/0.78</f>
        <v>1.2820512820512819</v>
      </c>
      <c r="E664">
        <f>1/1.04</f>
        <v>0.96153846153846145</v>
      </c>
      <c r="F664">
        <f>1/0.59</f>
        <v>1.6949152542372883</v>
      </c>
    </row>
    <row r="665" spans="1:6" x14ac:dyDescent="0.3">
      <c r="A665" t="s">
        <v>245</v>
      </c>
      <c r="B665" t="s">
        <v>199</v>
      </c>
      <c r="C665">
        <v>2</v>
      </c>
      <c r="D665">
        <f>1/0.96</f>
        <v>1.0416666666666667</v>
      </c>
      <c r="E665">
        <f>1/1.16</f>
        <v>0.86206896551724144</v>
      </c>
      <c r="F665">
        <f>1/0.8</f>
        <v>1.25</v>
      </c>
    </row>
    <row r="666" spans="1:6" x14ac:dyDescent="0.3">
      <c r="A666" t="s">
        <v>245</v>
      </c>
      <c r="B666" t="s">
        <v>200</v>
      </c>
      <c r="C666">
        <v>1</v>
      </c>
      <c r="D666">
        <v>1.73</v>
      </c>
      <c r="E666">
        <v>1.08</v>
      </c>
      <c r="F666">
        <v>2.77</v>
      </c>
    </row>
    <row r="667" spans="1:6" x14ac:dyDescent="0.3">
      <c r="A667" t="s">
        <v>245</v>
      </c>
      <c r="B667" t="s">
        <v>152</v>
      </c>
      <c r="C667">
        <v>1</v>
      </c>
      <c r="D667">
        <f>1.57/0.8</f>
        <v>1.9624999999999999</v>
      </c>
      <c r="E667">
        <f>1.11/0.59</f>
        <v>1.8813559322033901</v>
      </c>
      <c r="F667">
        <f>2.21/1.1</f>
        <v>2.0090909090909088</v>
      </c>
    </row>
    <row r="668" spans="1:6" x14ac:dyDescent="0.3">
      <c r="A668" t="s">
        <v>245</v>
      </c>
      <c r="B668" t="s">
        <v>68</v>
      </c>
      <c r="C668">
        <v>1</v>
      </c>
      <c r="D668">
        <v>1.01</v>
      </c>
    </row>
    <row r="669" spans="1:6" s="4" customFormat="1" x14ac:dyDescent="0.3">
      <c r="A669" s="4" t="s">
        <v>115</v>
      </c>
      <c r="B669" s="4" t="s">
        <v>5</v>
      </c>
      <c r="C669" s="4">
        <v>1</v>
      </c>
      <c r="D669" s="4">
        <v>1.0349999999999999</v>
      </c>
      <c r="E669" s="4">
        <v>1.028</v>
      </c>
      <c r="F669" s="4">
        <v>1.0429999999999999</v>
      </c>
    </row>
    <row r="670" spans="1:6" s="4" customFormat="1" x14ac:dyDescent="0.3">
      <c r="A670" s="4" t="s">
        <v>115</v>
      </c>
      <c r="B670" s="4" t="s">
        <v>165</v>
      </c>
      <c r="C670" s="4">
        <v>1</v>
      </c>
      <c r="D670" s="4">
        <f>1/0.8</f>
        <v>1.25</v>
      </c>
      <c r="E670" s="4">
        <f>1/0.932</f>
        <v>1.0729613733905579</v>
      </c>
      <c r="F670" s="4">
        <f>1/0.687</f>
        <v>1.4556040756914119</v>
      </c>
    </row>
    <row r="671" spans="1:6" s="4" customFormat="1" x14ac:dyDescent="0.3">
      <c r="A671" s="4" t="s">
        <v>115</v>
      </c>
      <c r="B671" s="4" t="s">
        <v>27</v>
      </c>
      <c r="C671" s="4">
        <v>2</v>
      </c>
      <c r="D671" s="4">
        <f>1/0.876</f>
        <v>1.1415525114155252</v>
      </c>
      <c r="E671" s="4">
        <f>1/1.047</f>
        <v>0.95510983763132762</v>
      </c>
      <c r="F671" s="4">
        <f>1/0.733</f>
        <v>1.3642564802182811</v>
      </c>
    </row>
    <row r="672" spans="1:6" s="4" customFormat="1" x14ac:dyDescent="0.3">
      <c r="A672" s="4" t="s">
        <v>115</v>
      </c>
      <c r="B672" s="4" t="s">
        <v>37</v>
      </c>
      <c r="C672" s="4">
        <v>1</v>
      </c>
      <c r="D672" s="4">
        <f>1/0.461</f>
        <v>2.1691973969631237</v>
      </c>
      <c r="E672" s="4">
        <f>1/0.545</f>
        <v>1.8348623853211008</v>
      </c>
      <c r="F672" s="4">
        <f>1/0.389</f>
        <v>2.5706940874035991</v>
      </c>
    </row>
    <row r="673" spans="1:6" s="4" customFormat="1" x14ac:dyDescent="0.3">
      <c r="A673" s="4" t="s">
        <v>115</v>
      </c>
      <c r="B673" s="4" t="s">
        <v>26</v>
      </c>
      <c r="C673" s="4">
        <v>2</v>
      </c>
      <c r="D673" s="4">
        <v>0.91300000000000003</v>
      </c>
      <c r="E673" s="4">
        <v>0.60499999999999998</v>
      </c>
      <c r="F673" s="4">
        <v>1.337</v>
      </c>
    </row>
    <row r="674" spans="1:6" s="4" customFormat="1" x14ac:dyDescent="0.3">
      <c r="A674" s="4" t="s">
        <v>115</v>
      </c>
      <c r="B674" s="4" t="s">
        <v>7</v>
      </c>
      <c r="C674" s="4">
        <v>9</v>
      </c>
      <c r="D674" s="4">
        <v>0</v>
      </c>
    </row>
    <row r="675" spans="1:6" s="4" customFormat="1" x14ac:dyDescent="0.3">
      <c r="A675" s="4" t="s">
        <v>115</v>
      </c>
      <c r="B675" s="4" t="s">
        <v>155</v>
      </c>
      <c r="C675" s="4">
        <v>1</v>
      </c>
      <c r="D675" s="4">
        <v>8.9920000000000009</v>
      </c>
      <c r="E675" s="4">
        <v>7.1390000000000002</v>
      </c>
      <c r="F675" s="4">
        <v>11.326000000000001</v>
      </c>
    </row>
    <row r="676" spans="1:6" s="4" customFormat="1" x14ac:dyDescent="0.3">
      <c r="A676" s="4" t="s">
        <v>115</v>
      </c>
      <c r="B676" s="4" t="s">
        <v>23</v>
      </c>
      <c r="C676" s="4">
        <v>1</v>
      </c>
      <c r="D676" s="4">
        <v>1.4350000000000001</v>
      </c>
      <c r="E676" s="4">
        <v>1.1259999999999999</v>
      </c>
      <c r="F676" s="4">
        <v>1.83</v>
      </c>
    </row>
    <row r="677" spans="1:6" x14ac:dyDescent="0.3">
      <c r="A677" t="s">
        <v>162</v>
      </c>
      <c r="B677" t="s">
        <v>5</v>
      </c>
      <c r="C677">
        <v>11</v>
      </c>
      <c r="D677">
        <v>0</v>
      </c>
    </row>
    <row r="678" spans="1:6" x14ac:dyDescent="0.3">
      <c r="A678" t="s">
        <v>162</v>
      </c>
      <c r="B678" t="s">
        <v>22</v>
      </c>
      <c r="C678">
        <v>11</v>
      </c>
      <c r="D678">
        <v>0</v>
      </c>
    </row>
    <row r="679" spans="1:6" x14ac:dyDescent="0.3">
      <c r="A679" t="s">
        <v>162</v>
      </c>
      <c r="B679" t="s">
        <v>167</v>
      </c>
      <c r="C679">
        <v>9</v>
      </c>
      <c r="D679">
        <v>0</v>
      </c>
    </row>
    <row r="680" spans="1:6" x14ac:dyDescent="0.3">
      <c r="A680" t="s">
        <v>162</v>
      </c>
      <c r="B680" t="s">
        <v>165</v>
      </c>
      <c r="C680">
        <v>11</v>
      </c>
      <c r="D680">
        <v>0</v>
      </c>
    </row>
    <row r="681" spans="1:6" x14ac:dyDescent="0.3">
      <c r="A681" t="s">
        <v>162</v>
      </c>
      <c r="B681" t="s">
        <v>37</v>
      </c>
      <c r="C681">
        <v>1</v>
      </c>
      <c r="D681">
        <v>2.39</v>
      </c>
    </row>
    <row r="682" spans="1:6" x14ac:dyDescent="0.3">
      <c r="A682" t="s">
        <v>162</v>
      </c>
      <c r="B682" t="s">
        <v>7</v>
      </c>
      <c r="C682">
        <v>9</v>
      </c>
      <c r="D682">
        <v>0</v>
      </c>
    </row>
    <row r="683" spans="1:6" s="5" customFormat="1" x14ac:dyDescent="0.3">
      <c r="A683" s="5" t="s">
        <v>145</v>
      </c>
      <c r="B683" s="5" t="s">
        <v>5</v>
      </c>
      <c r="C683" s="5">
        <v>11</v>
      </c>
      <c r="D683" s="5">
        <v>0</v>
      </c>
    </row>
    <row r="684" spans="1:6" s="5" customFormat="1" x14ac:dyDescent="0.3">
      <c r="A684" s="5" t="s">
        <v>145</v>
      </c>
      <c r="B684" s="5" t="s">
        <v>22</v>
      </c>
      <c r="C684" s="5">
        <v>11</v>
      </c>
      <c r="D684" s="5">
        <v>0</v>
      </c>
    </row>
    <row r="685" spans="1:6" s="5" customFormat="1" x14ac:dyDescent="0.3">
      <c r="A685" s="5" t="s">
        <v>145</v>
      </c>
      <c r="B685" s="5" t="s">
        <v>167</v>
      </c>
      <c r="C685" s="5">
        <v>9</v>
      </c>
      <c r="D685" s="5">
        <v>0</v>
      </c>
    </row>
    <row r="686" spans="1:6" s="5" customFormat="1" x14ac:dyDescent="0.3">
      <c r="A686" s="5" t="s">
        <v>145</v>
      </c>
      <c r="B686" s="5" t="s">
        <v>165</v>
      </c>
      <c r="C686" s="5">
        <v>11</v>
      </c>
      <c r="D686" s="5">
        <v>0</v>
      </c>
    </row>
    <row r="687" spans="1:6" s="5" customFormat="1" x14ac:dyDescent="0.3">
      <c r="A687" s="5" t="s">
        <v>145</v>
      </c>
      <c r="B687" s="5" t="s">
        <v>37</v>
      </c>
      <c r="C687" s="5">
        <v>2</v>
      </c>
      <c r="D687" s="5">
        <f>1/0.76</f>
        <v>1.3157894736842106</v>
      </c>
    </row>
    <row r="688" spans="1:6" s="5" customFormat="1" x14ac:dyDescent="0.3">
      <c r="A688" s="5" t="s">
        <v>145</v>
      </c>
      <c r="B688" s="5" t="s">
        <v>7</v>
      </c>
      <c r="C688" s="5">
        <v>9</v>
      </c>
      <c r="D688" s="5">
        <v>0</v>
      </c>
    </row>
    <row r="689" spans="1:6" s="4" customFormat="1" x14ac:dyDescent="0.3">
      <c r="A689" s="4" t="s">
        <v>243</v>
      </c>
      <c r="B689" s="4" t="s">
        <v>5</v>
      </c>
      <c r="C689" s="4">
        <v>1</v>
      </c>
      <c r="D689" s="4">
        <v>1.03</v>
      </c>
    </row>
    <row r="690" spans="1:6" s="4" customFormat="1" x14ac:dyDescent="0.3">
      <c r="A690" s="4" t="s">
        <v>243</v>
      </c>
      <c r="B690" s="4" t="s">
        <v>165</v>
      </c>
      <c r="C690" s="4">
        <v>1</v>
      </c>
      <c r="D690" s="4">
        <f>1/0.69</f>
        <v>1.4492753623188408</v>
      </c>
      <c r="E690" s="4">
        <f>1/0.9</f>
        <v>1.1111111111111112</v>
      </c>
      <c r="F690" s="4">
        <f>1/0.53</f>
        <v>1.8867924528301885</v>
      </c>
    </row>
    <row r="691" spans="1:6" s="4" customFormat="1" x14ac:dyDescent="0.3">
      <c r="A691" s="4" t="s">
        <v>243</v>
      </c>
      <c r="B691" s="4" t="s">
        <v>37</v>
      </c>
      <c r="C691" s="4">
        <v>1</v>
      </c>
      <c r="D691" s="4">
        <v>2.59</v>
      </c>
      <c r="E691" s="4">
        <v>1.32</v>
      </c>
      <c r="F691" s="4">
        <v>5.09</v>
      </c>
    </row>
    <row r="692" spans="1:6" s="4" customFormat="1" x14ac:dyDescent="0.3">
      <c r="A692" s="4" t="s">
        <v>243</v>
      </c>
      <c r="B692" s="4" t="s">
        <v>7</v>
      </c>
      <c r="C692" s="4">
        <v>9</v>
      </c>
      <c r="D692" s="4">
        <v>0</v>
      </c>
    </row>
    <row r="693" spans="1:6" s="4" customFormat="1" x14ac:dyDescent="0.3">
      <c r="A693" s="4" t="s">
        <v>243</v>
      </c>
      <c r="B693" s="4" t="s">
        <v>17</v>
      </c>
      <c r="C693" s="4">
        <v>2</v>
      </c>
      <c r="D693" s="4">
        <f>(1/0.93)^(1/(2012-2006))</f>
        <v>1.0121685571782399</v>
      </c>
      <c r="E693" s="4">
        <f>(1/1.33)^(1/(2012-2006))</f>
        <v>0.9535820333587004</v>
      </c>
      <c r="F693" s="4">
        <f>(1/0.65)^(1/(2012-2006))</f>
        <v>1.0744373752175225</v>
      </c>
    </row>
    <row r="694" spans="1:6" s="4" customFormat="1" x14ac:dyDescent="0.3">
      <c r="A694" s="4" t="s">
        <v>243</v>
      </c>
      <c r="B694" s="4" t="s">
        <v>195</v>
      </c>
      <c r="C694" s="4">
        <v>1</v>
      </c>
      <c r="D694" s="4">
        <v>3.47</v>
      </c>
      <c r="E694" s="4">
        <v>1.34</v>
      </c>
      <c r="F694" s="4">
        <v>8.98</v>
      </c>
    </row>
    <row r="695" spans="1:6" x14ac:dyDescent="0.3">
      <c r="A695" t="s">
        <v>74</v>
      </c>
      <c r="B695" t="s">
        <v>5</v>
      </c>
      <c r="C695">
        <v>11</v>
      </c>
      <c r="D695">
        <v>0</v>
      </c>
    </row>
    <row r="696" spans="1:6" x14ac:dyDescent="0.3">
      <c r="A696" t="s">
        <v>74</v>
      </c>
      <c r="B696" t="s">
        <v>22</v>
      </c>
      <c r="C696">
        <v>11</v>
      </c>
      <c r="D696">
        <v>0</v>
      </c>
    </row>
    <row r="697" spans="1:6" x14ac:dyDescent="0.3">
      <c r="A697" t="s">
        <v>74</v>
      </c>
      <c r="B697" t="s">
        <v>165</v>
      </c>
      <c r="C697">
        <v>11</v>
      </c>
      <c r="D697">
        <v>0</v>
      </c>
    </row>
    <row r="698" spans="1:6" x14ac:dyDescent="0.3">
      <c r="A698" t="s">
        <v>74</v>
      </c>
      <c r="B698" t="s">
        <v>37</v>
      </c>
      <c r="C698">
        <v>1</v>
      </c>
      <c r="D698">
        <v>1.528</v>
      </c>
    </row>
    <row r="699" spans="1:6" x14ac:dyDescent="0.3">
      <c r="A699" t="s">
        <v>74</v>
      </c>
      <c r="B699" t="s">
        <v>21</v>
      </c>
      <c r="C699">
        <v>11</v>
      </c>
      <c r="D699">
        <v>0</v>
      </c>
    </row>
    <row r="700" spans="1:6" x14ac:dyDescent="0.3">
      <c r="A700" t="s">
        <v>74</v>
      </c>
      <c r="B700" t="s">
        <v>7</v>
      </c>
      <c r="C700">
        <v>11</v>
      </c>
      <c r="D700">
        <v>0</v>
      </c>
    </row>
    <row r="701" spans="1:6" x14ac:dyDescent="0.3">
      <c r="A701" t="s">
        <v>74</v>
      </c>
      <c r="B701" t="s">
        <v>6</v>
      </c>
      <c r="C701">
        <v>11</v>
      </c>
      <c r="D701">
        <v>0</v>
      </c>
    </row>
    <row r="702" spans="1:6" x14ac:dyDescent="0.3">
      <c r="A702" t="s">
        <v>74</v>
      </c>
      <c r="B702" t="s">
        <v>18</v>
      </c>
      <c r="C702">
        <v>11</v>
      </c>
      <c r="D702">
        <v>0</v>
      </c>
    </row>
    <row r="703" spans="1:6" s="4" customFormat="1" x14ac:dyDescent="0.3">
      <c r="A703" s="4" t="s">
        <v>211</v>
      </c>
      <c r="B703" s="4" t="s">
        <v>5</v>
      </c>
      <c r="C703" s="4">
        <v>11</v>
      </c>
      <c r="D703" s="4">
        <v>0</v>
      </c>
    </row>
    <row r="704" spans="1:6" s="4" customFormat="1" x14ac:dyDescent="0.3">
      <c r="A704" s="4" t="s">
        <v>211</v>
      </c>
      <c r="B704" s="4" t="s">
        <v>22</v>
      </c>
      <c r="C704" s="4">
        <v>11</v>
      </c>
      <c r="D704" s="4">
        <v>0</v>
      </c>
    </row>
    <row r="705" spans="1:6" s="4" customFormat="1" x14ac:dyDescent="0.3">
      <c r="A705" s="4" t="s">
        <v>211</v>
      </c>
      <c r="B705" s="4" t="s">
        <v>215</v>
      </c>
      <c r="C705" s="4">
        <v>11</v>
      </c>
      <c r="D705" s="4">
        <v>0</v>
      </c>
    </row>
    <row r="706" spans="1:6" s="4" customFormat="1" x14ac:dyDescent="0.3">
      <c r="A706" s="4" t="s">
        <v>211</v>
      </c>
      <c r="B706" s="4" t="s">
        <v>165</v>
      </c>
      <c r="C706" s="4">
        <v>11</v>
      </c>
      <c r="D706" s="4">
        <v>0</v>
      </c>
    </row>
    <row r="707" spans="1:6" s="4" customFormat="1" x14ac:dyDescent="0.3">
      <c r="A707" s="4" t="s">
        <v>211</v>
      </c>
      <c r="B707" s="4" t="s">
        <v>37</v>
      </c>
      <c r="C707" s="4">
        <v>1</v>
      </c>
      <c r="D707" s="4">
        <v>1.58</v>
      </c>
    </row>
    <row r="708" spans="1:6" s="4" customFormat="1" x14ac:dyDescent="0.3">
      <c r="A708" s="4" t="s">
        <v>211</v>
      </c>
      <c r="B708" s="4" t="s">
        <v>21</v>
      </c>
      <c r="C708" s="4">
        <v>11</v>
      </c>
      <c r="D708" s="4">
        <v>0</v>
      </c>
    </row>
    <row r="709" spans="1:6" s="4" customFormat="1" x14ac:dyDescent="0.3">
      <c r="A709" s="4" t="s">
        <v>211</v>
      </c>
      <c r="B709" s="4" t="s">
        <v>7</v>
      </c>
      <c r="C709" s="4">
        <v>11</v>
      </c>
      <c r="D709" s="4">
        <v>0</v>
      </c>
    </row>
    <row r="710" spans="1:6" s="4" customFormat="1" x14ac:dyDescent="0.3">
      <c r="A710" s="4" t="s">
        <v>211</v>
      </c>
      <c r="B710" s="4" t="s">
        <v>6</v>
      </c>
      <c r="C710" s="4">
        <v>11</v>
      </c>
      <c r="D710" s="4">
        <v>0</v>
      </c>
    </row>
    <row r="711" spans="1:6" s="4" customFormat="1" x14ac:dyDescent="0.3">
      <c r="A711" s="4" t="s">
        <v>211</v>
      </c>
      <c r="B711" s="4" t="s">
        <v>18</v>
      </c>
      <c r="C711" s="4">
        <v>11</v>
      </c>
      <c r="D711" s="4">
        <v>0</v>
      </c>
    </row>
    <row r="712" spans="1:6" x14ac:dyDescent="0.3">
      <c r="A712" t="s">
        <v>192</v>
      </c>
      <c r="B712" t="s">
        <v>5</v>
      </c>
      <c r="C712">
        <v>1</v>
      </c>
      <c r="D712">
        <v>1.02</v>
      </c>
    </row>
    <row r="713" spans="1:6" x14ac:dyDescent="0.3">
      <c r="A713" t="s">
        <v>192</v>
      </c>
      <c r="B713" t="s">
        <v>70</v>
      </c>
      <c r="C713">
        <v>1</v>
      </c>
      <c r="D713">
        <v>1.71</v>
      </c>
    </row>
    <row r="714" spans="1:6" x14ac:dyDescent="0.3">
      <c r="A714" t="s">
        <v>192</v>
      </c>
      <c r="B714" t="s">
        <v>22</v>
      </c>
      <c r="C714">
        <v>1</v>
      </c>
      <c r="D714">
        <v>1.1299999999999999</v>
      </c>
    </row>
    <row r="715" spans="1:6" x14ac:dyDescent="0.3">
      <c r="A715" t="s">
        <v>192</v>
      </c>
      <c r="B715" t="s">
        <v>215</v>
      </c>
      <c r="C715">
        <v>2</v>
      </c>
      <c r="D715">
        <f>1/0.9</f>
        <v>1.1111111111111112</v>
      </c>
      <c r="E715">
        <f>1/1.36</f>
        <v>0.73529411764705876</v>
      </c>
      <c r="F715">
        <f>1/0.6</f>
        <v>1.6666666666666667</v>
      </c>
    </row>
    <row r="716" spans="1:6" x14ac:dyDescent="0.3">
      <c r="A716" t="s">
        <v>192</v>
      </c>
      <c r="B716" t="s">
        <v>204</v>
      </c>
      <c r="C716">
        <v>2</v>
      </c>
      <c r="D716">
        <f>1/0.78</f>
        <v>1.2820512820512819</v>
      </c>
      <c r="E716">
        <f>1/1.29</f>
        <v>0.77519379844961234</v>
      </c>
      <c r="F716">
        <f>1/0.44</f>
        <v>2.2727272727272729</v>
      </c>
    </row>
    <row r="717" spans="1:6" x14ac:dyDescent="0.3">
      <c r="A717" t="s">
        <v>192</v>
      </c>
      <c r="B717" t="s">
        <v>165</v>
      </c>
      <c r="C717">
        <v>2</v>
      </c>
      <c r="D717">
        <v>1.1200000000000001</v>
      </c>
      <c r="E717">
        <f>1/1.09</f>
        <v>0.9174311926605504</v>
      </c>
      <c r="F717">
        <f>1/0.73</f>
        <v>1.3698630136986301</v>
      </c>
    </row>
    <row r="718" spans="1:6" x14ac:dyDescent="0.3">
      <c r="A718" t="s">
        <v>192</v>
      </c>
      <c r="B718" t="s">
        <v>139</v>
      </c>
      <c r="C718">
        <v>1</v>
      </c>
      <c r="D718">
        <v>1.25</v>
      </c>
      <c r="E718">
        <f>1/1.1</f>
        <v>0.90909090909090906</v>
      </c>
      <c r="F718">
        <f>1/0.59</f>
        <v>1.6949152542372883</v>
      </c>
    </row>
    <row r="719" spans="1:6" x14ac:dyDescent="0.3">
      <c r="A719" t="s">
        <v>192</v>
      </c>
      <c r="B719" t="s">
        <v>37</v>
      </c>
      <c r="C719">
        <v>1</v>
      </c>
      <c r="D719">
        <v>1.98</v>
      </c>
    </row>
    <row r="720" spans="1:6" x14ac:dyDescent="0.3">
      <c r="A720" t="s">
        <v>192</v>
      </c>
      <c r="B720" t="s">
        <v>21</v>
      </c>
      <c r="C720">
        <v>2</v>
      </c>
      <c r="D720">
        <v>1.42</v>
      </c>
      <c r="E720">
        <v>0.61</v>
      </c>
      <c r="F720">
        <v>3.25</v>
      </c>
    </row>
    <row r="721" spans="1:6" x14ac:dyDescent="0.3">
      <c r="A721" t="s">
        <v>192</v>
      </c>
      <c r="B721" t="s">
        <v>193</v>
      </c>
      <c r="C721">
        <v>2</v>
      </c>
      <c r="D721">
        <v>1.35</v>
      </c>
      <c r="E721">
        <f>1/1.28</f>
        <v>0.78125</v>
      </c>
      <c r="F721">
        <f>1/0.43</f>
        <v>2.3255813953488373</v>
      </c>
    </row>
    <row r="722" spans="1:6" x14ac:dyDescent="0.3">
      <c r="A722" t="s">
        <v>192</v>
      </c>
      <c r="B722" t="s">
        <v>7</v>
      </c>
      <c r="C722">
        <v>1</v>
      </c>
      <c r="D722">
        <v>1.77</v>
      </c>
      <c r="E722">
        <v>1.24</v>
      </c>
      <c r="F722">
        <v>2.5</v>
      </c>
    </row>
    <row r="723" spans="1:6" x14ac:dyDescent="0.3">
      <c r="A723" t="s">
        <v>192</v>
      </c>
      <c r="B723" t="s">
        <v>6</v>
      </c>
      <c r="C723">
        <v>1</v>
      </c>
      <c r="D723">
        <v>2.1800000000000002</v>
      </c>
      <c r="E723">
        <f>1/0.97</f>
        <v>1.0309278350515465</v>
      </c>
      <c r="F723">
        <f>1/0.21</f>
        <v>4.7619047619047619</v>
      </c>
    </row>
    <row r="724" spans="1:6" x14ac:dyDescent="0.3">
      <c r="A724" t="s">
        <v>192</v>
      </c>
      <c r="B724" t="s">
        <v>69</v>
      </c>
      <c r="C724">
        <v>1</v>
      </c>
      <c r="D724">
        <v>8.64</v>
      </c>
    </row>
    <row r="725" spans="1:6" x14ac:dyDescent="0.3">
      <c r="A725" t="s">
        <v>192</v>
      </c>
      <c r="B725" t="s">
        <v>17</v>
      </c>
      <c r="C725">
        <v>2</v>
      </c>
      <c r="D725">
        <v>1.02</v>
      </c>
    </row>
    <row r="726" spans="1:6" x14ac:dyDescent="0.3">
      <c r="A726" t="s">
        <v>192</v>
      </c>
      <c r="B726" t="s">
        <v>18</v>
      </c>
      <c r="C726">
        <v>1</v>
      </c>
      <c r="D726">
        <f>1/0.58</f>
        <v>1.7241379310344829</v>
      </c>
      <c r="E726">
        <f>1/0.88</f>
        <v>1.1363636363636365</v>
      </c>
      <c r="F726">
        <f>1/0.39</f>
        <v>2.5641025641025639</v>
      </c>
    </row>
    <row r="727" spans="1:6" x14ac:dyDescent="0.3">
      <c r="A727" t="s">
        <v>192</v>
      </c>
      <c r="B727" t="s">
        <v>195</v>
      </c>
      <c r="C727">
        <v>2</v>
      </c>
      <c r="D727">
        <v>1.64</v>
      </c>
    </row>
    <row r="728" spans="1:6" x14ac:dyDescent="0.3">
      <c r="A728" t="s">
        <v>192</v>
      </c>
      <c r="B728" t="s">
        <v>199</v>
      </c>
      <c r="C728">
        <v>2</v>
      </c>
      <c r="D728">
        <f>1/1.23</f>
        <v>0.81300813008130079</v>
      </c>
    </row>
    <row r="729" spans="1:6" x14ac:dyDescent="0.3">
      <c r="A729" t="s">
        <v>192</v>
      </c>
      <c r="B729" t="s">
        <v>200</v>
      </c>
      <c r="C729">
        <v>2</v>
      </c>
      <c r="D729">
        <v>1.1299999999999999</v>
      </c>
    </row>
    <row r="730" spans="1:6" x14ac:dyDescent="0.3">
      <c r="A730" t="s">
        <v>192</v>
      </c>
      <c r="B730" t="s">
        <v>76</v>
      </c>
      <c r="C730">
        <v>2</v>
      </c>
      <c r="D730">
        <f>1.12/0.77</f>
        <v>1.4545454545454546</v>
      </c>
    </row>
    <row r="731" spans="1:6" s="4" customFormat="1" x14ac:dyDescent="0.3">
      <c r="A731" s="4" t="s">
        <v>246</v>
      </c>
      <c r="B731" s="4" t="s">
        <v>5</v>
      </c>
      <c r="C731" s="4">
        <v>1</v>
      </c>
      <c r="D731" s="4">
        <v>1.03</v>
      </c>
    </row>
    <row r="732" spans="1:6" s="4" customFormat="1" x14ac:dyDescent="0.3">
      <c r="A732" s="4" t="s">
        <v>246</v>
      </c>
      <c r="B732" s="4" t="s">
        <v>22</v>
      </c>
      <c r="C732" s="4">
        <v>1</v>
      </c>
      <c r="D732" s="4">
        <v>1.1499999999999999</v>
      </c>
    </row>
    <row r="733" spans="1:6" s="4" customFormat="1" x14ac:dyDescent="0.3">
      <c r="A733" s="4" t="s">
        <v>246</v>
      </c>
      <c r="B733" s="4" t="s">
        <v>165</v>
      </c>
      <c r="C733" s="4">
        <v>1</v>
      </c>
      <c r="D733" s="4">
        <f>1/0.48</f>
        <v>2.0833333333333335</v>
      </c>
      <c r="E733" s="4">
        <f>1/0.62</f>
        <v>1.6129032258064517</v>
      </c>
      <c r="F733" s="4">
        <f>1/0.38</f>
        <v>2.6315789473684212</v>
      </c>
    </row>
    <row r="734" spans="1:6" s="4" customFormat="1" x14ac:dyDescent="0.3">
      <c r="A734" s="4" t="s">
        <v>246</v>
      </c>
      <c r="B734" s="4" t="s">
        <v>27</v>
      </c>
      <c r="C734" s="4">
        <v>2</v>
      </c>
      <c r="D734" s="4">
        <v>1.03</v>
      </c>
      <c r="E734" s="4">
        <v>0.72</v>
      </c>
      <c r="F734" s="4">
        <v>1.47</v>
      </c>
    </row>
    <row r="735" spans="1:6" s="4" customFormat="1" x14ac:dyDescent="0.3">
      <c r="A735" s="4" t="s">
        <v>246</v>
      </c>
      <c r="B735" s="4" t="s">
        <v>37</v>
      </c>
      <c r="C735" s="4">
        <v>1</v>
      </c>
      <c r="D735" s="4">
        <f>1/0.25</f>
        <v>4</v>
      </c>
    </row>
    <row r="736" spans="1:6" s="4" customFormat="1" x14ac:dyDescent="0.3">
      <c r="A736" s="4" t="s">
        <v>246</v>
      </c>
      <c r="B736" s="4" t="s">
        <v>7</v>
      </c>
      <c r="C736" s="4">
        <v>1</v>
      </c>
      <c r="D736" s="4">
        <f>EXP(LN(2)-LN(0.95))</f>
        <v>2.1052631578947367</v>
      </c>
      <c r="E736" s="4">
        <f>0.67/0.71</f>
        <v>0.94366197183098599</v>
      </c>
      <c r="F736" s="4">
        <f>5.98/1.28</f>
        <v>4.671875</v>
      </c>
    </row>
    <row r="737" spans="1:6" x14ac:dyDescent="0.3">
      <c r="A737" t="s">
        <v>236</v>
      </c>
      <c r="B737" t="s">
        <v>5</v>
      </c>
      <c r="C737">
        <v>1</v>
      </c>
      <c r="D737">
        <f>3.09^(1/10)</f>
        <v>1.119427181170775</v>
      </c>
      <c r="E737">
        <f>2.41^(1/10)</f>
        <v>1.091947364059481</v>
      </c>
      <c r="F737">
        <f>3.96^(1/10)</f>
        <v>1.147544454522321</v>
      </c>
    </row>
    <row r="738" spans="1:6" x14ac:dyDescent="0.3">
      <c r="A738" t="s">
        <v>236</v>
      </c>
      <c r="B738" t="s">
        <v>37</v>
      </c>
      <c r="C738">
        <v>1</v>
      </c>
      <c r="D738">
        <v>1.76</v>
      </c>
    </row>
    <row r="739" spans="1:6" x14ac:dyDescent="0.3">
      <c r="A739" t="s">
        <v>236</v>
      </c>
      <c r="B739" t="s">
        <v>23</v>
      </c>
      <c r="C739">
        <v>1</v>
      </c>
      <c r="D739">
        <v>12.9</v>
      </c>
      <c r="E739">
        <v>7.25</v>
      </c>
      <c r="F739">
        <v>22.94</v>
      </c>
    </row>
  </sheetData>
  <sortState xmlns:xlrd2="http://schemas.microsoft.com/office/spreadsheetml/2017/richdata2" ref="A2:F739">
    <sortCondition ref="A2:A739"/>
  </sortState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0D36-4B49-4FC5-8AC0-8897238ADC79}">
  <sheetPr codeName="Tabelle2"/>
  <dimension ref="A1:C60"/>
  <sheetViews>
    <sheetView zoomScale="85" zoomScaleNormal="85" workbookViewId="0">
      <selection activeCell="B65" sqref="B65"/>
    </sheetView>
  </sheetViews>
  <sheetFormatPr baseColWidth="10" defaultRowHeight="14.4" x14ac:dyDescent="0.3"/>
  <cols>
    <col min="1" max="1" width="26.21875" style="2" bestFit="1" customWidth="1"/>
    <col min="2" max="2" width="116.5546875" customWidth="1"/>
  </cols>
  <sheetData>
    <row r="1" spans="1:3" x14ac:dyDescent="0.3">
      <c r="A1" s="2" t="s">
        <v>165</v>
      </c>
      <c r="B1" t="s">
        <v>29</v>
      </c>
    </row>
    <row r="2" spans="1:3" x14ac:dyDescent="0.3">
      <c r="A2" s="2" t="s">
        <v>5</v>
      </c>
      <c r="B2" t="s">
        <v>65</v>
      </c>
    </row>
    <row r="3" spans="1:3" ht="345.6" x14ac:dyDescent="0.3">
      <c r="A3" s="2" t="s">
        <v>167</v>
      </c>
      <c r="B3" s="1" t="s">
        <v>184</v>
      </c>
    </row>
    <row r="4" spans="1:3" ht="273.60000000000002" x14ac:dyDescent="0.3">
      <c r="A4" s="2" t="s">
        <v>7</v>
      </c>
      <c r="B4" s="1" t="s">
        <v>194</v>
      </c>
    </row>
    <row r="5" spans="1:3" x14ac:dyDescent="0.3">
      <c r="A5" s="2" t="s">
        <v>23</v>
      </c>
      <c r="B5" t="s">
        <v>31</v>
      </c>
    </row>
    <row r="6" spans="1:3" ht="28.8" x14ac:dyDescent="0.3">
      <c r="A6" s="2" t="s">
        <v>8</v>
      </c>
      <c r="B6" s="1" t="s">
        <v>32</v>
      </c>
    </row>
    <row r="7" spans="1:3" ht="403.2" x14ac:dyDescent="0.3">
      <c r="A7" s="2" t="s">
        <v>37</v>
      </c>
      <c r="B7" s="1" t="s">
        <v>180</v>
      </c>
    </row>
    <row r="8" spans="1:3" ht="100.8" x14ac:dyDescent="0.3">
      <c r="A8" s="2" t="s">
        <v>17</v>
      </c>
      <c r="B8" s="1" t="s">
        <v>125</v>
      </c>
    </row>
    <row r="9" spans="1:3" x14ac:dyDescent="0.3">
      <c r="A9" s="2" t="s">
        <v>168</v>
      </c>
      <c r="B9" s="1" t="s">
        <v>169</v>
      </c>
    </row>
    <row r="10" spans="1:3" ht="187.2" x14ac:dyDescent="0.3">
      <c r="A10" s="2" t="s">
        <v>21</v>
      </c>
      <c r="B10" s="1" t="s">
        <v>203</v>
      </c>
    </row>
    <row r="11" spans="1:3" ht="158.4" x14ac:dyDescent="0.3">
      <c r="A11" s="2" t="s">
        <v>22</v>
      </c>
      <c r="B11" s="1" t="s">
        <v>98</v>
      </c>
      <c r="C11" t="s">
        <v>30</v>
      </c>
    </row>
    <row r="12" spans="1:3" ht="28.8" x14ac:dyDescent="0.3">
      <c r="A12" s="2" t="s">
        <v>24</v>
      </c>
      <c r="B12" s="1" t="s">
        <v>66</v>
      </c>
    </row>
    <row r="13" spans="1:3" ht="43.2" x14ac:dyDescent="0.3">
      <c r="A13" s="2" t="s">
        <v>25</v>
      </c>
      <c r="B13" s="1" t="s">
        <v>113</v>
      </c>
    </row>
    <row r="14" spans="1:3" x14ac:dyDescent="0.3">
      <c r="A14" s="2" t="s">
        <v>26</v>
      </c>
      <c r="B14" t="s">
        <v>71</v>
      </c>
    </row>
    <row r="15" spans="1:3" ht="158.4" x14ac:dyDescent="0.3">
      <c r="A15" s="2" t="s">
        <v>6</v>
      </c>
      <c r="B15" s="1" t="s">
        <v>198</v>
      </c>
    </row>
    <row r="16" spans="1:3" x14ac:dyDescent="0.3">
      <c r="A16" s="2" t="s">
        <v>20</v>
      </c>
      <c r="B16" t="s">
        <v>182</v>
      </c>
    </row>
    <row r="17" spans="1:2" x14ac:dyDescent="0.3">
      <c r="A17" s="2" t="s">
        <v>19</v>
      </c>
      <c r="B17" t="s">
        <v>182</v>
      </c>
    </row>
    <row r="18" spans="1:2" ht="187.2" x14ac:dyDescent="0.3">
      <c r="A18" s="2" t="s">
        <v>18</v>
      </c>
      <c r="B18" s="1" t="s">
        <v>202</v>
      </c>
    </row>
    <row r="19" spans="1:2" ht="86.4" x14ac:dyDescent="0.3">
      <c r="A19" s="2" t="s">
        <v>27</v>
      </c>
      <c r="B19" s="1" t="s">
        <v>161</v>
      </c>
    </row>
    <row r="20" spans="1:2" ht="72" x14ac:dyDescent="0.3">
      <c r="A20" s="2" t="s">
        <v>38</v>
      </c>
      <c r="B20" s="1" t="s">
        <v>141</v>
      </c>
    </row>
    <row r="21" spans="1:2" ht="57.6" x14ac:dyDescent="0.3">
      <c r="A21" s="2" t="s">
        <v>28</v>
      </c>
      <c r="B21" s="1" t="s">
        <v>147</v>
      </c>
    </row>
    <row r="22" spans="1:2" ht="28.8" x14ac:dyDescent="0.3">
      <c r="A22" s="2" t="s">
        <v>45</v>
      </c>
      <c r="B22" s="1" t="s">
        <v>55</v>
      </c>
    </row>
    <row r="23" spans="1:2" x14ac:dyDescent="0.3">
      <c r="A23" s="2" t="s">
        <v>52</v>
      </c>
      <c r="B23" s="1" t="s">
        <v>47</v>
      </c>
    </row>
    <row r="24" spans="1:2" x14ac:dyDescent="0.3">
      <c r="A24" s="2" t="s">
        <v>49</v>
      </c>
      <c r="B24" s="1" t="s">
        <v>63</v>
      </c>
    </row>
    <row r="25" spans="1:2" x14ac:dyDescent="0.3">
      <c r="A25" s="2" t="s">
        <v>50</v>
      </c>
      <c r="B25" s="1" t="s">
        <v>62</v>
      </c>
    </row>
    <row r="26" spans="1:2" ht="28.8" x14ac:dyDescent="0.3">
      <c r="A26" s="2" t="s">
        <v>51</v>
      </c>
      <c r="B26" s="1" t="s">
        <v>221</v>
      </c>
    </row>
    <row r="27" spans="1:2" x14ac:dyDescent="0.3">
      <c r="A27" s="2" t="s">
        <v>53</v>
      </c>
      <c r="B27" s="1" t="s">
        <v>56</v>
      </c>
    </row>
    <row r="28" spans="1:2" ht="43.2" x14ac:dyDescent="0.3">
      <c r="A28" s="2" t="s">
        <v>41</v>
      </c>
      <c r="B28" s="1" t="s">
        <v>123</v>
      </c>
    </row>
    <row r="29" spans="1:2" ht="28.8" x14ac:dyDescent="0.3">
      <c r="A29" s="2" t="s">
        <v>60</v>
      </c>
      <c r="B29" s="1" t="s">
        <v>67</v>
      </c>
    </row>
    <row r="30" spans="1:2" ht="28.8" x14ac:dyDescent="0.3">
      <c r="A30" s="2" t="s">
        <v>61</v>
      </c>
      <c r="B30" s="1" t="s">
        <v>107</v>
      </c>
    </row>
    <row r="31" spans="1:2" x14ac:dyDescent="0.3">
      <c r="A31" s="2" t="s">
        <v>77</v>
      </c>
      <c r="B31" s="1" t="s">
        <v>78</v>
      </c>
    </row>
    <row r="32" spans="1:2" x14ac:dyDescent="0.3">
      <c r="A32" t="s">
        <v>79</v>
      </c>
      <c r="B32" s="1" t="s">
        <v>80</v>
      </c>
    </row>
    <row r="33" spans="1:2" ht="28.8" x14ac:dyDescent="0.3">
      <c r="A33" t="s">
        <v>87</v>
      </c>
      <c r="B33" s="1" t="s">
        <v>89</v>
      </c>
    </row>
    <row r="34" spans="1:2" x14ac:dyDescent="0.3">
      <c r="A34" s="2" t="s">
        <v>91</v>
      </c>
      <c r="B34" s="1" t="s">
        <v>92</v>
      </c>
    </row>
    <row r="35" spans="1:2" x14ac:dyDescent="0.3">
      <c r="A35" s="2" t="s">
        <v>108</v>
      </c>
      <c r="B35" s="1" t="s">
        <v>109</v>
      </c>
    </row>
    <row r="36" spans="1:2" x14ac:dyDescent="0.3">
      <c r="A36" s="2" t="s">
        <v>110</v>
      </c>
      <c r="B36" s="1" t="s">
        <v>111</v>
      </c>
    </row>
    <row r="37" spans="1:2" ht="28.8" x14ac:dyDescent="0.3">
      <c r="A37" s="2" t="s">
        <v>195</v>
      </c>
      <c r="B37" s="1" t="s">
        <v>196</v>
      </c>
    </row>
    <row r="38" spans="1:2" x14ac:dyDescent="0.3">
      <c r="A38" s="2" t="s">
        <v>120</v>
      </c>
      <c r="B38" s="1" t="s">
        <v>121</v>
      </c>
    </row>
    <row r="39" spans="1:2" x14ac:dyDescent="0.3">
      <c r="A39" s="2" t="s">
        <v>126</v>
      </c>
      <c r="B39" s="1" t="s">
        <v>127</v>
      </c>
    </row>
    <row r="40" spans="1:2" x14ac:dyDescent="0.3">
      <c r="A40" s="2" t="s">
        <v>128</v>
      </c>
      <c r="B40" s="1" t="s">
        <v>135</v>
      </c>
    </row>
    <row r="41" spans="1:2" x14ac:dyDescent="0.3">
      <c r="A41" s="2" t="s">
        <v>129</v>
      </c>
      <c r="B41" s="1" t="s">
        <v>130</v>
      </c>
    </row>
    <row r="42" spans="1:2" ht="57.6" x14ac:dyDescent="0.3">
      <c r="A42" s="2" t="s">
        <v>139</v>
      </c>
      <c r="B42" s="1" t="s">
        <v>230</v>
      </c>
    </row>
    <row r="43" spans="1:2" x14ac:dyDescent="0.3">
      <c r="A43" s="2" t="s">
        <v>152</v>
      </c>
      <c r="B43" s="1" t="s">
        <v>153</v>
      </c>
    </row>
    <row r="44" spans="1:2" ht="28.8" x14ac:dyDescent="0.3">
      <c r="A44" s="2" t="s">
        <v>172</v>
      </c>
      <c r="B44" s="1" t="s">
        <v>174</v>
      </c>
    </row>
    <row r="45" spans="1:2" ht="28.8" x14ac:dyDescent="0.3">
      <c r="A45" s="2" t="s">
        <v>173</v>
      </c>
      <c r="B45" s="1" t="s">
        <v>174</v>
      </c>
    </row>
    <row r="46" spans="1:2" ht="72" x14ac:dyDescent="0.3">
      <c r="A46" s="2" t="s">
        <v>155</v>
      </c>
      <c r="B46" s="1" t="s">
        <v>227</v>
      </c>
    </row>
    <row r="47" spans="1:2" ht="28.8" x14ac:dyDescent="0.3">
      <c r="A47" s="2" t="s">
        <v>186</v>
      </c>
      <c r="B47" s="1" t="s">
        <v>187</v>
      </c>
    </row>
    <row r="48" spans="1:2" ht="28.8" x14ac:dyDescent="0.3">
      <c r="A48" s="2" t="s">
        <v>193</v>
      </c>
      <c r="B48" s="1" t="s">
        <v>207</v>
      </c>
    </row>
    <row r="49" spans="1:2" x14ac:dyDescent="0.3">
      <c r="A49" s="2" t="s">
        <v>76</v>
      </c>
      <c r="B49" s="1" t="s">
        <v>197</v>
      </c>
    </row>
    <row r="50" spans="1:2" ht="28.8" x14ac:dyDescent="0.3">
      <c r="A50" s="2" t="s">
        <v>200</v>
      </c>
      <c r="B50" s="1" t="s">
        <v>208</v>
      </c>
    </row>
    <row r="51" spans="1:2" ht="28.8" x14ac:dyDescent="0.3">
      <c r="A51" s="2" t="s">
        <v>199</v>
      </c>
      <c r="B51" s="3" t="s">
        <v>201</v>
      </c>
    </row>
    <row r="52" spans="1:2" ht="28.8" x14ac:dyDescent="0.3">
      <c r="A52" s="2" t="s">
        <v>204</v>
      </c>
      <c r="B52" s="3" t="s">
        <v>205</v>
      </c>
    </row>
    <row r="53" spans="1:2" x14ac:dyDescent="0.3">
      <c r="A53" s="2" t="s">
        <v>68</v>
      </c>
      <c r="B53" s="3" t="s">
        <v>206</v>
      </c>
    </row>
    <row r="54" spans="1:2" ht="28.8" x14ac:dyDescent="0.3">
      <c r="A54" s="2" t="s">
        <v>209</v>
      </c>
      <c r="B54" s="3" t="s">
        <v>210</v>
      </c>
    </row>
    <row r="55" spans="1:2" ht="43.2" x14ac:dyDescent="0.3">
      <c r="A55" s="2" t="s">
        <v>215</v>
      </c>
      <c r="B55" s="3" t="s">
        <v>218</v>
      </c>
    </row>
    <row r="56" spans="1:2" x14ac:dyDescent="0.3">
      <c r="A56" s="2" t="s">
        <v>213</v>
      </c>
      <c r="B56" s="3" t="s">
        <v>214</v>
      </c>
    </row>
    <row r="57" spans="1:2" ht="28.8" x14ac:dyDescent="0.3">
      <c r="A57" s="2" t="s">
        <v>216</v>
      </c>
      <c r="B57" s="3" t="s">
        <v>217</v>
      </c>
    </row>
    <row r="58" spans="1:2" x14ac:dyDescent="0.3">
      <c r="A58" t="s">
        <v>234</v>
      </c>
      <c r="B58" s="3" t="s">
        <v>223</v>
      </c>
    </row>
    <row r="59" spans="1:2" x14ac:dyDescent="0.3">
      <c r="A59" s="2" t="s">
        <v>222</v>
      </c>
      <c r="B59" s="3" t="s">
        <v>224</v>
      </c>
    </row>
    <row r="60" spans="1:2" x14ac:dyDescent="0.3">
      <c r="A60" s="2" t="s">
        <v>231</v>
      </c>
      <c r="B60" s="3" t="s">
        <v>232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62B0-4EAB-4BCE-968C-2B53DF299CEC}">
  <sheetPr codeName="Tabelle3"/>
  <dimension ref="A1:A20"/>
  <sheetViews>
    <sheetView workbookViewId="0">
      <selection activeCell="A18" sqref="A18"/>
    </sheetView>
  </sheetViews>
  <sheetFormatPr baseColWidth="10" defaultRowHeight="14.4" x14ac:dyDescent="0.3"/>
  <cols>
    <col min="1" max="1" width="181.88671875" bestFit="1" customWidth="1"/>
  </cols>
  <sheetData>
    <row r="1" spans="1:1" x14ac:dyDescent="0.3">
      <c r="A1" t="s">
        <v>33</v>
      </c>
    </row>
    <row r="2" spans="1:1" x14ac:dyDescent="0.3">
      <c r="A2" t="s">
        <v>54</v>
      </c>
    </row>
    <row r="3" spans="1:1" x14ac:dyDescent="0.3">
      <c r="A3" t="s">
        <v>44</v>
      </c>
    </row>
    <row r="4" spans="1:1" x14ac:dyDescent="0.3">
      <c r="A4" t="s">
        <v>34</v>
      </c>
    </row>
    <row r="5" spans="1:1" x14ac:dyDescent="0.3">
      <c r="A5" t="s">
        <v>35</v>
      </c>
    </row>
    <row r="6" spans="1:1" x14ac:dyDescent="0.3">
      <c r="A6" t="s">
        <v>36</v>
      </c>
    </row>
    <row r="7" spans="1:1" x14ac:dyDescent="0.3">
      <c r="A7" t="s">
        <v>42</v>
      </c>
    </row>
    <row r="8" spans="1:1" x14ac:dyDescent="0.3">
      <c r="A8" t="s">
        <v>103</v>
      </c>
    </row>
    <row r="9" spans="1:1" x14ac:dyDescent="0.3">
      <c r="A9" t="s">
        <v>64</v>
      </c>
    </row>
    <row r="10" spans="1:1" x14ac:dyDescent="0.3">
      <c r="A10" t="s">
        <v>72</v>
      </c>
    </row>
    <row r="11" spans="1:1" x14ac:dyDescent="0.3">
      <c r="A11" t="s">
        <v>82</v>
      </c>
    </row>
    <row r="12" spans="1:1" x14ac:dyDescent="0.3">
      <c r="A12" t="s">
        <v>85</v>
      </c>
    </row>
    <row r="13" spans="1:1" x14ac:dyDescent="0.3">
      <c r="A13" t="s">
        <v>88</v>
      </c>
    </row>
    <row r="14" spans="1:1" x14ac:dyDescent="0.3">
      <c r="A14" t="s">
        <v>94</v>
      </c>
    </row>
    <row r="15" spans="1:1" x14ac:dyDescent="0.3">
      <c r="A15" t="s">
        <v>151</v>
      </c>
    </row>
    <row r="16" spans="1:1" x14ac:dyDescent="0.3">
      <c r="A16" t="s">
        <v>99</v>
      </c>
    </row>
    <row r="17" spans="1:1" x14ac:dyDescent="0.3">
      <c r="A17" t="s">
        <v>100</v>
      </c>
    </row>
    <row r="18" spans="1:1" x14ac:dyDescent="0.3">
      <c r="A18" t="s">
        <v>104</v>
      </c>
    </row>
    <row r="19" spans="1:1" x14ac:dyDescent="0.3">
      <c r="A19" t="s">
        <v>117</v>
      </c>
    </row>
    <row r="20" spans="1:1" x14ac:dyDescent="0.3">
      <c r="A20" t="s">
        <v>138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Sheet 1</vt:lpstr>
      <vt:lpstr>Factor explanations</vt:lpstr>
      <vt:lpstr>Annotations</vt:lpstr>
      <vt:lpstr>'Factor explanations'!Zielbereich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</cp:lastModifiedBy>
  <dcterms:created xsi:type="dcterms:W3CDTF">2020-09-22T19:21:14Z</dcterms:created>
  <dcterms:modified xsi:type="dcterms:W3CDTF">2021-10-06T12:19:55Z</dcterms:modified>
</cp:coreProperties>
</file>