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毕业论文程序\MODIS\各个子模块\插补效率[优于插值模块]\"/>
    </mc:Choice>
  </mc:AlternateContent>
  <xr:revisionPtr revIDLastSave="0" documentId="13_ncr:1_{CF638FA6-2E05-48A8-9268-0A813EF6853F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ndvi" sheetId="7" r:id="rId1"/>
    <sheet name="PM" sheetId="2" r:id="rId2"/>
    <sheet name="AOD" sheetId="3" r:id="rId3"/>
    <sheet name="气象" sheetId="4" r:id="rId4"/>
    <sheet name="精度" sheetId="5" r:id="rId5"/>
    <sheet name="广度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8" l="1"/>
  <c r="E27" i="8"/>
  <c r="J20" i="8"/>
  <c r="H6" i="4" l="1"/>
  <c r="F6" i="4"/>
  <c r="M25" i="5"/>
  <c r="K25" i="5"/>
  <c r="H7" i="5"/>
  <c r="F7" i="5"/>
  <c r="G12" i="7" l="1"/>
  <c r="M12" i="7"/>
  <c r="M11" i="7"/>
  <c r="M10" i="7"/>
  <c r="M9" i="7"/>
  <c r="G9" i="7"/>
  <c r="M8" i="7"/>
  <c r="M7" i="7"/>
  <c r="G7" i="7"/>
  <c r="M6" i="7"/>
  <c r="M5" i="7"/>
  <c r="D5" i="7"/>
  <c r="D4" i="7"/>
  <c r="G4" i="7"/>
  <c r="M4" i="7"/>
  <c r="G3" i="7"/>
  <c r="M3" i="7"/>
  <c r="C13" i="7"/>
  <c r="D13" i="7"/>
  <c r="E13" i="7"/>
  <c r="F13" i="7"/>
  <c r="G13" i="7"/>
  <c r="H13" i="7"/>
  <c r="I13" i="7"/>
  <c r="J13" i="7"/>
  <c r="K13" i="7"/>
  <c r="L13" i="7"/>
  <c r="N13" i="7"/>
  <c r="O13" i="7"/>
  <c r="B13" i="7"/>
  <c r="P13" i="7"/>
  <c r="M31" i="3"/>
  <c r="M32" i="3" s="1"/>
  <c r="J31" i="3"/>
  <c r="G31" i="3"/>
  <c r="D31" i="3"/>
  <c r="G12" i="3"/>
  <c r="G13" i="3" s="1"/>
  <c r="D30" i="3"/>
  <c r="G30" i="3"/>
  <c r="J30" i="3"/>
  <c r="M30" i="3"/>
  <c r="D32" i="3"/>
  <c r="C32" i="3"/>
  <c r="E32" i="3"/>
  <c r="F32" i="3"/>
  <c r="G32" i="3"/>
  <c r="H32" i="3"/>
  <c r="I32" i="3"/>
  <c r="J32" i="3"/>
  <c r="K32" i="3"/>
  <c r="L32" i="3"/>
  <c r="N32" i="3"/>
  <c r="O32" i="3"/>
  <c r="B32" i="3"/>
  <c r="M29" i="3"/>
  <c r="J29" i="3"/>
  <c r="G29" i="3"/>
  <c r="M13" i="3"/>
  <c r="G10" i="3"/>
  <c r="C13" i="3"/>
  <c r="D13" i="3"/>
  <c r="E13" i="3"/>
  <c r="F13" i="3"/>
  <c r="H13" i="3"/>
  <c r="I13" i="3"/>
  <c r="J13" i="3"/>
  <c r="K13" i="3"/>
  <c r="L13" i="3"/>
  <c r="N13" i="3"/>
  <c r="O13" i="3"/>
  <c r="P13" i="3"/>
  <c r="B13" i="3"/>
  <c r="G8" i="3"/>
  <c r="G27" i="3"/>
  <c r="D27" i="3"/>
  <c r="M28" i="3"/>
  <c r="J28" i="3"/>
  <c r="G28" i="3"/>
  <c r="D28" i="3"/>
  <c r="G9" i="3"/>
  <c r="M9" i="3"/>
  <c r="M26" i="3"/>
  <c r="J26" i="3"/>
  <c r="D26" i="3"/>
  <c r="M7" i="3"/>
  <c r="G7" i="3"/>
  <c r="M6" i="3"/>
  <c r="G6" i="3"/>
  <c r="M25" i="3"/>
  <c r="J25" i="3"/>
  <c r="D25" i="3"/>
  <c r="D23" i="3"/>
  <c r="G23" i="3"/>
  <c r="J23" i="3"/>
  <c r="M23" i="3"/>
  <c r="G4" i="3"/>
  <c r="M22" i="3"/>
  <c r="D22" i="3"/>
  <c r="M3" i="3"/>
  <c r="G3" i="3"/>
  <c r="J22" i="3"/>
  <c r="G22" i="3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G7" i="2"/>
  <c r="G6" i="2"/>
  <c r="G5" i="2"/>
  <c r="G4" i="2"/>
  <c r="G3" i="2"/>
  <c r="J12" i="2"/>
  <c r="G12" i="2"/>
  <c r="J11" i="2"/>
  <c r="G11" i="2"/>
  <c r="M11" i="2"/>
  <c r="J10" i="2"/>
  <c r="G10" i="2"/>
  <c r="G8" i="2"/>
  <c r="J7" i="2"/>
  <c r="M6" i="2"/>
  <c r="J6" i="2"/>
  <c r="M5" i="2"/>
  <c r="M3" i="2"/>
  <c r="M13" i="7" l="1"/>
</calcChain>
</file>

<file path=xl/sharedStrings.xml><?xml version="1.0" encoding="utf-8"?>
<sst xmlns="http://schemas.openxmlformats.org/spreadsheetml/2006/main" count="160" uniqueCount="37">
  <si>
    <t>多视图</t>
    <phoneticPr fontId="1" type="noConversion"/>
  </si>
  <si>
    <t>KNN</t>
    <phoneticPr fontId="1" type="noConversion"/>
  </si>
  <si>
    <t>IDW</t>
    <phoneticPr fontId="1" type="noConversion"/>
  </si>
  <si>
    <t>ITER</t>
    <phoneticPr fontId="1" type="noConversion"/>
  </si>
  <si>
    <t>AOD</t>
    <phoneticPr fontId="1" type="noConversion"/>
  </si>
  <si>
    <t>AODs</t>
    <phoneticPr fontId="1" type="noConversion"/>
  </si>
  <si>
    <t>MAE</t>
    <phoneticPr fontId="1" type="noConversion"/>
  </si>
  <si>
    <t>气象</t>
    <phoneticPr fontId="1" type="noConversion"/>
  </si>
  <si>
    <t>PM</t>
    <phoneticPr fontId="1" type="noConversion"/>
  </si>
  <si>
    <t>次数</t>
    <phoneticPr fontId="1" type="noConversion"/>
  </si>
  <si>
    <t>KNN</t>
    <phoneticPr fontId="1" type="noConversion"/>
  </si>
  <si>
    <t>EWM</t>
    <phoneticPr fontId="1" type="noConversion"/>
  </si>
  <si>
    <t>IDW</t>
    <phoneticPr fontId="1" type="noConversion"/>
  </si>
  <si>
    <t>ITER</t>
    <phoneticPr fontId="1" type="noConversion"/>
  </si>
  <si>
    <t>完成度</t>
    <phoneticPr fontId="1" type="noConversion"/>
  </si>
  <si>
    <t>MAE</t>
    <phoneticPr fontId="1" type="noConversion"/>
  </si>
  <si>
    <t>MRE</t>
    <phoneticPr fontId="1" type="noConversion"/>
  </si>
  <si>
    <t>多视图</t>
    <phoneticPr fontId="1" type="noConversion"/>
  </si>
  <si>
    <t>均值</t>
    <phoneticPr fontId="1" type="noConversion"/>
  </si>
  <si>
    <t>AODS&gt;&gt;&gt;&gt;!!!!!!=0</t>
    <phoneticPr fontId="1" type="noConversion"/>
  </si>
  <si>
    <t>EWMA</t>
    <phoneticPr fontId="1" type="noConversion"/>
  </si>
  <si>
    <t>NDVI</t>
    <phoneticPr fontId="1" type="noConversion"/>
  </si>
  <si>
    <t>完成度用所有的去建立</t>
    <phoneticPr fontId="1" type="noConversion"/>
  </si>
  <si>
    <t>评价标准</t>
    <phoneticPr fontId="1" type="noConversion"/>
  </si>
  <si>
    <t>n</t>
    <phoneticPr fontId="1" type="noConversion"/>
  </si>
  <si>
    <t>插补方法</t>
  </si>
  <si>
    <r>
      <t>AOD</t>
    </r>
    <r>
      <rPr>
        <sz val="7.5"/>
        <color theme="1"/>
        <rFont val="宋体"/>
        <family val="3"/>
        <charset val="134"/>
      </rPr>
      <t>缺失</t>
    </r>
  </si>
  <si>
    <r>
      <t>AODs</t>
    </r>
    <r>
      <rPr>
        <sz val="7.5"/>
        <color theme="1"/>
        <rFont val="宋体"/>
        <family val="3"/>
        <charset val="134"/>
      </rPr>
      <t>平均缺失</t>
    </r>
  </si>
  <si>
    <r>
      <t>NDVI</t>
    </r>
    <r>
      <rPr>
        <sz val="7.5"/>
        <color theme="1"/>
        <rFont val="宋体"/>
        <family val="3"/>
        <charset val="134"/>
      </rPr>
      <t>缺失</t>
    </r>
  </si>
  <si>
    <t>气象数据平均缺失</t>
  </si>
  <si>
    <r>
      <t>PM</t>
    </r>
    <r>
      <rPr>
        <vertAlign val="subscript"/>
        <sz val="7.5"/>
        <color theme="1"/>
        <rFont val="Times New Roman"/>
        <family val="1"/>
      </rPr>
      <t>2.5</t>
    </r>
    <r>
      <rPr>
        <sz val="7.5"/>
        <color theme="1"/>
        <rFont val="宋体"/>
        <family val="3"/>
        <charset val="134"/>
      </rPr>
      <t>缺失</t>
    </r>
  </si>
  <si>
    <t>插补前</t>
  </si>
  <si>
    <t>多视图</t>
  </si>
  <si>
    <t>时间视图</t>
  </si>
  <si>
    <t>空间视图</t>
  </si>
  <si>
    <t>局部视图</t>
  </si>
  <si>
    <t>全局视图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</si>
</sst>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0.00_);[Red]\(0.00\)"/>
    <numFmt numFmtId="178" formatCode="#,##0.00_ "/>
    <numFmt numFmtId="179" formatCode="0.00_ "/>
    <numFmt numFmtId="180" formatCode="0.0_);[Red]\(0.0\)"/>
    <numFmt numFmtId="181" formatCode="0.0000_);[Red]\(0.0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vertAlign val="subscript"/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auto="1"/>
      </diagonal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9" fontId="0" fillId="0" borderId="0" xfId="0" applyNumberFormat="1"/>
    <xf numFmtId="0" fontId="0" fillId="0" borderId="1" xfId="0" applyBorder="1"/>
    <xf numFmtId="0" fontId="0" fillId="0" borderId="3" xfId="0" applyBorder="1"/>
    <xf numFmtId="9" fontId="0" fillId="0" borderId="3" xfId="0" applyNumberFormat="1" applyBorder="1"/>
    <xf numFmtId="10" fontId="0" fillId="0" borderId="1" xfId="0" applyNumberFormat="1" applyBorder="1"/>
    <xf numFmtId="10" fontId="0" fillId="0" borderId="0" xfId="0" applyNumberFormat="1"/>
    <xf numFmtId="10" fontId="0" fillId="0" borderId="3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177" fontId="0" fillId="0" borderId="0" xfId="0" applyNumberFormat="1" applyBorder="1"/>
    <xf numFmtId="0" fontId="3" fillId="0" borderId="0" xfId="0" applyFont="1"/>
    <xf numFmtId="10" fontId="2" fillId="0" borderId="0" xfId="0" applyNumberFormat="1" applyFont="1"/>
    <xf numFmtId="0" fontId="2" fillId="0" borderId="0" xfId="0" applyFont="1"/>
    <xf numFmtId="10" fontId="2" fillId="0" borderId="3" xfId="0" applyNumberFormat="1" applyFont="1" applyBorder="1"/>
    <xf numFmtId="178" fontId="0" fillId="0" borderId="0" xfId="0" applyNumberFormat="1" applyBorder="1"/>
    <xf numFmtId="0" fontId="0" fillId="0" borderId="0" xfId="0" applyFill="1" applyBorder="1"/>
    <xf numFmtId="179" fontId="0" fillId="0" borderId="0" xfId="0" applyNumberFormat="1" applyBorder="1"/>
    <xf numFmtId="176" fontId="0" fillId="0" borderId="1" xfId="0" applyNumberFormat="1" applyBorder="1"/>
    <xf numFmtId="180" fontId="0" fillId="0" borderId="1" xfId="0" applyNumberFormat="1" applyBorder="1"/>
    <xf numFmtId="180" fontId="0" fillId="0" borderId="0" xfId="0" applyNumberFormat="1"/>
    <xf numFmtId="181" fontId="0" fillId="0" borderId="0" xfId="0" applyNumberFormat="1" applyBorder="1"/>
    <xf numFmtId="181" fontId="0" fillId="0" borderId="0" xfId="0" applyNumberFormat="1"/>
    <xf numFmtId="181" fontId="0" fillId="0" borderId="0" xfId="0" applyNumberFormat="1" applyFill="1" applyBorder="1"/>
    <xf numFmtId="176" fontId="0" fillId="0" borderId="3" xfId="0" applyNumberFormat="1" applyBorder="1"/>
    <xf numFmtId="180" fontId="0" fillId="0" borderId="4" xfId="0" applyNumberFormat="1" applyBorder="1"/>
    <xf numFmtId="176" fontId="0" fillId="0" borderId="0" xfId="0" applyNumberFormat="1" applyBorder="1"/>
    <xf numFmtId="180" fontId="0" fillId="0" borderId="0" xfId="0" applyNumberFormat="1" applyBorder="1"/>
    <xf numFmtId="0" fontId="0" fillId="0" borderId="5" xfId="0" applyBorder="1"/>
    <xf numFmtId="176" fontId="0" fillId="0" borderId="5" xfId="0" applyNumberFormat="1" applyBorder="1"/>
    <xf numFmtId="180" fontId="0" fillId="0" borderId="5" xfId="0" applyNumberFormat="1" applyBorder="1"/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2CAF-0397-4BFC-8232-045A780014B1}">
  <dimension ref="A1:P32"/>
  <sheetViews>
    <sheetView workbookViewId="0">
      <selection activeCell="O24" sqref="O24"/>
    </sheetView>
  </sheetViews>
  <sheetFormatPr defaultRowHeight="13.8" x14ac:dyDescent="0.25"/>
  <cols>
    <col min="3" max="3" width="12.77734375" style="25" bestFit="1" customWidth="1"/>
    <col min="4" max="4" width="10" bestFit="1" customWidth="1"/>
    <col min="6" max="6" width="10" style="25" bestFit="1" customWidth="1"/>
    <col min="9" max="9" width="10" style="25" bestFit="1" customWidth="1"/>
    <col min="10" max="10" width="10" bestFit="1" customWidth="1"/>
    <col min="12" max="12" width="10" style="25" bestFit="1" customWidth="1"/>
    <col min="13" max="13" width="7.5546875" style="8" bestFit="1" customWidth="1"/>
    <col min="15" max="15" width="12.77734375" style="25" bestFit="1" customWidth="1"/>
  </cols>
  <sheetData>
    <row r="1" spans="1:16" x14ac:dyDescent="0.25">
      <c r="A1" s="2"/>
      <c r="B1" s="41" t="s">
        <v>10</v>
      </c>
      <c r="C1" s="41"/>
      <c r="D1" s="41"/>
      <c r="E1" s="41" t="s">
        <v>11</v>
      </c>
      <c r="F1" s="41"/>
      <c r="G1" s="41"/>
      <c r="H1" s="41" t="s">
        <v>12</v>
      </c>
      <c r="I1" s="41"/>
      <c r="J1" s="41"/>
      <c r="K1" s="41" t="s">
        <v>13</v>
      </c>
      <c r="L1" s="41"/>
      <c r="M1" s="41"/>
      <c r="N1" s="41" t="s">
        <v>17</v>
      </c>
      <c r="O1" s="41"/>
      <c r="P1" s="41"/>
    </row>
    <row r="2" spans="1:16" x14ac:dyDescent="0.25">
      <c r="A2" s="2" t="s">
        <v>9</v>
      </c>
      <c r="B2" s="2" t="s">
        <v>16</v>
      </c>
      <c r="C2" s="24" t="s">
        <v>15</v>
      </c>
      <c r="D2" s="2" t="s">
        <v>14</v>
      </c>
      <c r="E2" s="2" t="s">
        <v>16</v>
      </c>
      <c r="F2" s="24" t="s">
        <v>15</v>
      </c>
      <c r="G2" s="2" t="s">
        <v>14</v>
      </c>
      <c r="H2" s="2" t="s">
        <v>16</v>
      </c>
      <c r="I2" s="24" t="s">
        <v>15</v>
      </c>
      <c r="J2" s="2" t="s">
        <v>14</v>
      </c>
      <c r="K2" s="2" t="s">
        <v>16</v>
      </c>
      <c r="L2" s="24" t="s">
        <v>15</v>
      </c>
      <c r="M2" s="11" t="s">
        <v>14</v>
      </c>
      <c r="N2" s="2" t="s">
        <v>16</v>
      </c>
      <c r="O2" s="24" t="s">
        <v>15</v>
      </c>
      <c r="P2" s="2" t="s">
        <v>14</v>
      </c>
    </row>
    <row r="3" spans="1:16" x14ac:dyDescent="0.25">
      <c r="A3" s="2">
        <v>1</v>
      </c>
      <c r="B3" s="11">
        <v>0.13812311646338901</v>
      </c>
      <c r="C3" s="24">
        <v>2.3508601388000001E-2</v>
      </c>
      <c r="D3" s="12">
        <v>1</v>
      </c>
      <c r="E3" s="11">
        <v>0.50534879179699999</v>
      </c>
      <c r="F3" s="24">
        <v>0.12140521</v>
      </c>
      <c r="G3" s="11">
        <f>1-0.0051</f>
        <v>0.99490000000000001</v>
      </c>
      <c r="H3" s="11">
        <v>0.10915439</v>
      </c>
      <c r="I3" s="24">
        <v>2.2063254599999998E-2</v>
      </c>
      <c r="J3" s="12">
        <v>1</v>
      </c>
      <c r="K3" s="11">
        <v>8.1505999999999995E-2</v>
      </c>
      <c r="L3" s="24">
        <v>1.9745778735684501E-2</v>
      </c>
      <c r="M3" s="11">
        <f>1-0.00196078431372549</f>
        <v>0.99803921568627452</v>
      </c>
      <c r="N3" s="11">
        <v>0.22003123757467799</v>
      </c>
      <c r="O3" s="24">
        <v>4.87394900572901E-2</v>
      </c>
      <c r="P3" s="12">
        <v>1</v>
      </c>
    </row>
    <row r="4" spans="1:16" x14ac:dyDescent="0.25">
      <c r="A4" s="2">
        <v>2</v>
      </c>
      <c r="B4">
        <v>0.30045926229999997</v>
      </c>
      <c r="C4" s="24">
        <v>3.20459605065E-2</v>
      </c>
      <c r="D4">
        <f>1-0.02745098*4</f>
        <v>0.89019607999999995</v>
      </c>
      <c r="E4" s="11">
        <v>0.7581577169814</v>
      </c>
      <c r="F4" s="24">
        <v>0.1437058559452</v>
      </c>
      <c r="G4">
        <f>1-0.02745098</f>
        <v>0.97254901999999999</v>
      </c>
      <c r="H4" s="11">
        <v>8.9149745718790002E-2</v>
      </c>
      <c r="I4" s="24">
        <v>1.9158999999999999E-2</v>
      </c>
      <c r="J4" s="12">
        <v>1</v>
      </c>
      <c r="K4" s="11">
        <v>0.10552912464</v>
      </c>
      <c r="L4" s="24">
        <v>2.1784549199999999E-2</v>
      </c>
      <c r="M4" s="11">
        <f>1-0.00588235294117647</f>
        <v>0.99411764705882355</v>
      </c>
      <c r="N4" s="11">
        <v>0.32173788767336903</v>
      </c>
      <c r="O4" s="24">
        <v>5.2786822373673499E-2</v>
      </c>
      <c r="P4" s="12">
        <v>1</v>
      </c>
    </row>
    <row r="5" spans="1:16" x14ac:dyDescent="0.25">
      <c r="A5" s="2">
        <v>3</v>
      </c>
      <c r="B5">
        <v>0.16037410149207501</v>
      </c>
      <c r="C5" s="24">
        <v>2.88926443765294E-2</v>
      </c>
      <c r="D5" s="11">
        <f>1-0.0529411764</f>
        <v>0.94705882360000004</v>
      </c>
      <c r="E5" s="11">
        <v>0.49325743341400002</v>
      </c>
      <c r="F5" s="26">
        <v>0.110153374438622</v>
      </c>
      <c r="G5" s="12">
        <v>1</v>
      </c>
      <c r="H5" s="11">
        <v>0.10417567</v>
      </c>
      <c r="I5" s="26">
        <v>2.207983313E-2</v>
      </c>
      <c r="J5" s="12">
        <v>1</v>
      </c>
      <c r="K5" s="11">
        <v>9.6666436999999994E-2</v>
      </c>
      <c r="L5" s="24">
        <v>2.3359823379999999E-2</v>
      </c>
      <c r="M5" s="11">
        <f>1-0.00098039215</f>
        <v>0.99901960784999999</v>
      </c>
      <c r="N5">
        <v>0.21118249313398499</v>
      </c>
      <c r="O5" s="24">
        <v>4.2883554389974397E-2</v>
      </c>
      <c r="P5" s="12">
        <v>1</v>
      </c>
    </row>
    <row r="6" spans="1:16" x14ac:dyDescent="0.25">
      <c r="A6" s="2">
        <v>4</v>
      </c>
      <c r="B6" s="11">
        <v>0.27792359999999999</v>
      </c>
      <c r="C6" s="24">
        <v>3.1824900000000003E-2</v>
      </c>
      <c r="D6" s="11">
        <v>0.81592831799999999</v>
      </c>
      <c r="E6" s="11">
        <v>0.143742305899</v>
      </c>
      <c r="F6" s="24">
        <v>0.118100845994</v>
      </c>
      <c r="G6" s="12">
        <v>1</v>
      </c>
      <c r="H6" s="11">
        <v>0.1161302497593</v>
      </c>
      <c r="I6" s="24">
        <v>2.1973550000000001E-2</v>
      </c>
      <c r="J6" s="12">
        <v>1</v>
      </c>
      <c r="K6" s="11">
        <v>0.1161302497593</v>
      </c>
      <c r="L6" s="25">
        <v>2.197355958332E-2</v>
      </c>
      <c r="M6" s="11">
        <f>1-0.0039215686</f>
        <v>0.99607843139999996</v>
      </c>
      <c r="N6" s="11">
        <v>0.31981634790943902</v>
      </c>
      <c r="O6" s="24">
        <v>4.82211611012449E-2</v>
      </c>
      <c r="P6" s="12">
        <v>1</v>
      </c>
    </row>
    <row r="7" spans="1:16" x14ac:dyDescent="0.25">
      <c r="A7" s="2">
        <v>5</v>
      </c>
      <c r="B7" s="11">
        <v>0.14262274</v>
      </c>
      <c r="C7" s="24">
        <v>2.5793024900598E-2</v>
      </c>
      <c r="D7" s="11">
        <v>0.615241865</v>
      </c>
      <c r="E7" s="11">
        <v>0.611241865</v>
      </c>
      <c r="F7" s="11">
        <v>0.121338638236442</v>
      </c>
      <c r="G7" s="11">
        <f>1-0.047</f>
        <v>0.95299999999999996</v>
      </c>
      <c r="H7" s="11">
        <v>0.11971897242</v>
      </c>
      <c r="I7" s="24">
        <v>2.0498704E-2</v>
      </c>
      <c r="J7" s="12">
        <v>1</v>
      </c>
      <c r="K7" s="11">
        <v>9.3362700000000007E-2</v>
      </c>
      <c r="L7" s="24">
        <v>1.9768032000000001E-2</v>
      </c>
      <c r="M7" s="11">
        <f>1-0.020498704</f>
        <v>0.97950129600000002</v>
      </c>
      <c r="N7" s="11">
        <v>0.23049750463044499</v>
      </c>
      <c r="O7" s="24">
        <v>4.0892130360569497E-2</v>
      </c>
      <c r="P7" s="12">
        <v>1</v>
      </c>
    </row>
    <row r="8" spans="1:16" x14ac:dyDescent="0.25">
      <c r="A8" s="2">
        <v>6</v>
      </c>
      <c r="B8" s="11">
        <v>0.22936100000000001</v>
      </c>
      <c r="C8" s="24">
        <v>3.3128329999999998E-2</v>
      </c>
      <c r="D8" s="11">
        <v>0.78255076999999995</v>
      </c>
      <c r="E8" s="11">
        <v>0.14407</v>
      </c>
      <c r="F8" s="24">
        <v>1.4407002E-2</v>
      </c>
      <c r="G8" s="12">
        <v>1</v>
      </c>
      <c r="H8" s="11">
        <v>0.14523</v>
      </c>
      <c r="I8" s="24">
        <v>2.234038E-2</v>
      </c>
      <c r="J8" s="12">
        <v>1</v>
      </c>
      <c r="K8" s="11">
        <v>0.13184979999999999</v>
      </c>
      <c r="L8" s="24">
        <v>2.9939838790299999E-2</v>
      </c>
      <c r="M8" s="11">
        <f>1-0.00980392156862745</f>
        <v>0.99019607843137258</v>
      </c>
      <c r="N8" s="11">
        <v>0.37503278610991803</v>
      </c>
      <c r="O8" s="24">
        <v>5.9427153599459902E-2</v>
      </c>
      <c r="P8" s="12">
        <v>1</v>
      </c>
    </row>
    <row r="9" spans="1:16" x14ac:dyDescent="0.25">
      <c r="A9" s="2">
        <v>7</v>
      </c>
      <c r="B9" s="11">
        <v>0.15659400000000001</v>
      </c>
      <c r="C9" s="24">
        <v>3.07646598295E-2</v>
      </c>
      <c r="D9" s="12">
        <v>1</v>
      </c>
      <c r="E9" s="11">
        <v>0.495714343</v>
      </c>
      <c r="F9" s="24">
        <v>0.13439561</v>
      </c>
      <c r="G9" s="11">
        <f>1-0.06078431</f>
        <v>0.93921569000000005</v>
      </c>
      <c r="H9" s="11">
        <v>0.15721105399999999</v>
      </c>
      <c r="I9" s="24">
        <v>2.7848700000000001E-2</v>
      </c>
      <c r="J9" s="12">
        <v>1</v>
      </c>
      <c r="K9" s="11">
        <v>0.19586137526629999</v>
      </c>
      <c r="L9" s="24">
        <v>3.4382216E-2</v>
      </c>
      <c r="M9" s="11">
        <f>1-0.0058823</f>
        <v>0.99411769999999999</v>
      </c>
      <c r="N9" s="11">
        <v>0.22483067245612801</v>
      </c>
      <c r="O9" s="24">
        <v>4.0461071095212603E-2</v>
      </c>
      <c r="P9" s="12">
        <v>1</v>
      </c>
    </row>
    <row r="10" spans="1:16" x14ac:dyDescent="0.25">
      <c r="A10" s="2">
        <v>8</v>
      </c>
      <c r="B10" s="11">
        <v>0.14680770000000001</v>
      </c>
      <c r="C10" s="24">
        <v>2.7260247272339999E-2</v>
      </c>
      <c r="D10" s="12">
        <v>1</v>
      </c>
      <c r="E10" s="11">
        <v>0.37080094829999999</v>
      </c>
      <c r="F10" s="26">
        <v>8.2505073499999998E-2</v>
      </c>
      <c r="G10" s="12">
        <v>1</v>
      </c>
      <c r="H10" s="11">
        <v>0.14899999999999999</v>
      </c>
      <c r="I10" s="24">
        <v>2.5125886E-2</v>
      </c>
      <c r="J10" s="12">
        <v>1</v>
      </c>
      <c r="K10" s="11">
        <v>0.13226789999999999</v>
      </c>
      <c r="L10" s="24">
        <v>2.45247E-2</v>
      </c>
      <c r="M10" s="11">
        <f>1-0.00196</f>
        <v>0.99804000000000004</v>
      </c>
      <c r="N10" s="11">
        <v>0.23795736223220901</v>
      </c>
      <c r="O10" s="24">
        <v>4.69989253815681E-2</v>
      </c>
      <c r="P10" s="12">
        <v>1</v>
      </c>
    </row>
    <row r="11" spans="1:16" x14ac:dyDescent="0.25">
      <c r="A11" s="2">
        <v>9</v>
      </c>
      <c r="B11" s="11">
        <v>0.28667375681000001</v>
      </c>
      <c r="C11" s="24">
        <v>3.7600000000000001E-2</v>
      </c>
      <c r="D11" s="12">
        <v>1</v>
      </c>
      <c r="E11" s="11">
        <v>0.76664059228000003</v>
      </c>
      <c r="F11" s="24">
        <v>0.1598</v>
      </c>
      <c r="G11" s="12">
        <v>1</v>
      </c>
      <c r="H11" s="11">
        <v>0.15680938</v>
      </c>
      <c r="I11" s="24">
        <v>2.8580000000000001E-2</v>
      </c>
      <c r="J11" s="12">
        <v>1</v>
      </c>
      <c r="K11" s="11">
        <v>0.1118473061593</v>
      </c>
      <c r="L11" s="24">
        <v>2.2158388000000001E-2</v>
      </c>
      <c r="M11" s="11">
        <f>1-0.00490196078431372</f>
        <v>0.99509803921568629</v>
      </c>
      <c r="N11" s="11">
        <v>0.218325835088271</v>
      </c>
      <c r="O11" s="24">
        <v>5.4746400000000001E-2</v>
      </c>
      <c r="P11" s="12">
        <v>1</v>
      </c>
    </row>
    <row r="12" spans="1:16" x14ac:dyDescent="0.25">
      <c r="A12" s="2">
        <v>10</v>
      </c>
      <c r="B12" s="11">
        <v>0.16562099999999999</v>
      </c>
      <c r="C12" s="24">
        <v>2.9981609999999999E-2</v>
      </c>
      <c r="D12" s="11">
        <v>0.95320000000000005</v>
      </c>
      <c r="E12" s="11">
        <v>0.69098316000000004</v>
      </c>
      <c r="F12" s="24">
        <v>0.14427699999999999</v>
      </c>
      <c r="G12" s="11">
        <f>1-0.05588</f>
        <v>0.94411999999999996</v>
      </c>
      <c r="H12" s="11">
        <v>0.1409999398</v>
      </c>
      <c r="I12" s="24">
        <v>2.3914496899999999E-2</v>
      </c>
      <c r="J12" s="12">
        <v>1</v>
      </c>
      <c r="K12" s="11">
        <v>0.1659726</v>
      </c>
      <c r="L12" s="24">
        <v>2.5435645999999999E-2</v>
      </c>
      <c r="M12" s="11">
        <f>1-0.00196078431372</f>
        <v>0.99803921568627996</v>
      </c>
      <c r="N12" s="11">
        <v>0.27898494107996902</v>
      </c>
      <c r="O12" s="24">
        <v>4.4911208180992299E-2</v>
      </c>
      <c r="P12" s="12">
        <v>1</v>
      </c>
    </row>
    <row r="13" spans="1:16" x14ac:dyDescent="0.25">
      <c r="A13" s="2" t="s">
        <v>18</v>
      </c>
      <c r="B13" s="11">
        <f>AVERAGE(B3:B12)</f>
        <v>0.20045602770654636</v>
      </c>
      <c r="C13" s="24">
        <f t="shared" ref="C13:O13" si="0">AVERAGE(C3:C12)</f>
        <v>3.0079997827346744E-2</v>
      </c>
      <c r="D13" s="11">
        <f t="shared" si="0"/>
        <v>0.90041758566000019</v>
      </c>
      <c r="E13" s="11">
        <f t="shared" si="0"/>
        <v>0.49799571566714002</v>
      </c>
      <c r="F13" s="24">
        <f t="shared" si="0"/>
        <v>0.11500886101142641</v>
      </c>
      <c r="G13" s="11">
        <f t="shared" si="0"/>
        <v>0.98037847100000008</v>
      </c>
      <c r="H13" s="11">
        <f t="shared" si="0"/>
        <v>0.12875794016980899</v>
      </c>
      <c r="I13" s="24">
        <f t="shared" si="0"/>
        <v>2.3358380462999997E-2</v>
      </c>
      <c r="J13" s="11">
        <f t="shared" si="0"/>
        <v>1</v>
      </c>
      <c r="K13" s="11">
        <f t="shared" si="0"/>
        <v>0.12309934928249</v>
      </c>
      <c r="L13" s="24">
        <f t="shared" si="0"/>
        <v>2.430725316893045E-2</v>
      </c>
      <c r="M13" s="11">
        <f t="shared" si="0"/>
        <v>0.99422472313284371</v>
      </c>
      <c r="N13" s="11">
        <f t="shared" si="0"/>
        <v>0.26383970678884111</v>
      </c>
      <c r="O13" s="24">
        <f t="shared" si="0"/>
        <v>4.8006791653998529E-2</v>
      </c>
      <c r="P13" s="11">
        <f t="shared" ref="P13" si="1">AVERAGE(P3:P12)</f>
        <v>1</v>
      </c>
    </row>
    <row r="14" spans="1:16" x14ac:dyDescent="0.25">
      <c r="P14" s="12"/>
    </row>
    <row r="17" spans="13:13" x14ac:dyDescent="0.25">
      <c r="M17"/>
    </row>
    <row r="18" spans="13:13" x14ac:dyDescent="0.25">
      <c r="M18"/>
    </row>
    <row r="19" spans="13:13" x14ac:dyDescent="0.25">
      <c r="M19"/>
    </row>
    <row r="20" spans="13:13" x14ac:dyDescent="0.25">
      <c r="M20"/>
    </row>
    <row r="21" spans="13:13" x14ac:dyDescent="0.25">
      <c r="M21"/>
    </row>
    <row r="22" spans="13:13" x14ac:dyDescent="0.25">
      <c r="M22"/>
    </row>
    <row r="23" spans="13:13" x14ac:dyDescent="0.25">
      <c r="M23"/>
    </row>
    <row r="24" spans="13:13" x14ac:dyDescent="0.25">
      <c r="M24"/>
    </row>
    <row r="25" spans="13:13" x14ac:dyDescent="0.25">
      <c r="M25"/>
    </row>
    <row r="26" spans="13:13" x14ac:dyDescent="0.25">
      <c r="M26"/>
    </row>
    <row r="27" spans="13:13" x14ac:dyDescent="0.25">
      <c r="M27"/>
    </row>
    <row r="28" spans="13:13" x14ac:dyDescent="0.25">
      <c r="M28"/>
    </row>
    <row r="29" spans="13:13" x14ac:dyDescent="0.25">
      <c r="M29"/>
    </row>
    <row r="30" spans="13:13" x14ac:dyDescent="0.25">
      <c r="M30"/>
    </row>
    <row r="31" spans="13:13" x14ac:dyDescent="0.25">
      <c r="M31"/>
    </row>
    <row r="32" spans="13:13" x14ac:dyDescent="0.25">
      <c r="M32"/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F6A5-58FC-4BE2-9CD8-1DBE0D27DC4D}">
  <dimension ref="A1:P13"/>
  <sheetViews>
    <sheetView zoomScale="85" zoomScaleNormal="85" workbookViewId="0">
      <pane ySplit="2" topLeftCell="A3" activePane="bottomLeft" state="frozen"/>
      <selection pane="bottomLeft" activeCell="A13" sqref="A13:P13"/>
    </sheetView>
  </sheetViews>
  <sheetFormatPr defaultRowHeight="13.8" x14ac:dyDescent="0.25"/>
  <cols>
    <col min="13" max="13" width="11.21875" style="8" bestFit="1" customWidth="1"/>
  </cols>
  <sheetData>
    <row r="1" spans="1:16" x14ac:dyDescent="0.25">
      <c r="A1" s="4"/>
      <c r="B1" s="42" t="s">
        <v>10</v>
      </c>
      <c r="C1" s="42"/>
      <c r="D1" s="42"/>
      <c r="E1" s="42" t="s">
        <v>11</v>
      </c>
      <c r="F1" s="42"/>
      <c r="G1" s="42"/>
      <c r="H1" s="42" t="s">
        <v>12</v>
      </c>
      <c r="I1" s="42"/>
      <c r="J1" s="42"/>
      <c r="K1" s="42" t="s">
        <v>13</v>
      </c>
      <c r="L1" s="42"/>
      <c r="M1" s="42"/>
      <c r="N1" s="43" t="s">
        <v>17</v>
      </c>
      <c r="O1" s="44"/>
      <c r="P1" s="44"/>
    </row>
    <row r="2" spans="1:16" x14ac:dyDescent="0.25">
      <c r="A2" s="4" t="s">
        <v>9</v>
      </c>
      <c r="B2" s="4" t="s">
        <v>16</v>
      </c>
      <c r="C2" s="4" t="s">
        <v>15</v>
      </c>
      <c r="D2" s="4" t="s">
        <v>14</v>
      </c>
      <c r="E2" s="4" t="s">
        <v>16</v>
      </c>
      <c r="F2" s="4" t="s">
        <v>15</v>
      </c>
      <c r="G2" s="4" t="s">
        <v>14</v>
      </c>
      <c r="H2" s="4" t="s">
        <v>16</v>
      </c>
      <c r="I2" s="4" t="s">
        <v>15</v>
      </c>
      <c r="J2" s="4" t="s">
        <v>14</v>
      </c>
      <c r="K2" s="4" t="s">
        <v>16</v>
      </c>
      <c r="L2" s="4" t="s">
        <v>15</v>
      </c>
      <c r="M2" s="7" t="s">
        <v>14</v>
      </c>
      <c r="N2" s="4" t="s">
        <v>16</v>
      </c>
      <c r="O2" s="4" t="s">
        <v>15</v>
      </c>
      <c r="P2" s="4" t="s">
        <v>14</v>
      </c>
    </row>
    <row r="3" spans="1:16" x14ac:dyDescent="0.25">
      <c r="A3">
        <v>1</v>
      </c>
      <c r="B3" s="8">
        <v>0.15479000000000001</v>
      </c>
      <c r="C3">
        <v>5.4047999999999998</v>
      </c>
      <c r="D3" s="9">
        <v>1</v>
      </c>
      <c r="E3" s="8">
        <v>0.83435000000000004</v>
      </c>
      <c r="F3">
        <v>24.5</v>
      </c>
      <c r="G3" s="8">
        <f>1-0.0019</f>
        <v>0.99809999999999999</v>
      </c>
      <c r="H3" s="8">
        <v>0.155859</v>
      </c>
      <c r="I3">
        <v>5.4872800000000002</v>
      </c>
      <c r="J3" s="9">
        <v>1</v>
      </c>
      <c r="K3" s="8">
        <v>0.148086</v>
      </c>
      <c r="L3">
        <v>4.7059699999999998</v>
      </c>
      <c r="M3" s="9">
        <f>1-0.000968</f>
        <v>0.99903200000000003</v>
      </c>
      <c r="N3" s="8">
        <v>0.14591999999999999</v>
      </c>
      <c r="O3">
        <v>5.2365000000000004</v>
      </c>
      <c r="P3" s="3">
        <v>1</v>
      </c>
    </row>
    <row r="4" spans="1:16" x14ac:dyDescent="0.25">
      <c r="A4">
        <v>2</v>
      </c>
      <c r="B4" s="8">
        <v>0.1993</v>
      </c>
      <c r="C4">
        <v>6.4495699999999996</v>
      </c>
      <c r="D4" s="9">
        <v>1</v>
      </c>
      <c r="E4" s="8">
        <v>1.008</v>
      </c>
      <c r="F4">
        <v>27.65</v>
      </c>
      <c r="G4" s="8">
        <f>1-0.0038722216</f>
        <v>0.9961277784</v>
      </c>
      <c r="H4" s="8">
        <v>0.23350000000000001</v>
      </c>
      <c r="I4">
        <v>7.0149999999999997</v>
      </c>
      <c r="J4" s="9">
        <v>1</v>
      </c>
      <c r="K4" s="8">
        <v>0.199264</v>
      </c>
      <c r="L4">
        <v>6.0659999999999998</v>
      </c>
      <c r="M4" s="9">
        <v>1</v>
      </c>
      <c r="N4" s="8">
        <v>0.3785</v>
      </c>
      <c r="O4">
        <v>9.8656100000000002</v>
      </c>
      <c r="P4" s="3">
        <v>1</v>
      </c>
    </row>
    <row r="5" spans="1:16" x14ac:dyDescent="0.25">
      <c r="A5">
        <v>3</v>
      </c>
      <c r="B5" s="8">
        <v>0.154311652702285</v>
      </c>
      <c r="C5">
        <v>6.5387111040670396</v>
      </c>
      <c r="D5" s="9">
        <v>1</v>
      </c>
      <c r="E5" s="8">
        <v>0.79406215183689899</v>
      </c>
      <c r="F5">
        <v>30.642460317460301</v>
      </c>
      <c r="G5" s="8">
        <f>1-0.00484</f>
        <v>0.99516000000000004</v>
      </c>
      <c r="H5" s="8">
        <v>0.17077463385140201</v>
      </c>
      <c r="I5">
        <v>6.8121135518592899</v>
      </c>
      <c r="J5" s="9">
        <v>1</v>
      </c>
      <c r="K5" s="8">
        <v>0.15340029039792299</v>
      </c>
      <c r="L5">
        <v>5.5571788371639901</v>
      </c>
      <c r="M5" s="9">
        <f>1-0.00968</f>
        <v>0.99031999999999998</v>
      </c>
      <c r="N5" s="8">
        <v>0.3</v>
      </c>
      <c r="O5">
        <v>12.12</v>
      </c>
      <c r="P5" s="3">
        <v>1</v>
      </c>
    </row>
    <row r="6" spans="1:16" x14ac:dyDescent="0.25">
      <c r="A6">
        <v>4</v>
      </c>
      <c r="B6" s="8">
        <v>0.20488999999999999</v>
      </c>
      <c r="C6">
        <v>6.3379000000000003</v>
      </c>
      <c r="D6" s="9">
        <v>1</v>
      </c>
      <c r="E6" s="8">
        <v>1.002616</v>
      </c>
      <c r="F6">
        <v>26.189900000000002</v>
      </c>
      <c r="G6" s="8">
        <f>1-0.008712</f>
        <v>0.99128799999999995</v>
      </c>
      <c r="H6" s="8">
        <v>0.222</v>
      </c>
      <c r="I6">
        <v>5.7888999999999999</v>
      </c>
      <c r="J6" s="9">
        <f>1-0.0019361</f>
        <v>0.9980639</v>
      </c>
      <c r="K6" s="8">
        <v>0.19677</v>
      </c>
      <c r="L6">
        <v>6.4273899999999999</v>
      </c>
      <c r="M6" s="9">
        <f>1-0.000968</f>
        <v>0.99903200000000003</v>
      </c>
      <c r="N6" s="8">
        <v>0.20599000000000001</v>
      </c>
      <c r="O6">
        <v>5.7451499999999998</v>
      </c>
      <c r="P6" s="3">
        <v>1</v>
      </c>
    </row>
    <row r="7" spans="1:16" x14ac:dyDescent="0.25">
      <c r="A7">
        <v>5</v>
      </c>
      <c r="B7" s="9">
        <v>0.20599999999999999</v>
      </c>
      <c r="C7" s="5">
        <v>0.66300000000000003</v>
      </c>
      <c r="D7" s="9">
        <v>0.99909999999999999</v>
      </c>
      <c r="E7" s="9">
        <v>0.68372999999999995</v>
      </c>
      <c r="F7" s="5">
        <v>23.136209999999998</v>
      </c>
      <c r="G7" s="9">
        <f>1-0.0029</f>
        <v>0.99709999999999999</v>
      </c>
      <c r="H7" s="9">
        <v>0.19839000000000001</v>
      </c>
      <c r="I7" s="5">
        <v>6.8070000000000004</v>
      </c>
      <c r="J7" s="9">
        <f>1-0.000968</f>
        <v>0.99903200000000003</v>
      </c>
      <c r="K7" s="9">
        <v>0.15659999999999999</v>
      </c>
      <c r="L7" s="5">
        <v>6.1705475959999996</v>
      </c>
      <c r="M7" s="9">
        <v>1</v>
      </c>
      <c r="N7" s="9">
        <v>0.19560091910129401</v>
      </c>
      <c r="O7" s="5">
        <v>6.54</v>
      </c>
      <c r="P7" s="6">
        <v>1</v>
      </c>
    </row>
    <row r="8" spans="1:16" x14ac:dyDescent="0.25">
      <c r="A8">
        <v>6</v>
      </c>
      <c r="B8" s="8">
        <v>0.17473605916798399</v>
      </c>
      <c r="C8">
        <v>8.0193907184013895</v>
      </c>
      <c r="D8" s="9">
        <v>1</v>
      </c>
      <c r="E8" s="8">
        <v>0.17119999999999999</v>
      </c>
      <c r="F8">
        <v>16.231000000000002</v>
      </c>
      <c r="G8" s="8">
        <f>1-0.00677</f>
        <v>0.99322999999999995</v>
      </c>
      <c r="H8" s="8">
        <v>0.190451303422012</v>
      </c>
      <c r="I8">
        <v>8.0652319038766507</v>
      </c>
      <c r="J8" s="9">
        <v>1</v>
      </c>
      <c r="K8" s="8">
        <v>0.1496202528286</v>
      </c>
      <c r="L8">
        <v>6.3772782810436999</v>
      </c>
      <c r="M8" s="9">
        <v>1</v>
      </c>
      <c r="N8" s="8">
        <v>0.186016313873513</v>
      </c>
      <c r="O8">
        <v>7.9243314543172998</v>
      </c>
      <c r="P8" s="3">
        <v>1</v>
      </c>
    </row>
    <row r="9" spans="1:16" x14ac:dyDescent="0.25">
      <c r="A9">
        <v>7</v>
      </c>
      <c r="B9" s="8">
        <v>0.18689233696514501</v>
      </c>
      <c r="C9">
        <v>6.5091266022734899</v>
      </c>
      <c r="D9" s="9">
        <v>1</v>
      </c>
      <c r="E9" s="8">
        <v>0.89479985649012495</v>
      </c>
      <c r="F9">
        <v>30.980957825503602</v>
      </c>
      <c r="G9" s="8">
        <v>0.99980000000000002</v>
      </c>
      <c r="H9" s="8">
        <v>0.19151098821535301</v>
      </c>
      <c r="I9">
        <v>7.1568811452589296</v>
      </c>
      <c r="J9" s="9">
        <v>1</v>
      </c>
      <c r="K9" s="8">
        <v>0.14403178533870201</v>
      </c>
      <c r="L9">
        <v>5.9472245218707496</v>
      </c>
      <c r="M9" s="9">
        <v>1</v>
      </c>
      <c r="N9" s="8">
        <v>0.18920000000000001</v>
      </c>
      <c r="O9">
        <v>6.4280799999999996</v>
      </c>
      <c r="P9" s="3">
        <v>1</v>
      </c>
    </row>
    <row r="10" spans="1:16" x14ac:dyDescent="0.25">
      <c r="A10">
        <v>8</v>
      </c>
      <c r="B10" s="8">
        <v>0.177512041087593</v>
      </c>
      <c r="C10">
        <v>6.2422070490037003</v>
      </c>
      <c r="D10" s="10">
        <v>1</v>
      </c>
      <c r="E10" s="8">
        <v>1.07938637643</v>
      </c>
      <c r="F10">
        <v>34.278507108637001</v>
      </c>
      <c r="G10" s="8">
        <f>1-0.00482</f>
        <v>0.99517999999999995</v>
      </c>
      <c r="H10" s="8">
        <v>0.19359517656030001</v>
      </c>
      <c r="I10">
        <v>6.9666031385952403</v>
      </c>
      <c r="J10" s="9">
        <f>1-0.0019</f>
        <v>0.99809999999999999</v>
      </c>
      <c r="K10" s="8">
        <v>0.15964295779834001</v>
      </c>
      <c r="L10">
        <v>5.2314167999999999</v>
      </c>
      <c r="M10" s="9">
        <v>1</v>
      </c>
      <c r="N10" s="8">
        <v>0.18476333541819401</v>
      </c>
      <c r="O10">
        <v>6.5361967524867</v>
      </c>
      <c r="P10" s="3">
        <v>1</v>
      </c>
    </row>
    <row r="11" spans="1:16" x14ac:dyDescent="0.25">
      <c r="A11">
        <v>9</v>
      </c>
      <c r="B11" s="8">
        <v>0.15757494121000001</v>
      </c>
      <c r="C11">
        <v>6.1367482217999996</v>
      </c>
      <c r="D11" s="9">
        <v>1</v>
      </c>
      <c r="E11" s="8">
        <v>0.12</v>
      </c>
      <c r="F11">
        <v>12.3</v>
      </c>
      <c r="G11" s="8">
        <f>1-0.00096805421</f>
        <v>0.99903194578999999</v>
      </c>
      <c r="H11" s="8">
        <v>0.16500000000000001</v>
      </c>
      <c r="I11">
        <v>6.6220422499999998</v>
      </c>
      <c r="J11" s="9">
        <f>1-0.000968054</f>
        <v>0.999031946</v>
      </c>
      <c r="K11" s="8">
        <v>0.15471153300000001</v>
      </c>
      <c r="L11">
        <v>0.154711533027418</v>
      </c>
      <c r="M11" s="9">
        <f>1-0.012</f>
        <v>0.98799999999999999</v>
      </c>
      <c r="N11" s="8">
        <v>0.164896599761789</v>
      </c>
      <c r="O11">
        <v>6.2963782286703296</v>
      </c>
      <c r="P11" s="3">
        <v>1</v>
      </c>
    </row>
    <row r="12" spans="1:16" x14ac:dyDescent="0.25">
      <c r="A12">
        <v>10</v>
      </c>
      <c r="B12" s="8">
        <v>0.16702535499999999</v>
      </c>
      <c r="C12">
        <v>6.2359184927119999</v>
      </c>
      <c r="D12" s="9">
        <v>1</v>
      </c>
      <c r="E12" s="8">
        <v>0.21560000000000001</v>
      </c>
      <c r="F12">
        <v>20.694215639999999</v>
      </c>
      <c r="G12" s="8">
        <f>1-0.0038</f>
        <v>0.99619999999999997</v>
      </c>
      <c r="H12" s="8">
        <v>0.187339539986</v>
      </c>
      <c r="I12">
        <v>6.7817997679415001</v>
      </c>
      <c r="J12" s="9">
        <f>1-0.0009654</f>
        <v>0.99903459999999999</v>
      </c>
      <c r="K12" s="8">
        <v>0.156635</v>
      </c>
      <c r="L12">
        <v>5.5620844562484901</v>
      </c>
      <c r="M12" s="9">
        <v>1</v>
      </c>
      <c r="N12" s="8">
        <v>0.18038084803943299</v>
      </c>
      <c r="O12">
        <v>6.17234128394447</v>
      </c>
      <c r="P12" s="3">
        <v>1</v>
      </c>
    </row>
    <row r="13" spans="1:16" x14ac:dyDescent="0.25">
      <c r="A13" s="14" t="s">
        <v>18</v>
      </c>
      <c r="B13" s="15">
        <f>AVERAGE(B3:B12)</f>
        <v>0.17830323861330072</v>
      </c>
      <c r="C13" s="16">
        <f t="shared" ref="C13:P13" si="0">AVERAGE(C3:C12)</f>
        <v>5.8537372188257626</v>
      </c>
      <c r="D13" s="17">
        <f t="shared" si="0"/>
        <v>0.99991000000000008</v>
      </c>
      <c r="E13" s="15">
        <f t="shared" si="0"/>
        <v>0.68037443847570234</v>
      </c>
      <c r="F13" s="16">
        <f t="shared" si="0"/>
        <v>24.660325089160089</v>
      </c>
      <c r="G13" s="15">
        <f t="shared" si="0"/>
        <v>0.9961217724189998</v>
      </c>
      <c r="H13" s="15">
        <f t="shared" si="0"/>
        <v>0.19084206420350674</v>
      </c>
      <c r="I13" s="16">
        <f t="shared" si="0"/>
        <v>6.7502851757531603</v>
      </c>
      <c r="J13" s="9">
        <f t="shared" si="0"/>
        <v>0.99932624459999997</v>
      </c>
      <c r="K13" s="15">
        <f t="shared" si="0"/>
        <v>0.1618761819363565</v>
      </c>
      <c r="L13" s="16">
        <f t="shared" si="0"/>
        <v>5.2199802025354343</v>
      </c>
      <c r="M13" s="9">
        <f t="shared" si="0"/>
        <v>0.99763839999999993</v>
      </c>
      <c r="N13" s="15">
        <f t="shared" si="0"/>
        <v>0.21312680161942227</v>
      </c>
      <c r="O13" s="16">
        <f t="shared" si="0"/>
        <v>7.2864587719418807</v>
      </c>
      <c r="P13" s="16">
        <f t="shared" si="0"/>
        <v>1</v>
      </c>
    </row>
  </sheetData>
  <mergeCells count="5">
    <mergeCell ref="K1:M1"/>
    <mergeCell ref="N1:P1"/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823C-E08A-4550-97CE-502CC082C6A6}">
  <dimension ref="A1:P32"/>
  <sheetViews>
    <sheetView topLeftCell="A10" zoomScale="92" workbookViewId="0">
      <selection activeCell="P32" sqref="N32:P32"/>
    </sheetView>
  </sheetViews>
  <sheetFormatPr defaultRowHeight="13.8" x14ac:dyDescent="0.25"/>
  <cols>
    <col min="3" max="3" width="12.77734375" bestFit="1" customWidth="1"/>
    <col min="4" max="4" width="10" bestFit="1" customWidth="1"/>
    <col min="6" max="6" width="10" bestFit="1" customWidth="1"/>
    <col min="9" max="10" width="10" bestFit="1" customWidth="1"/>
    <col min="12" max="12" width="10" bestFit="1" customWidth="1"/>
    <col min="13" max="13" width="11.21875" style="8" bestFit="1" customWidth="1"/>
    <col min="15" max="15" width="12.77734375" bestFit="1" customWidth="1"/>
  </cols>
  <sheetData>
    <row r="1" spans="1:16" x14ac:dyDescent="0.25">
      <c r="A1" s="2"/>
      <c r="B1" s="41" t="s">
        <v>10</v>
      </c>
      <c r="C1" s="41"/>
      <c r="D1" s="41"/>
      <c r="E1" s="41" t="s">
        <v>11</v>
      </c>
      <c r="F1" s="41"/>
      <c r="G1" s="41"/>
      <c r="H1" s="41" t="s">
        <v>12</v>
      </c>
      <c r="I1" s="41"/>
      <c r="J1" s="41"/>
      <c r="K1" s="41" t="s">
        <v>13</v>
      </c>
      <c r="L1" s="41"/>
      <c r="M1" s="41"/>
      <c r="N1" s="41" t="s">
        <v>17</v>
      </c>
      <c r="O1" s="41"/>
      <c r="P1" s="41"/>
    </row>
    <row r="2" spans="1:16" x14ac:dyDescent="0.25">
      <c r="A2" s="2" t="s">
        <v>9</v>
      </c>
      <c r="B2" s="2" t="s">
        <v>16</v>
      </c>
      <c r="C2" s="2" t="s">
        <v>15</v>
      </c>
      <c r="D2" s="2" t="s">
        <v>14</v>
      </c>
      <c r="E2" s="2" t="s">
        <v>16</v>
      </c>
      <c r="F2" s="2" t="s">
        <v>15</v>
      </c>
      <c r="G2" s="2" t="s">
        <v>14</v>
      </c>
      <c r="H2" s="2" t="s">
        <v>16</v>
      </c>
      <c r="I2" s="2" t="s">
        <v>15</v>
      </c>
      <c r="J2" s="2" t="s">
        <v>14</v>
      </c>
      <c r="K2" s="2" t="s">
        <v>16</v>
      </c>
      <c r="L2" s="2" t="s">
        <v>15</v>
      </c>
      <c r="M2" s="11" t="s">
        <v>14</v>
      </c>
      <c r="N2" s="2" t="s">
        <v>16</v>
      </c>
      <c r="O2" s="2" t="s">
        <v>15</v>
      </c>
      <c r="P2" s="2" t="s">
        <v>14</v>
      </c>
    </row>
    <row r="3" spans="1:16" x14ac:dyDescent="0.25">
      <c r="A3" s="2">
        <v>1</v>
      </c>
      <c r="B3" s="11">
        <v>0.15628272681831601</v>
      </c>
      <c r="C3" s="13">
        <v>59.81</v>
      </c>
      <c r="D3" s="11">
        <v>1</v>
      </c>
      <c r="E3" s="11">
        <v>0.21678</v>
      </c>
      <c r="F3" s="2">
        <v>100.2</v>
      </c>
      <c r="G3" s="11">
        <f>1-0.0112</f>
        <v>0.98880000000000001</v>
      </c>
      <c r="H3" s="11">
        <v>0.15820460156899999</v>
      </c>
      <c r="I3" s="2">
        <v>5.6886400000000004</v>
      </c>
      <c r="J3" s="11">
        <v>1</v>
      </c>
      <c r="K3" s="11">
        <v>0.13763667319626</v>
      </c>
      <c r="L3" s="2">
        <v>4.1319261000000003</v>
      </c>
      <c r="M3" s="11">
        <f>1-0.005</f>
        <v>0.995</v>
      </c>
      <c r="N3" s="11">
        <v>0.116159261578337</v>
      </c>
      <c r="O3" s="2">
        <v>67.591794712896203</v>
      </c>
      <c r="P3" s="12">
        <v>1</v>
      </c>
    </row>
    <row r="4" spans="1:16" x14ac:dyDescent="0.25">
      <c r="A4" s="2">
        <v>2</v>
      </c>
      <c r="B4">
        <v>0.121595891759453</v>
      </c>
      <c r="C4" s="13">
        <v>55.381177975630699</v>
      </c>
      <c r="D4" s="11">
        <v>1</v>
      </c>
      <c r="E4" s="11">
        <v>1.0106038476471599</v>
      </c>
      <c r="F4" s="2">
        <v>401.15986856284002</v>
      </c>
      <c r="G4" s="11">
        <f>1-0.01316</f>
        <v>0.98684000000000005</v>
      </c>
      <c r="H4" s="11">
        <v>8.9238980187137301E-2</v>
      </c>
      <c r="I4" s="2">
        <v>39.289897694311499</v>
      </c>
      <c r="J4" s="11">
        <v>1</v>
      </c>
      <c r="K4" s="11">
        <v>0.19651854818568101</v>
      </c>
      <c r="L4" s="2">
        <v>63.517972434447998</v>
      </c>
      <c r="M4" s="11">
        <v>1</v>
      </c>
      <c r="N4" s="11">
        <v>0.12041137659708601</v>
      </c>
      <c r="O4" s="2">
        <v>51.065939028494903</v>
      </c>
      <c r="P4" s="12">
        <v>1</v>
      </c>
    </row>
    <row r="5" spans="1:16" x14ac:dyDescent="0.25">
      <c r="A5" s="2">
        <v>3</v>
      </c>
      <c r="B5" s="11">
        <v>0.13639999999999999</v>
      </c>
      <c r="C5" s="13">
        <v>54.369210000000002</v>
      </c>
      <c r="D5" s="11">
        <v>1</v>
      </c>
      <c r="E5" s="11">
        <v>1.1208450000000001</v>
      </c>
      <c r="F5" s="10">
        <v>3.5948950000000002</v>
      </c>
      <c r="G5" s="11">
        <v>0.99209999999999998</v>
      </c>
      <c r="H5" s="11">
        <v>0.11209</v>
      </c>
      <c r="I5" s="10">
        <v>0.43461</v>
      </c>
      <c r="J5" s="11">
        <v>1</v>
      </c>
      <c r="K5" s="11">
        <v>0.19367699999999999</v>
      </c>
      <c r="L5" s="10">
        <v>0.49785665000000001</v>
      </c>
      <c r="M5" s="11">
        <v>0.99580000000000002</v>
      </c>
      <c r="N5" s="11">
        <v>0.13020117343184101</v>
      </c>
      <c r="O5" s="2">
        <v>47.876813717901499</v>
      </c>
      <c r="P5" s="12">
        <v>1</v>
      </c>
    </row>
    <row r="6" spans="1:16" x14ac:dyDescent="0.25">
      <c r="A6" s="2">
        <v>4</v>
      </c>
      <c r="B6" s="11">
        <v>0.13805533338015799</v>
      </c>
      <c r="C6" s="13">
        <v>127.4188001</v>
      </c>
      <c r="D6" s="11">
        <v>1</v>
      </c>
      <c r="E6" s="11">
        <v>0.87197919999999995</v>
      </c>
      <c r="F6" s="2">
        <v>330.1381068</v>
      </c>
      <c r="G6" s="11">
        <f>1-0.011267605</f>
        <v>0.98873239499999999</v>
      </c>
      <c r="H6" s="11">
        <v>0.13421089999999999</v>
      </c>
      <c r="I6" s="2">
        <v>79.009910000000005</v>
      </c>
      <c r="J6" s="10">
        <v>1</v>
      </c>
      <c r="K6" s="11">
        <v>0.14562467225</v>
      </c>
      <c r="L6">
        <v>58.975672799999998</v>
      </c>
      <c r="M6" s="11">
        <f>1-0.0028169014</f>
        <v>0.99718309859999998</v>
      </c>
      <c r="N6" s="11">
        <v>0.12938655009908601</v>
      </c>
      <c r="O6" s="2">
        <v>100.267584383326</v>
      </c>
      <c r="P6" s="12">
        <v>1</v>
      </c>
    </row>
    <row r="7" spans="1:16" x14ac:dyDescent="0.25">
      <c r="A7" s="2">
        <v>5</v>
      </c>
      <c r="B7" s="11">
        <v>0.13094695629</v>
      </c>
      <c r="C7" s="13">
        <v>66.798334729999993</v>
      </c>
      <c r="D7" s="11">
        <v>1</v>
      </c>
      <c r="E7" s="11">
        <v>1.560475547</v>
      </c>
      <c r="F7" s="2">
        <v>358.25159530000002</v>
      </c>
      <c r="G7" s="11">
        <f>1-0.001</f>
        <v>0.999</v>
      </c>
      <c r="H7" s="11">
        <v>0.125592168299</v>
      </c>
      <c r="I7" s="2">
        <v>55.659050000000001</v>
      </c>
      <c r="J7" s="10">
        <v>1</v>
      </c>
      <c r="K7" s="11">
        <v>0.28522135731912601</v>
      </c>
      <c r="L7" s="2">
        <v>66.810860884926498</v>
      </c>
      <c r="M7" s="11">
        <f>1-0.00511331421674</f>
        <v>0.99488668578326001</v>
      </c>
      <c r="N7" s="11">
        <v>0.12117680950168799</v>
      </c>
      <c r="O7" s="2">
        <v>58.023171272590602</v>
      </c>
      <c r="P7" s="12">
        <v>1</v>
      </c>
    </row>
    <row r="8" spans="1:16" x14ac:dyDescent="0.25">
      <c r="A8" s="2">
        <v>6</v>
      </c>
      <c r="B8" s="11">
        <v>0.50621300000000002</v>
      </c>
      <c r="C8" s="2">
        <v>167.221543978</v>
      </c>
      <c r="D8" s="11">
        <v>1</v>
      </c>
      <c r="E8" s="11">
        <v>1.19467980956415</v>
      </c>
      <c r="F8" s="2">
        <v>337.96729970000001</v>
      </c>
      <c r="G8" s="11">
        <f>1-0.0382978723404255</f>
        <v>0.96170212765957452</v>
      </c>
      <c r="H8" s="11">
        <v>0.102286129</v>
      </c>
      <c r="I8" s="2">
        <v>37.950783800000004</v>
      </c>
      <c r="J8" s="10">
        <v>1</v>
      </c>
      <c r="K8" s="11">
        <v>0.36942999999999998</v>
      </c>
      <c r="L8" s="2">
        <v>82.843350000000001</v>
      </c>
      <c r="M8" s="11">
        <v>0.99653999999999998</v>
      </c>
      <c r="N8" s="11">
        <v>0.479872153987221</v>
      </c>
      <c r="O8" s="2">
        <v>138.07566889491699</v>
      </c>
      <c r="P8" s="12">
        <v>1</v>
      </c>
    </row>
    <row r="9" spans="1:16" x14ac:dyDescent="0.25">
      <c r="A9" s="2">
        <v>7</v>
      </c>
      <c r="B9" s="11">
        <v>0.231394857828987</v>
      </c>
      <c r="C9" s="2">
        <v>139.01380338108399</v>
      </c>
      <c r="D9" s="11">
        <v>1</v>
      </c>
      <c r="E9" s="11">
        <v>0.58252062301067997</v>
      </c>
      <c r="F9" s="2">
        <v>342.02767974199998</v>
      </c>
      <c r="G9" s="11">
        <f>1-0.01795</f>
        <v>0.98204999999999998</v>
      </c>
      <c r="H9" s="11">
        <v>0.16300882309680001</v>
      </c>
      <c r="I9" s="2">
        <v>103.029556</v>
      </c>
      <c r="J9" s="10">
        <v>1</v>
      </c>
      <c r="K9" s="11">
        <v>0.15855691</v>
      </c>
      <c r="L9" s="2">
        <v>97.426210100000006</v>
      </c>
      <c r="M9" s="11">
        <f>1-0.00456</f>
        <v>0.99543999999999999</v>
      </c>
      <c r="N9" s="11">
        <v>0.25958817222596298</v>
      </c>
      <c r="O9" s="2">
        <v>159.813809810495</v>
      </c>
      <c r="P9" s="12">
        <v>1</v>
      </c>
    </row>
    <row r="10" spans="1:16" x14ac:dyDescent="0.25">
      <c r="A10" s="2">
        <v>8</v>
      </c>
      <c r="B10" s="11">
        <v>0.1624033664</v>
      </c>
      <c r="C10" s="2">
        <v>119.10549080252299</v>
      </c>
      <c r="D10" s="11">
        <v>1</v>
      </c>
      <c r="E10" s="11">
        <v>0.50883683590536</v>
      </c>
      <c r="F10" s="19">
        <v>405.18426146997899</v>
      </c>
      <c r="G10" s="11">
        <f>1-0.004255</f>
        <v>0.99574499999999999</v>
      </c>
      <c r="H10" s="11">
        <v>0.122969755</v>
      </c>
      <c r="I10" s="2">
        <v>99.747233058171801</v>
      </c>
      <c r="J10" s="10">
        <v>1</v>
      </c>
      <c r="K10" s="11">
        <v>0.17865978127537999</v>
      </c>
      <c r="L10" s="2">
        <v>110.57842259387201</v>
      </c>
      <c r="M10" s="11">
        <v>1</v>
      </c>
      <c r="N10" s="11">
        <v>0.198542014536425</v>
      </c>
      <c r="O10" s="2">
        <v>176.66973069296299</v>
      </c>
      <c r="P10" s="12">
        <v>1</v>
      </c>
    </row>
    <row r="11" spans="1:16" x14ac:dyDescent="0.25">
      <c r="A11" s="2">
        <v>9</v>
      </c>
      <c r="B11" s="11">
        <v>0.2384126</v>
      </c>
      <c r="C11" s="2">
        <v>133.95868153999999</v>
      </c>
      <c r="D11" s="11">
        <v>1</v>
      </c>
      <c r="E11" s="11">
        <v>1.5631186856499899</v>
      </c>
      <c r="F11" s="2">
        <v>606.053401903338</v>
      </c>
      <c r="G11" s="11">
        <v>1</v>
      </c>
      <c r="H11" s="11">
        <v>0.1326533</v>
      </c>
      <c r="I11" s="2">
        <v>104.39864392</v>
      </c>
      <c r="J11" s="11">
        <v>1</v>
      </c>
      <c r="K11" s="11">
        <v>0.17813365266</v>
      </c>
      <c r="L11" s="2">
        <v>120.59336469477201</v>
      </c>
      <c r="M11" s="11">
        <v>1</v>
      </c>
      <c r="N11" s="11">
        <v>0.519595936016225</v>
      </c>
      <c r="O11" s="2">
        <v>213.56853861870101</v>
      </c>
      <c r="P11" s="12">
        <v>1</v>
      </c>
    </row>
    <row r="12" spans="1:16" x14ac:dyDescent="0.25">
      <c r="A12" s="2">
        <v>10</v>
      </c>
      <c r="B12" s="11">
        <v>0.26610752908000002</v>
      </c>
      <c r="C12" s="2">
        <v>183.3616217151</v>
      </c>
      <c r="D12" s="11">
        <v>1</v>
      </c>
      <c r="E12" s="11">
        <v>1.0535215592</v>
      </c>
      <c r="F12" s="2">
        <v>554.1223</v>
      </c>
      <c r="G12" s="11">
        <f>1-0.012356</f>
        <v>0.98764399999999997</v>
      </c>
      <c r="H12" s="11">
        <v>9.2658119900000002E-2</v>
      </c>
      <c r="I12" s="2">
        <v>76.686195635670003</v>
      </c>
      <c r="J12" s="10">
        <v>1</v>
      </c>
      <c r="K12" s="11">
        <v>0.411972218926</v>
      </c>
      <c r="L12" s="2">
        <v>156.6503664</v>
      </c>
      <c r="M12" s="11">
        <v>1</v>
      </c>
      <c r="N12" s="11">
        <v>0.38607351109330701</v>
      </c>
      <c r="O12" s="2">
        <v>121.502904082425</v>
      </c>
      <c r="P12" s="12">
        <v>1</v>
      </c>
    </row>
    <row r="13" spans="1:16" x14ac:dyDescent="0.25">
      <c r="A13" s="2" t="s">
        <v>18</v>
      </c>
      <c r="B13" s="11">
        <f>AVERAGE(B3:B12)</f>
        <v>0.20878122615569139</v>
      </c>
      <c r="C13" s="18">
        <f t="shared" ref="C13:P13" si="0">AVERAGE(C3:C12)</f>
        <v>110.64386642223378</v>
      </c>
      <c r="D13" s="11">
        <f t="shared" si="0"/>
        <v>1</v>
      </c>
      <c r="E13" s="11">
        <f t="shared" si="0"/>
        <v>0.96833611079773407</v>
      </c>
      <c r="F13" s="18">
        <f t="shared" si="0"/>
        <v>343.86994084781566</v>
      </c>
      <c r="G13" s="11">
        <f t="shared" si="0"/>
        <v>0.98826135226595757</v>
      </c>
      <c r="H13" s="11">
        <f t="shared" si="0"/>
        <v>0.12329127770519374</v>
      </c>
      <c r="I13" s="18">
        <f t="shared" si="0"/>
        <v>60.18945201081533</v>
      </c>
      <c r="J13" s="11">
        <f t="shared" si="0"/>
        <v>1</v>
      </c>
      <c r="K13" s="11">
        <f t="shared" si="0"/>
        <v>0.22554308138124468</v>
      </c>
      <c r="L13" s="18">
        <f t="shared" si="0"/>
        <v>76.202600265801863</v>
      </c>
      <c r="M13" s="11">
        <f t="shared" si="0"/>
        <v>0.99748497843832595</v>
      </c>
      <c r="N13" s="11">
        <f t="shared" si="0"/>
        <v>0.24610069590671788</v>
      </c>
      <c r="O13" s="18">
        <f t="shared" si="0"/>
        <v>113.44559552147102</v>
      </c>
      <c r="P13" s="11">
        <f t="shared" si="0"/>
        <v>1</v>
      </c>
    </row>
    <row r="14" spans="1:16" x14ac:dyDescent="0.25">
      <c r="P14" s="12"/>
    </row>
    <row r="19" spans="1:16" x14ac:dyDescent="0.25">
      <c r="A19" s="45" t="s">
        <v>19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6" x14ac:dyDescent="0.25">
      <c r="A20" s="2"/>
      <c r="B20" s="41" t="s">
        <v>10</v>
      </c>
      <c r="C20" s="41"/>
      <c r="D20" s="41"/>
      <c r="E20" s="41" t="s">
        <v>11</v>
      </c>
      <c r="F20" s="41"/>
      <c r="G20" s="41"/>
      <c r="H20" s="41" t="s">
        <v>12</v>
      </c>
      <c r="I20" s="41"/>
      <c r="J20" s="41"/>
      <c r="K20" s="41" t="s">
        <v>13</v>
      </c>
      <c r="L20" s="41"/>
      <c r="M20" s="41"/>
      <c r="N20" s="41" t="s">
        <v>17</v>
      </c>
      <c r="O20" s="41"/>
      <c r="P20" s="41"/>
    </row>
    <row r="21" spans="1:16" x14ac:dyDescent="0.25">
      <c r="A21" s="2" t="s">
        <v>9</v>
      </c>
      <c r="B21" s="2" t="s">
        <v>16</v>
      </c>
      <c r="C21" s="2" t="s">
        <v>15</v>
      </c>
      <c r="D21" s="2" t="s">
        <v>14</v>
      </c>
      <c r="E21" s="2" t="s">
        <v>16</v>
      </c>
      <c r="F21" s="2" t="s">
        <v>15</v>
      </c>
      <c r="G21" s="2" t="s">
        <v>14</v>
      </c>
      <c r="H21" s="2" t="s">
        <v>16</v>
      </c>
      <c r="I21" s="2" t="s">
        <v>15</v>
      </c>
      <c r="J21" s="2" t="s">
        <v>14</v>
      </c>
      <c r="K21" s="2" t="s">
        <v>16</v>
      </c>
      <c r="L21" s="2" t="s">
        <v>15</v>
      </c>
      <c r="M21" s="11" t="s">
        <v>14</v>
      </c>
      <c r="N21" s="2" t="s">
        <v>16</v>
      </c>
      <c r="O21" s="2" t="s">
        <v>15</v>
      </c>
      <c r="P21" s="2" t="s">
        <v>14</v>
      </c>
    </row>
    <row r="22" spans="1:16" x14ac:dyDescent="0.25">
      <c r="A22" s="2">
        <v>1</v>
      </c>
      <c r="B22" s="11">
        <v>0.25507220780490297</v>
      </c>
      <c r="C22" s="2">
        <v>98.248937683538202</v>
      </c>
      <c r="D22" s="11">
        <f>1-0.098453</f>
        <v>0.90154699999999999</v>
      </c>
      <c r="E22" s="11">
        <v>0.72120606214838001</v>
      </c>
      <c r="F22" s="2">
        <v>247.1343</v>
      </c>
      <c r="G22" s="11">
        <f>1-0.00912</f>
        <v>0.99087999999999998</v>
      </c>
      <c r="H22" s="2">
        <v>0.44909852242445603</v>
      </c>
      <c r="I22" s="2">
        <v>112.82300793783401</v>
      </c>
      <c r="J22" s="11">
        <f>1-0.154</f>
        <v>0.84599999999999997</v>
      </c>
      <c r="K22" s="11">
        <v>0.55094980000000005</v>
      </c>
      <c r="L22">
        <v>132.83086719021401</v>
      </c>
      <c r="M22" s="11">
        <f>1-0.028153456</f>
        <v>0.97184654400000003</v>
      </c>
      <c r="N22" s="11">
        <v>0.37649496556700002</v>
      </c>
      <c r="O22" s="2">
        <v>107.018</v>
      </c>
      <c r="P22" s="12">
        <v>1</v>
      </c>
    </row>
    <row r="23" spans="1:16" x14ac:dyDescent="0.25">
      <c r="A23" s="2">
        <v>2</v>
      </c>
      <c r="B23" s="11">
        <v>0.25395745726577901</v>
      </c>
      <c r="C23" s="2">
        <v>100.42993768625099</v>
      </c>
      <c r="D23" s="11">
        <f>1-0.0112</f>
        <v>0.98880000000000001</v>
      </c>
      <c r="E23" s="11">
        <v>1.2170527639861299</v>
      </c>
      <c r="F23" s="2">
        <v>267.09539654000599</v>
      </c>
      <c r="G23" s="11">
        <f>1-0.001231</f>
        <v>0.99876900000000002</v>
      </c>
      <c r="H23" s="11">
        <v>0.44974193000000001</v>
      </c>
      <c r="I23" s="2">
        <v>122.94933226873999</v>
      </c>
      <c r="J23" s="11">
        <f>1-0.01789</f>
        <v>0.98211000000000004</v>
      </c>
      <c r="K23" s="11">
        <v>0.43466599888393298</v>
      </c>
      <c r="L23" s="2">
        <v>128.57132262701001</v>
      </c>
      <c r="M23" s="11">
        <f>1-0.12123</f>
        <v>0.87877000000000005</v>
      </c>
      <c r="N23" s="11">
        <v>0.37897926096380402</v>
      </c>
      <c r="O23" s="2">
        <v>121.11308152627301</v>
      </c>
      <c r="P23" s="12">
        <v>1</v>
      </c>
    </row>
    <row r="24" spans="1:16" x14ac:dyDescent="0.25">
      <c r="A24" s="2">
        <v>3</v>
      </c>
      <c r="B24" s="11">
        <v>0.24265999999999999</v>
      </c>
      <c r="C24" s="2">
        <v>88.266999999999996</v>
      </c>
      <c r="D24" s="11">
        <v>0.74546000000000001</v>
      </c>
      <c r="E24" s="11">
        <v>1.57836384027501</v>
      </c>
      <c r="F24" s="2">
        <v>374.43030545663203</v>
      </c>
      <c r="G24" s="11">
        <v>0.99009999999999998</v>
      </c>
      <c r="H24" s="11">
        <v>0.43446000000000001</v>
      </c>
      <c r="I24" s="10">
        <v>1.234955</v>
      </c>
      <c r="J24" s="11">
        <v>0.97545999999999999</v>
      </c>
      <c r="K24" s="11">
        <v>0.48964999999999997</v>
      </c>
      <c r="L24" s="10">
        <v>1.2483150000000001</v>
      </c>
      <c r="M24" s="11">
        <v>0.98123000000000005</v>
      </c>
      <c r="N24" s="11">
        <v>0.47041497290000001</v>
      </c>
      <c r="O24" s="2">
        <v>118.513984932106</v>
      </c>
      <c r="P24" s="12">
        <v>1</v>
      </c>
    </row>
    <row r="25" spans="1:16" x14ac:dyDescent="0.25">
      <c r="A25" s="2">
        <v>4</v>
      </c>
      <c r="B25" s="11">
        <v>0.25043176891960001</v>
      </c>
      <c r="C25" s="2">
        <v>96.475461999999993</v>
      </c>
      <c r="D25" s="11">
        <f>1-0.01074</f>
        <v>0.98926000000000003</v>
      </c>
      <c r="E25" s="11">
        <v>1.5406203589130001</v>
      </c>
      <c r="F25" s="2">
        <v>374.1315975</v>
      </c>
      <c r="G25" s="11">
        <v>0.99939999999999996</v>
      </c>
      <c r="H25" s="11">
        <v>0.43667532399999998</v>
      </c>
      <c r="I25" s="2">
        <v>114.3243155</v>
      </c>
      <c r="J25" s="11">
        <f>1-10*0.010746085354</f>
        <v>0.89253914645999999</v>
      </c>
      <c r="K25" s="11">
        <v>0.57330016794000005</v>
      </c>
      <c r="L25" s="2">
        <v>137.795695489</v>
      </c>
      <c r="M25" s="11">
        <f>1-0.01074608535</f>
        <v>0.98925391465000001</v>
      </c>
      <c r="N25" s="11">
        <v>0.37856669127048598</v>
      </c>
      <c r="O25" s="2">
        <v>108.315903355502</v>
      </c>
      <c r="P25" s="12">
        <v>1</v>
      </c>
    </row>
    <row r="26" spans="1:16" x14ac:dyDescent="0.25">
      <c r="A26" s="2">
        <v>5</v>
      </c>
      <c r="B26" s="11">
        <v>0.26804</v>
      </c>
      <c r="C26" s="2">
        <v>91.396893539999994</v>
      </c>
      <c r="D26" s="11">
        <f>1-0.128743</f>
        <v>0.87125699999999995</v>
      </c>
      <c r="E26" s="11">
        <v>1.6514257814</v>
      </c>
      <c r="F26" s="2">
        <v>345.8300691</v>
      </c>
      <c r="G26" s="11">
        <v>0.99809999999999999</v>
      </c>
      <c r="H26" s="11">
        <v>0.45446690280860003</v>
      </c>
      <c r="I26" s="2">
        <v>116.85338833014001</v>
      </c>
      <c r="J26" s="2">
        <f>1-0.09123</f>
        <v>0.90876999999999997</v>
      </c>
      <c r="K26" s="11">
        <v>0.53262580000000004</v>
      </c>
      <c r="L26" s="2">
        <v>122.3830904</v>
      </c>
      <c r="M26" s="11">
        <f>1-0.01381</f>
        <v>0.98619000000000001</v>
      </c>
      <c r="N26" s="11">
        <v>0.42104595103408798</v>
      </c>
      <c r="O26" s="2">
        <v>108.121776197958</v>
      </c>
      <c r="P26" s="12">
        <v>1</v>
      </c>
    </row>
    <row r="27" spans="1:16" x14ac:dyDescent="0.25">
      <c r="A27" s="2">
        <v>6</v>
      </c>
      <c r="B27" s="11">
        <v>0.35246280000000002</v>
      </c>
      <c r="C27" s="2">
        <v>142.113</v>
      </c>
      <c r="D27" s="11">
        <f>1-0.0207289293849658</f>
        <v>0.97927107061503416</v>
      </c>
      <c r="E27" s="11">
        <v>1.9041784288000001</v>
      </c>
      <c r="F27" s="2">
        <v>377.80458223900001</v>
      </c>
      <c r="G27" s="11">
        <f>1-0.001548</f>
        <v>0.99845200000000001</v>
      </c>
      <c r="H27" s="11">
        <v>0.43222216539000002</v>
      </c>
      <c r="I27" s="2">
        <v>129.33484675672</v>
      </c>
      <c r="J27" s="11">
        <v>0.99916302610600005</v>
      </c>
      <c r="K27" s="11">
        <v>0.99916302610600005</v>
      </c>
      <c r="L27" s="2">
        <v>174.46546366901001</v>
      </c>
      <c r="M27" s="11">
        <v>0.99456800000000001</v>
      </c>
      <c r="N27" s="11">
        <v>0.64557750169277195</v>
      </c>
      <c r="O27" s="2">
        <v>149.89033266355901</v>
      </c>
      <c r="P27" s="12">
        <v>1</v>
      </c>
    </row>
    <row r="28" spans="1:16" x14ac:dyDescent="0.25">
      <c r="A28" s="2">
        <v>7</v>
      </c>
      <c r="B28" s="11">
        <v>0.58124214590000001</v>
      </c>
      <c r="C28" s="2">
        <v>137.93504151334901</v>
      </c>
      <c r="D28" s="11">
        <f>1-0.19245</f>
        <v>0.80754999999999999</v>
      </c>
      <c r="E28" s="11">
        <v>1.8745301650999999</v>
      </c>
      <c r="F28" s="2">
        <v>399.764490010928</v>
      </c>
      <c r="G28" s="11">
        <f>1-0.015</f>
        <v>0.98499999999999999</v>
      </c>
      <c r="H28" s="11">
        <v>0.74989125656800004</v>
      </c>
      <c r="I28" s="2">
        <v>140.56673699804301</v>
      </c>
      <c r="J28" s="11">
        <f>1- 0.0191343</f>
        <v>0.98086569999999995</v>
      </c>
      <c r="K28" s="11">
        <v>1.4042066193</v>
      </c>
      <c r="L28" s="2">
        <v>181.15250248000001</v>
      </c>
      <c r="M28" s="11">
        <f>1-0.0054669703</f>
        <v>0.99453302970000002</v>
      </c>
      <c r="N28" s="11">
        <v>0.78136844688545004</v>
      </c>
      <c r="O28" s="2">
        <v>163.717639221279</v>
      </c>
      <c r="P28" s="12">
        <v>1</v>
      </c>
    </row>
    <row r="29" spans="1:16" x14ac:dyDescent="0.25">
      <c r="A29" s="2">
        <v>8</v>
      </c>
      <c r="B29" s="11">
        <v>0.43001089999999997</v>
      </c>
      <c r="C29" s="2">
        <v>138.09845200000001</v>
      </c>
      <c r="D29" s="10">
        <v>0.87639999999999996</v>
      </c>
      <c r="E29" s="11">
        <v>2.6515812604573998</v>
      </c>
      <c r="F29" s="2">
        <v>404.62606392999999</v>
      </c>
      <c r="G29" s="11">
        <f>1-0.010478359908883</f>
        <v>0.98952164009111698</v>
      </c>
      <c r="H29" s="11">
        <v>0.59571603539999995</v>
      </c>
      <c r="I29" s="2">
        <v>135.31629967009101</v>
      </c>
      <c r="J29" s="11">
        <f>1-0.123456</f>
        <v>0.87654399999999999</v>
      </c>
      <c r="K29" s="11">
        <v>1.44492140224931</v>
      </c>
      <c r="L29" s="11">
        <v>208.77434682491099</v>
      </c>
      <c r="M29" s="11">
        <f>1-0.06</f>
        <v>0.94</v>
      </c>
      <c r="N29" s="11">
        <v>0.56007293631788402</v>
      </c>
      <c r="O29" s="2">
        <v>164.607695957229</v>
      </c>
      <c r="P29" s="12">
        <v>1</v>
      </c>
    </row>
    <row r="30" spans="1:16" x14ac:dyDescent="0.25">
      <c r="A30" s="2">
        <v>9</v>
      </c>
      <c r="B30" s="11">
        <v>0.33959984907844998</v>
      </c>
      <c r="C30" s="2">
        <v>121.654</v>
      </c>
      <c r="D30" s="11">
        <f>1-0.01958997722</f>
        <v>0.98041002278</v>
      </c>
      <c r="E30" s="11">
        <v>1.9403919999999999</v>
      </c>
      <c r="F30" s="2">
        <v>393.67064599999998</v>
      </c>
      <c r="G30" s="11">
        <f>1- 0.01617312</f>
        <v>0.98382687999999996</v>
      </c>
      <c r="H30" s="11">
        <v>0.52275490354200005</v>
      </c>
      <c r="I30" s="2">
        <v>146.67308253072599</v>
      </c>
      <c r="J30">
        <f>1-0.0195899772209567</f>
        <v>0.98041002277904332</v>
      </c>
      <c r="K30" s="2">
        <v>1.082480764</v>
      </c>
      <c r="L30" s="2">
        <v>190.71023374000001</v>
      </c>
      <c r="M30" s="11">
        <f>1-0.006833712984</f>
        <v>0.99316628701599996</v>
      </c>
      <c r="N30" s="11">
        <v>0.68212549038977</v>
      </c>
      <c r="O30" s="2">
        <v>156.78255556053799</v>
      </c>
      <c r="P30" s="12">
        <v>1</v>
      </c>
    </row>
    <row r="31" spans="1:16" x14ac:dyDescent="0.25">
      <c r="A31" s="2">
        <v>10</v>
      </c>
      <c r="B31" s="11">
        <v>0.396457721202291</v>
      </c>
      <c r="C31" s="2">
        <v>149.6634823</v>
      </c>
      <c r="D31" s="11">
        <f>1-0.019817*6</f>
        <v>0.88109799999999994</v>
      </c>
      <c r="E31" s="11">
        <v>1.36968745172605</v>
      </c>
      <c r="F31" s="2">
        <v>387.19332349257002</v>
      </c>
      <c r="G31" s="11">
        <f>1-0.014578587699316</f>
        <v>0.98542141230068403</v>
      </c>
      <c r="H31" s="11">
        <v>0.53088486837035598</v>
      </c>
      <c r="I31" s="2">
        <v>140.23001639368999</v>
      </c>
      <c r="J31" s="2">
        <f>1- 0.019817767653758</f>
        <v>0.98018223234624202</v>
      </c>
      <c r="K31" s="11">
        <v>1.2485701248600001</v>
      </c>
      <c r="L31" s="2">
        <v>233.86803800000001</v>
      </c>
      <c r="M31" s="11">
        <f>1-0.0865603644646924</f>
        <v>0.9134396355353076</v>
      </c>
      <c r="N31" s="11">
        <v>0.57664085129999998</v>
      </c>
      <c r="O31" s="2">
        <v>167.865829991542</v>
      </c>
      <c r="P31" s="12">
        <v>1</v>
      </c>
    </row>
    <row r="32" spans="1:16" x14ac:dyDescent="0.25">
      <c r="A32" s="2" t="s">
        <v>18</v>
      </c>
      <c r="B32" s="11">
        <f>AVERAGE(B22:B31)</f>
        <v>0.3369934850171023</v>
      </c>
      <c r="C32" s="20">
        <f t="shared" ref="C32:O32" si="1">AVERAGE(C22:C31)</f>
        <v>116.42822067231381</v>
      </c>
      <c r="D32" s="11">
        <f>AVERAGE(D22:D31)</f>
        <v>0.90210530933950339</v>
      </c>
      <c r="E32" s="11">
        <f t="shared" si="1"/>
        <v>1.6449038112805969</v>
      </c>
      <c r="F32" s="20">
        <f t="shared" si="1"/>
        <v>357.16807742691356</v>
      </c>
      <c r="G32" s="11">
        <f t="shared" si="1"/>
        <v>0.99194709323918029</v>
      </c>
      <c r="H32" s="11">
        <f t="shared" si="1"/>
        <v>0.50559119085034132</v>
      </c>
      <c r="I32" s="20">
        <f t="shared" si="1"/>
        <v>116.03059813859841</v>
      </c>
      <c r="J32" s="11">
        <f t="shared" si="1"/>
        <v>0.9422044127691287</v>
      </c>
      <c r="K32" s="11">
        <f t="shared" si="1"/>
        <v>0.87605337033392439</v>
      </c>
      <c r="L32" s="20">
        <f t="shared" si="1"/>
        <v>151.17998754201449</v>
      </c>
      <c r="M32" s="11">
        <f t="shared" si="1"/>
        <v>0.96429974109013084</v>
      </c>
      <c r="N32" s="11">
        <f t="shared" si="1"/>
        <v>0.52712870683212532</v>
      </c>
      <c r="O32" s="20">
        <f t="shared" si="1"/>
        <v>136.59467994059861</v>
      </c>
      <c r="P32" s="12">
        <v>1</v>
      </c>
    </row>
  </sheetData>
  <mergeCells count="11">
    <mergeCell ref="A19:O19"/>
    <mergeCell ref="B1:D1"/>
    <mergeCell ref="E1:G1"/>
    <mergeCell ref="H1:J1"/>
    <mergeCell ref="K1:M1"/>
    <mergeCell ref="N1:P1"/>
    <mergeCell ref="B20:D20"/>
    <mergeCell ref="E20:G20"/>
    <mergeCell ref="H20:J20"/>
    <mergeCell ref="K20:M20"/>
    <mergeCell ref="N20:P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FC6E-0226-4625-AF64-01D91030FF73}">
  <dimension ref="A4:K6"/>
  <sheetViews>
    <sheetView topLeftCell="A4" workbookViewId="0">
      <selection activeCell="A6" sqref="A6"/>
    </sheetView>
  </sheetViews>
  <sheetFormatPr defaultRowHeight="13.8" x14ac:dyDescent="0.25"/>
  <sheetData>
    <row r="4" spans="1:11" x14ac:dyDescent="0.25">
      <c r="A4" s="4"/>
      <c r="B4" s="46" t="s">
        <v>1</v>
      </c>
      <c r="C4" s="42"/>
      <c r="D4" s="46" t="s">
        <v>20</v>
      </c>
      <c r="E4" s="42"/>
      <c r="F4" s="42" t="s">
        <v>2</v>
      </c>
      <c r="G4" s="42"/>
      <c r="H4" s="46" t="s">
        <v>3</v>
      </c>
      <c r="I4" s="46"/>
      <c r="J4" s="43" t="s">
        <v>0</v>
      </c>
      <c r="K4" s="44"/>
    </row>
    <row r="5" spans="1:11" x14ac:dyDescent="0.25">
      <c r="A5" s="4" t="s">
        <v>24</v>
      </c>
      <c r="B5" s="21" t="s">
        <v>16</v>
      </c>
      <c r="C5" s="22" t="s">
        <v>6</v>
      </c>
      <c r="D5" s="21" t="s">
        <v>16</v>
      </c>
      <c r="E5" s="22" t="s">
        <v>6</v>
      </c>
      <c r="F5" s="21" t="s">
        <v>16</v>
      </c>
      <c r="G5" s="22" t="s">
        <v>6</v>
      </c>
      <c r="H5" s="21" t="s">
        <v>16</v>
      </c>
      <c r="I5" s="22" t="s">
        <v>6</v>
      </c>
      <c r="J5" s="21" t="s">
        <v>16</v>
      </c>
      <c r="K5" s="22" t="s">
        <v>6</v>
      </c>
    </row>
    <row r="6" spans="1:11" x14ac:dyDescent="0.25">
      <c r="A6" s="5">
        <v>1</v>
      </c>
      <c r="B6" s="27">
        <v>0.15456</v>
      </c>
      <c r="C6" s="28"/>
      <c r="D6" s="27">
        <v>0.36287910000000001</v>
      </c>
      <c r="E6" s="28"/>
      <c r="F6" s="27">
        <f>0.01552*10</f>
        <v>0.1552</v>
      </c>
      <c r="G6" s="28"/>
      <c r="H6" s="27">
        <f>0.00268934764964181*81</f>
        <v>0.2178371596209866</v>
      </c>
      <c r="I6" s="28"/>
      <c r="J6" s="27">
        <v>0.12457809072928</v>
      </c>
      <c r="K6" s="28"/>
    </row>
  </sheetData>
  <mergeCells count="5"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A847-EC63-4F11-A819-448E434885E5}">
  <dimension ref="A1:P26"/>
  <sheetViews>
    <sheetView topLeftCell="A19" workbookViewId="0">
      <selection activeCell="B39" sqref="B39"/>
    </sheetView>
  </sheetViews>
  <sheetFormatPr defaultRowHeight="13.8" x14ac:dyDescent="0.25"/>
  <cols>
    <col min="1" max="1" width="9.5546875" bestFit="1" customWidth="1"/>
    <col min="2" max="2" width="8.88671875" style="1"/>
    <col min="3" max="3" width="8.88671875" style="23"/>
    <col min="4" max="4" width="8.88671875" style="1"/>
    <col min="5" max="5" width="8.88671875" style="23"/>
    <col min="6" max="6" width="8.88671875" style="1"/>
    <col min="7" max="7" width="8.88671875" style="23"/>
    <col min="8" max="8" width="8.88671875" style="1"/>
    <col min="9" max="9" width="8.88671875" style="23"/>
    <col min="10" max="10" width="8.88671875" style="1"/>
    <col min="11" max="11" width="8.88671875" style="23"/>
    <col min="13" max="13" width="6" bestFit="1" customWidth="1"/>
  </cols>
  <sheetData>
    <row r="1" spans="1:11" x14ac:dyDescent="0.25">
      <c r="A1" s="4"/>
      <c r="B1" s="46" t="s">
        <v>10</v>
      </c>
      <c r="C1" s="42"/>
      <c r="D1" s="46" t="s">
        <v>20</v>
      </c>
      <c r="E1" s="42"/>
      <c r="F1" s="42" t="s">
        <v>12</v>
      </c>
      <c r="G1" s="42"/>
      <c r="H1" s="46" t="s">
        <v>13</v>
      </c>
      <c r="I1" s="46"/>
      <c r="J1" s="43" t="s">
        <v>17</v>
      </c>
      <c r="K1" s="44"/>
    </row>
    <row r="2" spans="1:11" x14ac:dyDescent="0.25">
      <c r="A2" s="4" t="s">
        <v>23</v>
      </c>
      <c r="B2" s="21" t="s">
        <v>16</v>
      </c>
      <c r="C2" s="22" t="s">
        <v>15</v>
      </c>
      <c r="D2" s="21" t="s">
        <v>16</v>
      </c>
      <c r="E2" s="22" t="s">
        <v>15</v>
      </c>
      <c r="F2" s="21" t="s">
        <v>16</v>
      </c>
      <c r="G2" s="22" t="s">
        <v>15</v>
      </c>
      <c r="H2" s="21" t="s">
        <v>16</v>
      </c>
      <c r="I2" s="22" t="s">
        <v>15</v>
      </c>
      <c r="J2" s="21" t="s">
        <v>16</v>
      </c>
      <c r="K2" s="22" t="s">
        <v>15</v>
      </c>
    </row>
    <row r="3" spans="1:11" x14ac:dyDescent="0.25">
      <c r="A3" t="s">
        <v>8</v>
      </c>
      <c r="B3" s="1">
        <v>0.17830323861330072</v>
      </c>
      <c r="C3" s="23">
        <v>5.8537372188257626</v>
      </c>
      <c r="D3" s="1">
        <v>0.68037443847570234</v>
      </c>
      <c r="E3" s="23">
        <v>24.660325089160089</v>
      </c>
      <c r="F3" s="1">
        <v>0.19084206420350674</v>
      </c>
      <c r="G3" s="23">
        <v>6.7502851757531603</v>
      </c>
      <c r="H3" s="1">
        <v>0.1618761819363565</v>
      </c>
      <c r="I3" s="23">
        <v>5.2199802025354343</v>
      </c>
      <c r="J3" s="1">
        <v>0.21312680161942227</v>
      </c>
      <c r="K3" s="23">
        <v>7.2864587719418807</v>
      </c>
    </row>
    <row r="4" spans="1:11" x14ac:dyDescent="0.25">
      <c r="A4" t="s">
        <v>4</v>
      </c>
      <c r="B4" s="1">
        <v>0.20878122615569139</v>
      </c>
      <c r="C4" s="23">
        <v>110.64386642223378</v>
      </c>
      <c r="D4" s="1">
        <v>0.76833611079773401</v>
      </c>
      <c r="E4" s="23">
        <v>283.869940847816</v>
      </c>
      <c r="F4" s="1">
        <v>0.12329127770519374</v>
      </c>
      <c r="G4" s="23">
        <v>60.18945201081533</v>
      </c>
      <c r="H4" s="1">
        <v>0.22554308138124468</v>
      </c>
      <c r="I4" s="23">
        <v>76.202600265801863</v>
      </c>
      <c r="J4" s="1">
        <v>0.24610069590671788</v>
      </c>
      <c r="K4" s="23">
        <v>113.44559552147102</v>
      </c>
    </row>
    <row r="5" spans="1:11" x14ac:dyDescent="0.25">
      <c r="A5" t="s">
        <v>5</v>
      </c>
      <c r="B5" s="1">
        <v>0.3369934850171023</v>
      </c>
      <c r="C5" s="23">
        <v>116.42822067231381</v>
      </c>
      <c r="D5" s="1">
        <v>1.0449038112805999</v>
      </c>
      <c r="E5" s="23">
        <v>357.16807742691356</v>
      </c>
      <c r="F5" s="1">
        <v>0.50559119085034132</v>
      </c>
      <c r="G5" s="23">
        <v>116.03059813859841</v>
      </c>
      <c r="H5" s="1">
        <v>0.87605337033392439</v>
      </c>
      <c r="I5" s="23">
        <v>151.17998754201449</v>
      </c>
      <c r="J5" s="1">
        <v>0.52712870683212532</v>
      </c>
      <c r="K5" s="23">
        <v>136.59467994059861</v>
      </c>
    </row>
    <row r="6" spans="1:11" x14ac:dyDescent="0.25">
      <c r="A6" t="s">
        <v>21</v>
      </c>
      <c r="B6" s="29">
        <v>0.20045602770654636</v>
      </c>
      <c r="C6" s="13">
        <v>3.0079997827346699E-2</v>
      </c>
      <c r="D6" s="29">
        <v>0.49799571566714002</v>
      </c>
      <c r="E6" s="13">
        <v>0.11500886101142641</v>
      </c>
      <c r="F6" s="11">
        <v>0.12875794016980899</v>
      </c>
      <c r="G6" s="13">
        <v>2.3358380462999997E-2</v>
      </c>
      <c r="H6" s="29">
        <v>0.12309934928249</v>
      </c>
      <c r="I6" s="13">
        <v>2.430725316893045E-2</v>
      </c>
      <c r="J6" s="29">
        <v>0.26383970678884111</v>
      </c>
      <c r="K6" s="13">
        <v>4.8006791653998529E-2</v>
      </c>
    </row>
    <row r="7" spans="1:11" x14ac:dyDescent="0.25">
      <c r="A7" s="5" t="s">
        <v>7</v>
      </c>
      <c r="B7" s="27">
        <v>0.15456</v>
      </c>
      <c r="C7" s="28"/>
      <c r="D7" s="27">
        <v>0.36287910000000001</v>
      </c>
      <c r="E7" s="28"/>
      <c r="F7" s="27">
        <f>0.01552*10</f>
        <v>0.1552</v>
      </c>
      <c r="G7" s="28"/>
      <c r="H7" s="27">
        <f>0.00268934764964181*81</f>
        <v>0.2178371596209866</v>
      </c>
      <c r="I7" s="28"/>
      <c r="J7" s="27">
        <v>0.12457809072928</v>
      </c>
      <c r="K7" s="28"/>
    </row>
    <row r="15" spans="1:11" x14ac:dyDescent="0.25">
      <c r="B15" t="s">
        <v>22</v>
      </c>
    </row>
    <row r="19" spans="6:16" x14ac:dyDescent="0.25">
      <c r="F19" s="31"/>
      <c r="G19" s="47" t="s">
        <v>1</v>
      </c>
      <c r="H19" s="48"/>
      <c r="I19" s="47" t="s">
        <v>20</v>
      </c>
      <c r="J19" s="48"/>
      <c r="K19" s="48" t="s">
        <v>2</v>
      </c>
      <c r="L19" s="48"/>
      <c r="M19" s="47" t="s">
        <v>3</v>
      </c>
      <c r="N19" s="47"/>
      <c r="O19" s="48" t="s">
        <v>0</v>
      </c>
      <c r="P19" s="48"/>
    </row>
    <row r="20" spans="6:16" x14ac:dyDescent="0.25">
      <c r="F20" s="31" t="s">
        <v>23</v>
      </c>
      <c r="G20" s="32" t="s">
        <v>16</v>
      </c>
      <c r="H20" s="33" t="s">
        <v>6</v>
      </c>
      <c r="I20" s="32" t="s">
        <v>16</v>
      </c>
      <c r="J20" s="33" t="s">
        <v>6</v>
      </c>
      <c r="K20" s="32" t="s">
        <v>16</v>
      </c>
      <c r="L20" s="33" t="s">
        <v>6</v>
      </c>
      <c r="M20" s="32" t="s">
        <v>16</v>
      </c>
      <c r="N20" s="33" t="s">
        <v>6</v>
      </c>
      <c r="O20" s="32" t="s">
        <v>16</v>
      </c>
      <c r="P20" s="33" t="s">
        <v>6</v>
      </c>
    </row>
    <row r="21" spans="6:16" x14ac:dyDescent="0.25">
      <c r="F21" s="2" t="s">
        <v>8</v>
      </c>
      <c r="G21" s="29">
        <v>0.17830323861330072</v>
      </c>
      <c r="H21" s="30">
        <v>5.8537372188257626</v>
      </c>
      <c r="I21" s="29">
        <v>0.68037443847570234</v>
      </c>
      <c r="J21" s="30">
        <v>24.660325089160089</v>
      </c>
      <c r="K21" s="29">
        <v>0.19084206420350674</v>
      </c>
      <c r="L21" s="30">
        <v>6.7502851757531603</v>
      </c>
      <c r="M21" s="29">
        <v>0.1618761819363565</v>
      </c>
      <c r="N21" s="30">
        <v>5.2199802025354343</v>
      </c>
      <c r="O21" s="29">
        <v>0.21312680161942227</v>
      </c>
      <c r="P21" s="30">
        <v>7.2864587719418807</v>
      </c>
    </row>
    <row r="22" spans="6:16" x14ac:dyDescent="0.25">
      <c r="F22" s="2" t="s">
        <v>4</v>
      </c>
      <c r="G22" s="29">
        <v>0.20878122615569139</v>
      </c>
      <c r="H22" s="30">
        <v>110.64386642223378</v>
      </c>
      <c r="I22" s="29">
        <v>0.76833611079773401</v>
      </c>
      <c r="J22" s="30">
        <v>283.869940847816</v>
      </c>
      <c r="K22" s="29">
        <v>0.12329127770519374</v>
      </c>
      <c r="L22" s="30">
        <v>60.18945201081533</v>
      </c>
      <c r="M22" s="29">
        <v>0.22554308138124468</v>
      </c>
      <c r="N22" s="30">
        <v>76.202600265801863</v>
      </c>
      <c r="O22" s="29">
        <v>0.24610069590671788</v>
      </c>
      <c r="P22" s="30">
        <v>113.44559552147102</v>
      </c>
    </row>
    <row r="23" spans="6:16" x14ac:dyDescent="0.25">
      <c r="F23" s="2" t="s">
        <v>5</v>
      </c>
      <c r="G23" s="29">
        <v>0.3369934850171023</v>
      </c>
      <c r="H23" s="30">
        <v>116.42822067231381</v>
      </c>
      <c r="I23" s="29">
        <v>1.0449038112805999</v>
      </c>
      <c r="J23" s="30">
        <v>357.16807742691356</v>
      </c>
      <c r="K23" s="29">
        <v>0.50559119085034132</v>
      </c>
      <c r="L23" s="30">
        <v>116.03059813859841</v>
      </c>
      <c r="M23" s="29">
        <v>0.87605337033392439</v>
      </c>
      <c r="N23" s="30">
        <v>151.17998754201449</v>
      </c>
      <c r="O23" s="29">
        <v>0.52712870683212532</v>
      </c>
      <c r="P23" s="30">
        <v>136.59467994059861</v>
      </c>
    </row>
    <row r="24" spans="6:16" x14ac:dyDescent="0.25">
      <c r="F24" s="2" t="s">
        <v>21</v>
      </c>
      <c r="G24" s="29">
        <v>0.20045602770654636</v>
      </c>
      <c r="H24" s="13">
        <v>3.0079997827346699E-2</v>
      </c>
      <c r="I24" s="29">
        <v>0.49799571566714002</v>
      </c>
      <c r="J24" s="13">
        <v>0.11500886101142641</v>
      </c>
      <c r="K24" s="11">
        <v>0.12875794016980899</v>
      </c>
      <c r="L24" s="13">
        <v>2.3358380462999997E-2</v>
      </c>
      <c r="M24" s="29">
        <v>0.12309934928249</v>
      </c>
      <c r="N24" s="13">
        <v>2.430725316893045E-2</v>
      </c>
      <c r="O24" s="29">
        <v>0.26383970678884111</v>
      </c>
      <c r="P24" s="13">
        <v>4.8006791653998529E-2</v>
      </c>
    </row>
    <row r="25" spans="6:16" x14ac:dyDescent="0.25">
      <c r="F25" s="2" t="s">
        <v>7</v>
      </c>
      <c r="G25" s="29">
        <v>0.15456</v>
      </c>
      <c r="H25" s="30"/>
      <c r="I25" s="29">
        <v>0.36287910000000001</v>
      </c>
      <c r="J25" s="30"/>
      <c r="K25" s="29">
        <f>0.01552*10</f>
        <v>0.1552</v>
      </c>
      <c r="L25" s="30"/>
      <c r="M25" s="29">
        <f>0.00268934764964181*81</f>
        <v>0.2178371596209866</v>
      </c>
      <c r="N25" s="30"/>
      <c r="O25" s="29">
        <v>0.12457809072928</v>
      </c>
      <c r="P25" s="30"/>
    </row>
    <row r="26" spans="6:16" x14ac:dyDescent="0.25">
      <c r="F26" s="32"/>
      <c r="G26" s="33"/>
      <c r="H26" s="32"/>
      <c r="I26" s="33"/>
      <c r="J26" s="32"/>
      <c r="K26" s="33"/>
      <c r="L26" s="31"/>
      <c r="M26" s="31"/>
      <c r="N26" s="31"/>
      <c r="O26" s="31"/>
      <c r="P26" s="31"/>
    </row>
  </sheetData>
  <mergeCells count="10">
    <mergeCell ref="B1:C1"/>
    <mergeCell ref="D1:E1"/>
    <mergeCell ref="F1:G1"/>
    <mergeCell ref="H1:I1"/>
    <mergeCell ref="J1:K1"/>
    <mergeCell ref="G19:H19"/>
    <mergeCell ref="I19:J19"/>
    <mergeCell ref="K19:L19"/>
    <mergeCell ref="M19:N19"/>
    <mergeCell ref="O19:P1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CA6F-0F5C-42F1-A430-9AA12FCC21FB}">
  <dimension ref="E13:M27"/>
  <sheetViews>
    <sheetView tabSelected="1" topLeftCell="C10" zoomScale="130" zoomScaleNormal="130" workbookViewId="0">
      <selection activeCell="I19" sqref="I19"/>
    </sheetView>
  </sheetViews>
  <sheetFormatPr defaultRowHeight="13.8" x14ac:dyDescent="0.25"/>
  <sheetData>
    <row r="13" spans="6:13" ht="14.4" thickBot="1" x14ac:dyDescent="0.3"/>
    <row r="14" spans="6:13" ht="21" thickTop="1" thickBot="1" x14ac:dyDescent="0.3">
      <c r="F14" s="34" t="s">
        <v>25</v>
      </c>
      <c r="G14" s="35" t="s">
        <v>26</v>
      </c>
      <c r="H14" s="36" t="s">
        <v>27</v>
      </c>
      <c r="I14" s="35" t="s">
        <v>28</v>
      </c>
      <c r="J14" s="37" t="s">
        <v>29</v>
      </c>
      <c r="K14" s="35" t="s">
        <v>30</v>
      </c>
    </row>
    <row r="15" spans="6:13" x14ac:dyDescent="0.25">
      <c r="F15" s="38" t="s">
        <v>31</v>
      </c>
      <c r="G15" s="40">
        <v>0.71699999999999997</v>
      </c>
      <c r="H15" s="40">
        <v>0.66300000000000003</v>
      </c>
      <c r="I15" s="40">
        <v>0.58599999999999997</v>
      </c>
      <c r="J15" s="40">
        <v>0.48299999999999998</v>
      </c>
      <c r="K15" s="40">
        <v>0.159</v>
      </c>
      <c r="M15" s="40"/>
    </row>
    <row r="16" spans="6:13" x14ac:dyDescent="0.25">
      <c r="F16" s="38" t="s">
        <v>32</v>
      </c>
      <c r="G16" s="40">
        <v>0</v>
      </c>
      <c r="H16" s="40">
        <v>0</v>
      </c>
      <c r="I16" s="40">
        <v>5.8599999999999998E-3</v>
      </c>
      <c r="J16" s="40">
        <v>0.22700000000000001</v>
      </c>
      <c r="K16" s="40">
        <v>5.0000000000000001E-3</v>
      </c>
      <c r="M16" s="40"/>
    </row>
    <row r="17" spans="5:13" ht="14.4" thickBot="1" x14ac:dyDescent="0.3">
      <c r="F17" s="39" t="s">
        <v>33</v>
      </c>
      <c r="G17" s="40">
        <v>3.9300000000000003E-3</v>
      </c>
      <c r="H17" s="40">
        <v>2.8782889999999998E-2</v>
      </c>
      <c r="I17" s="40">
        <v>0.24311841179999999</v>
      </c>
      <c r="J17" s="40">
        <v>0.27329999999999999</v>
      </c>
      <c r="K17" s="40">
        <v>0.105335255</v>
      </c>
      <c r="M17" s="40"/>
    </row>
    <row r="18" spans="5:13" ht="15" thickTop="1" thickBot="1" x14ac:dyDescent="0.3">
      <c r="F18" s="39" t="s">
        <v>34</v>
      </c>
      <c r="G18" s="40">
        <v>1.48299334E-2</v>
      </c>
      <c r="H18" s="40">
        <v>0.21628965392934299</v>
      </c>
      <c r="I18" s="40">
        <v>0.522351024</v>
      </c>
      <c r="J18" s="40">
        <v>0.2916456</v>
      </c>
      <c r="K18" s="40">
        <v>3.81038E-2</v>
      </c>
      <c r="M18" s="40"/>
    </row>
    <row r="19" spans="5:13" ht="15" thickTop="1" thickBot="1" x14ac:dyDescent="0.3">
      <c r="F19" s="39" t="s">
        <v>35</v>
      </c>
      <c r="G19" s="40">
        <v>2.7637940499999999E-2</v>
      </c>
      <c r="H19" s="40">
        <v>0.42125653388599998</v>
      </c>
      <c r="I19" s="40">
        <v>0.55539026676279701</v>
      </c>
      <c r="J19" s="40">
        <v>0.37453690000000001</v>
      </c>
      <c r="K19" s="40">
        <v>0.1547</v>
      </c>
      <c r="M19" s="40"/>
    </row>
    <row r="20" spans="5:13" ht="15" thickTop="1" thickBot="1" x14ac:dyDescent="0.3">
      <c r="F20" s="39" t="s">
        <v>36</v>
      </c>
      <c r="G20" s="40">
        <v>0</v>
      </c>
      <c r="H20" s="40">
        <v>0</v>
      </c>
      <c r="I20" s="40">
        <v>0.34310299999999999</v>
      </c>
      <c r="J20" s="40">
        <f>0.29434</f>
        <v>0.29433999999999999</v>
      </c>
      <c r="K20" s="40">
        <v>0.10526000000000001</v>
      </c>
      <c r="M20" s="40"/>
    </row>
    <row r="21" spans="5:13" ht="14.4" thickTop="1" x14ac:dyDescent="0.25"/>
    <row r="27" spans="5:13" x14ac:dyDescent="0.25">
      <c r="E27">
        <f>365*152*(27-1)</f>
        <v>1442480</v>
      </c>
      <c r="F27">
        <f>1442480*22.7/100</f>
        <v>327442.96000000002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ndvi</vt:lpstr>
      <vt:lpstr>PM</vt:lpstr>
      <vt:lpstr>AOD</vt:lpstr>
      <vt:lpstr>气象</vt:lpstr>
      <vt:lpstr>精度</vt:lpstr>
      <vt:lpstr>广度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2015-06-05T18:17:20Z</dcterms:created>
  <dcterms:modified xsi:type="dcterms:W3CDTF">2020-03-11T13:18:04Z</dcterms:modified>
</cp:coreProperties>
</file>