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fukuno/data/js/sound/audio-classification/"/>
    </mc:Choice>
  </mc:AlternateContent>
  <xr:revisionPtr revIDLastSave="0" documentId="13_ncr:9_{DED3F7BC-4E64-EE42-99DB-0B3B08F6417A}" xr6:coauthVersionLast="47" xr6:coauthVersionMax="47" xr10:uidLastSave="{00000000-0000-0000-0000-000000000000}"/>
  <bookViews>
    <workbookView xWindow="0" yWindow="880" windowWidth="36000" windowHeight="22500" xr2:uid="{00000000-000D-0000-FFFF-FFFF00000000}"/>
  </bookViews>
  <sheets>
    <sheet name="yammnet_label_or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B4" i="1" s="1"/>
  <c r="D5" i="1"/>
  <c r="B5" i="1" s="1"/>
  <c r="D6" i="1"/>
  <c r="B6" i="1" s="1"/>
  <c r="D7" i="1"/>
  <c r="B7" i="1" s="1"/>
  <c r="D8" i="1"/>
  <c r="B8" i="1" s="1"/>
  <c r="D9" i="1"/>
  <c r="D10" i="1"/>
  <c r="D11" i="1"/>
  <c r="D12" i="1"/>
  <c r="B12" i="1" s="1"/>
  <c r="D13" i="1"/>
  <c r="D14" i="1"/>
  <c r="B14" i="1" s="1"/>
  <c r="D15" i="1"/>
  <c r="B15" i="1" s="1"/>
  <c r="D16" i="1"/>
  <c r="B16" i="1" s="1"/>
  <c r="D17" i="1"/>
  <c r="B17" i="1" s="1"/>
  <c r="D18" i="1"/>
  <c r="D19" i="1"/>
  <c r="B19" i="1" s="1"/>
  <c r="D20" i="1"/>
  <c r="D21" i="1"/>
  <c r="D22" i="1"/>
  <c r="B22" i="1" s="1"/>
  <c r="D23" i="1"/>
  <c r="D24" i="1"/>
  <c r="B24" i="1" s="1"/>
  <c r="D25" i="1"/>
  <c r="B25" i="1" s="1"/>
  <c r="D26" i="1"/>
  <c r="D27" i="1"/>
  <c r="B27" i="1" s="1"/>
  <c r="D28" i="1"/>
  <c r="B28" i="1" s="1"/>
  <c r="D29" i="1"/>
  <c r="B29" i="1" s="1"/>
  <c r="D30" i="1"/>
  <c r="D31" i="1"/>
  <c r="B31" i="1" s="1"/>
  <c r="D32" i="1"/>
  <c r="B32" i="1" s="1"/>
  <c r="D33" i="1"/>
  <c r="B33" i="1" s="1"/>
  <c r="D34" i="1"/>
  <c r="B34" i="1" s="1"/>
  <c r="D35" i="1"/>
  <c r="B35" i="1" s="1"/>
  <c r="D36" i="1"/>
  <c r="B36" i="1" s="1"/>
  <c r="D37" i="1"/>
  <c r="B37" i="1" s="1"/>
  <c r="D38" i="1"/>
  <c r="B38" i="1" s="1"/>
  <c r="D39" i="1"/>
  <c r="B39" i="1" s="1"/>
  <c r="D40" i="1"/>
  <c r="B40" i="1" s="1"/>
  <c r="D41" i="1"/>
  <c r="B41" i="1" s="1"/>
  <c r="D42" i="1"/>
  <c r="D43" i="1"/>
  <c r="B43" i="1" s="1"/>
  <c r="D44" i="1"/>
  <c r="B44" i="1" s="1"/>
  <c r="D45" i="1"/>
  <c r="D46" i="1"/>
  <c r="B46" i="1" s="1"/>
  <c r="D47" i="1"/>
  <c r="D48" i="1"/>
  <c r="B48" i="1" s="1"/>
  <c r="D49" i="1"/>
  <c r="D50" i="1"/>
  <c r="B50" i="1" s="1"/>
  <c r="D51" i="1"/>
  <c r="D52" i="1"/>
  <c r="B52" i="1" s="1"/>
  <c r="D53" i="1"/>
  <c r="B53" i="1" s="1"/>
  <c r="D54" i="1"/>
  <c r="B54" i="1" s="1"/>
  <c r="D55" i="1"/>
  <c r="D56" i="1"/>
  <c r="B56" i="1" s="1"/>
  <c r="D57" i="1"/>
  <c r="B57" i="1" s="1"/>
  <c r="D58" i="1"/>
  <c r="B58" i="1" s="1"/>
  <c r="D59" i="1"/>
  <c r="D60" i="1"/>
  <c r="D61" i="1"/>
  <c r="B61" i="1" s="1"/>
  <c r="D62" i="1"/>
  <c r="B62" i="1" s="1"/>
  <c r="D63" i="1"/>
  <c r="B63" i="1" s="1"/>
  <c r="D64" i="1"/>
  <c r="B64" i="1" s="1"/>
  <c r="D65" i="1"/>
  <c r="B65" i="1" s="1"/>
  <c r="D66" i="1"/>
  <c r="B66" i="1" s="1"/>
  <c r="D67" i="1"/>
  <c r="D68" i="1"/>
  <c r="B68" i="1" s="1"/>
  <c r="D69" i="1"/>
  <c r="B69" i="1" s="1"/>
  <c r="D70" i="1"/>
  <c r="B70" i="1" s="1"/>
  <c r="D71" i="1"/>
  <c r="B71" i="1" s="1"/>
  <c r="D72" i="1"/>
  <c r="B72" i="1" s="1"/>
  <c r="D73" i="1"/>
  <c r="B73" i="1" s="1"/>
  <c r="D74" i="1"/>
  <c r="B74" i="1" s="1"/>
  <c r="D75" i="1"/>
  <c r="D76" i="1"/>
  <c r="B76" i="1" s="1"/>
  <c r="D77" i="1"/>
  <c r="B77" i="1" s="1"/>
  <c r="D78" i="1"/>
  <c r="B78" i="1" s="1"/>
  <c r="D79" i="1"/>
  <c r="D80" i="1"/>
  <c r="B80" i="1" s="1"/>
  <c r="D81" i="1"/>
  <c r="D82" i="1"/>
  <c r="D83" i="1"/>
  <c r="B83" i="1" s="1"/>
  <c r="D84" i="1"/>
  <c r="B84" i="1" s="1"/>
  <c r="D85" i="1"/>
  <c r="D86" i="1"/>
  <c r="D87" i="1"/>
  <c r="D88" i="1"/>
  <c r="D89" i="1"/>
  <c r="D90" i="1"/>
  <c r="B90" i="1" s="1"/>
  <c r="D91" i="1"/>
  <c r="D92" i="1"/>
  <c r="B92" i="1" s="1"/>
  <c r="D93" i="1"/>
  <c r="D94" i="1"/>
  <c r="B94" i="1" s="1"/>
  <c r="D95" i="1"/>
  <c r="B95" i="1" s="1"/>
  <c r="D96" i="1"/>
  <c r="B96" i="1" s="1"/>
  <c r="D97" i="1"/>
  <c r="B97" i="1" s="1"/>
  <c r="D98" i="1"/>
  <c r="D99" i="1"/>
  <c r="B99" i="1" s="1"/>
  <c r="D100" i="1"/>
  <c r="D101" i="1"/>
  <c r="B101" i="1" s="1"/>
  <c r="D102" i="1"/>
  <c r="D103" i="1"/>
  <c r="B103" i="1" s="1"/>
  <c r="D104" i="1"/>
  <c r="B104" i="1" s="1"/>
  <c r="D105" i="1"/>
  <c r="B105" i="1" s="1"/>
  <c r="D106" i="1"/>
  <c r="D107" i="1"/>
  <c r="D108" i="1"/>
  <c r="B108" i="1" s="1"/>
  <c r="D109" i="1"/>
  <c r="B109" i="1" s="1"/>
  <c r="D110" i="1"/>
  <c r="D111" i="1"/>
  <c r="D112" i="1"/>
  <c r="D113" i="1"/>
  <c r="D114" i="1"/>
  <c r="B114" i="1" s="1"/>
  <c r="D115" i="1"/>
  <c r="D116" i="1"/>
  <c r="B116" i="1" s="1"/>
  <c r="D117" i="1"/>
  <c r="D118" i="1"/>
  <c r="B118" i="1" s="1"/>
  <c r="D119" i="1"/>
  <c r="B119" i="1" s="1"/>
  <c r="D120" i="1"/>
  <c r="B120" i="1" s="1"/>
  <c r="D121" i="1"/>
  <c r="B121" i="1" s="1"/>
  <c r="D122" i="1"/>
  <c r="D123" i="1"/>
  <c r="B123" i="1" s="1"/>
  <c r="D124" i="1"/>
  <c r="D125" i="1"/>
  <c r="B125" i="1" s="1"/>
  <c r="D126" i="1"/>
  <c r="D127" i="1"/>
  <c r="D128" i="1"/>
  <c r="B128" i="1" s="1"/>
  <c r="D129" i="1"/>
  <c r="B129" i="1" s="1"/>
  <c r="D130" i="1"/>
  <c r="D131" i="1"/>
  <c r="B131" i="1" s="1"/>
  <c r="D132" i="1"/>
  <c r="B132" i="1" s="1"/>
  <c r="D133" i="1"/>
  <c r="B133" i="1" s="1"/>
  <c r="D134" i="1"/>
  <c r="B134" i="1" s="1"/>
  <c r="D135" i="1"/>
  <c r="B135" i="1" s="1"/>
  <c r="D136" i="1"/>
  <c r="B136" i="1" s="1"/>
  <c r="D137" i="1"/>
  <c r="B137" i="1" s="1"/>
  <c r="D138" i="1"/>
  <c r="B138" i="1" s="1"/>
  <c r="D139" i="1"/>
  <c r="B139" i="1" s="1"/>
  <c r="D140" i="1"/>
  <c r="B140" i="1" s="1"/>
  <c r="D141" i="1"/>
  <c r="B141" i="1" s="1"/>
  <c r="D142" i="1"/>
  <c r="B142" i="1" s="1"/>
  <c r="D143" i="1"/>
  <c r="B143" i="1" s="1"/>
  <c r="D144" i="1"/>
  <c r="B144" i="1" s="1"/>
  <c r="D145" i="1"/>
  <c r="B145" i="1" s="1"/>
  <c r="D146" i="1"/>
  <c r="B146" i="1" s="1"/>
  <c r="D147" i="1"/>
  <c r="D148" i="1"/>
  <c r="B148" i="1" s="1"/>
  <c r="D149" i="1"/>
  <c r="B149" i="1" s="1"/>
  <c r="D150" i="1"/>
  <c r="B150" i="1" s="1"/>
  <c r="D151" i="1"/>
  <c r="B151" i="1" s="1"/>
  <c r="D152" i="1"/>
  <c r="B152" i="1" s="1"/>
  <c r="D153" i="1"/>
  <c r="B153" i="1" s="1"/>
  <c r="D154" i="1"/>
  <c r="B154" i="1" s="1"/>
  <c r="D155" i="1"/>
  <c r="B155" i="1" s="1"/>
  <c r="D156" i="1"/>
  <c r="B156" i="1" s="1"/>
  <c r="D157" i="1"/>
  <c r="B157" i="1" s="1"/>
  <c r="D158" i="1"/>
  <c r="B158" i="1" s="1"/>
  <c r="D159" i="1"/>
  <c r="B159" i="1" s="1"/>
  <c r="D160" i="1"/>
  <c r="B160" i="1" s="1"/>
  <c r="D161" i="1"/>
  <c r="B161" i="1" s="1"/>
  <c r="D162" i="1"/>
  <c r="B162" i="1" s="1"/>
  <c r="D163" i="1"/>
  <c r="B163" i="1" s="1"/>
  <c r="D164" i="1"/>
  <c r="B164" i="1" s="1"/>
  <c r="D165" i="1"/>
  <c r="B165" i="1" s="1"/>
  <c r="D166" i="1"/>
  <c r="B166" i="1" s="1"/>
  <c r="D167" i="1"/>
  <c r="B167" i="1" s="1"/>
  <c r="D168" i="1"/>
  <c r="B168" i="1" s="1"/>
  <c r="D169" i="1"/>
  <c r="B169" i="1" s="1"/>
  <c r="D170" i="1"/>
  <c r="B170" i="1" s="1"/>
  <c r="D171" i="1"/>
  <c r="B171" i="1" s="1"/>
  <c r="D172" i="1"/>
  <c r="B172" i="1" s="1"/>
  <c r="D173" i="1"/>
  <c r="B173" i="1" s="1"/>
  <c r="D174" i="1"/>
  <c r="B174" i="1" s="1"/>
  <c r="D175" i="1"/>
  <c r="B175" i="1" s="1"/>
  <c r="D176" i="1"/>
  <c r="B176" i="1" s="1"/>
  <c r="D177" i="1"/>
  <c r="B177" i="1" s="1"/>
  <c r="D178" i="1"/>
  <c r="D179" i="1"/>
  <c r="B179" i="1" s="1"/>
  <c r="D180" i="1"/>
  <c r="B180" i="1" s="1"/>
  <c r="D181" i="1"/>
  <c r="B181" i="1" s="1"/>
  <c r="D182" i="1"/>
  <c r="B182" i="1" s="1"/>
  <c r="D183" i="1"/>
  <c r="B183" i="1" s="1"/>
  <c r="D184" i="1"/>
  <c r="B184" i="1" s="1"/>
  <c r="D185" i="1"/>
  <c r="B185" i="1" s="1"/>
  <c r="D186" i="1"/>
  <c r="D187" i="1"/>
  <c r="D188" i="1"/>
  <c r="B188" i="1" s="1"/>
  <c r="D189" i="1"/>
  <c r="B189" i="1" s="1"/>
  <c r="D190" i="1"/>
  <c r="B190" i="1" s="1"/>
  <c r="D191" i="1"/>
  <c r="B191" i="1" s="1"/>
  <c r="D192" i="1"/>
  <c r="B192" i="1" s="1"/>
  <c r="D193" i="1"/>
  <c r="B193" i="1" s="1"/>
  <c r="D194" i="1"/>
  <c r="B194" i="1" s="1"/>
  <c r="D195" i="1"/>
  <c r="B195" i="1" s="1"/>
  <c r="D196" i="1"/>
  <c r="B196" i="1" s="1"/>
  <c r="D197" i="1"/>
  <c r="B197" i="1" s="1"/>
  <c r="D198" i="1"/>
  <c r="B198" i="1" s="1"/>
  <c r="D199" i="1"/>
  <c r="B199" i="1" s="1"/>
  <c r="D200" i="1"/>
  <c r="B200" i="1" s="1"/>
  <c r="D201" i="1"/>
  <c r="B201" i="1" s="1"/>
  <c r="D202" i="1"/>
  <c r="B202" i="1" s="1"/>
  <c r="D203" i="1"/>
  <c r="B203" i="1" s="1"/>
  <c r="D204" i="1"/>
  <c r="B204" i="1" s="1"/>
  <c r="D205" i="1"/>
  <c r="B205" i="1" s="1"/>
  <c r="D206" i="1"/>
  <c r="B206" i="1" s="1"/>
  <c r="D207" i="1"/>
  <c r="B207" i="1" s="1"/>
  <c r="D208" i="1"/>
  <c r="D209" i="1"/>
  <c r="D210" i="1"/>
  <c r="D211" i="1"/>
  <c r="B211" i="1" s="1"/>
  <c r="D212" i="1"/>
  <c r="B212" i="1" s="1"/>
  <c r="D213" i="1"/>
  <c r="B213" i="1" s="1"/>
  <c r="D214" i="1"/>
  <c r="B214" i="1" s="1"/>
  <c r="D215" i="1"/>
  <c r="B215" i="1" s="1"/>
  <c r="D216" i="1"/>
  <c r="B216" i="1" s="1"/>
  <c r="D217" i="1"/>
  <c r="B217" i="1" s="1"/>
  <c r="D218" i="1"/>
  <c r="B218" i="1" s="1"/>
  <c r="D219" i="1"/>
  <c r="B219" i="1" s="1"/>
  <c r="D220" i="1"/>
  <c r="B220" i="1" s="1"/>
  <c r="D221" i="1"/>
  <c r="B221" i="1" s="1"/>
  <c r="D222" i="1"/>
  <c r="B222" i="1" s="1"/>
  <c r="D223" i="1"/>
  <c r="B223" i="1" s="1"/>
  <c r="D224" i="1"/>
  <c r="B224" i="1" s="1"/>
  <c r="D225" i="1"/>
  <c r="B225" i="1" s="1"/>
  <c r="D226" i="1"/>
  <c r="B226" i="1" s="1"/>
  <c r="D227" i="1"/>
  <c r="B227" i="1" s="1"/>
  <c r="D228" i="1"/>
  <c r="B228" i="1" s="1"/>
  <c r="D229" i="1"/>
  <c r="B229" i="1" s="1"/>
  <c r="D230" i="1"/>
  <c r="B230" i="1" s="1"/>
  <c r="D231" i="1"/>
  <c r="B231" i="1" s="1"/>
  <c r="D232" i="1"/>
  <c r="B232" i="1" s="1"/>
  <c r="D233" i="1"/>
  <c r="B233" i="1" s="1"/>
  <c r="D234" i="1"/>
  <c r="B234" i="1" s="1"/>
  <c r="D235" i="1"/>
  <c r="B235" i="1" s="1"/>
  <c r="D236" i="1"/>
  <c r="B236" i="1" s="1"/>
  <c r="D237" i="1"/>
  <c r="B237" i="1" s="1"/>
  <c r="D238" i="1"/>
  <c r="B238" i="1" s="1"/>
  <c r="D239" i="1"/>
  <c r="B239" i="1" s="1"/>
  <c r="D240" i="1"/>
  <c r="B240" i="1" s="1"/>
  <c r="D241" i="1"/>
  <c r="B241" i="1" s="1"/>
  <c r="D242" i="1"/>
  <c r="B242" i="1" s="1"/>
  <c r="D243" i="1"/>
  <c r="B243" i="1" s="1"/>
  <c r="D244" i="1"/>
  <c r="B244" i="1" s="1"/>
  <c r="D245" i="1"/>
  <c r="B245" i="1" s="1"/>
  <c r="D246" i="1"/>
  <c r="B246" i="1" s="1"/>
  <c r="D247" i="1"/>
  <c r="B247" i="1" s="1"/>
  <c r="D248" i="1"/>
  <c r="B248" i="1" s="1"/>
  <c r="D249" i="1"/>
  <c r="B249" i="1" s="1"/>
  <c r="D250" i="1"/>
  <c r="B250" i="1" s="1"/>
  <c r="D251" i="1"/>
  <c r="B251" i="1" s="1"/>
  <c r="D252" i="1"/>
  <c r="B252" i="1" s="1"/>
  <c r="D253" i="1"/>
  <c r="B253" i="1" s="1"/>
  <c r="D254" i="1"/>
  <c r="D255" i="1"/>
  <c r="B255" i="1" s="1"/>
  <c r="D256" i="1"/>
  <c r="B256" i="1" s="1"/>
  <c r="D257" i="1"/>
  <c r="B257" i="1" s="1"/>
  <c r="D258" i="1"/>
  <c r="B258" i="1" s="1"/>
  <c r="D259" i="1"/>
  <c r="B259" i="1" s="1"/>
  <c r="D260" i="1"/>
  <c r="B260" i="1" s="1"/>
  <c r="D261" i="1"/>
  <c r="B261" i="1" s="1"/>
  <c r="D262" i="1"/>
  <c r="B262" i="1" s="1"/>
  <c r="D263" i="1"/>
  <c r="B263" i="1" s="1"/>
  <c r="D264" i="1"/>
  <c r="B264" i="1" s="1"/>
  <c r="D265" i="1"/>
  <c r="B265" i="1" s="1"/>
  <c r="D266" i="1"/>
  <c r="B266" i="1" s="1"/>
  <c r="D267" i="1"/>
  <c r="B267" i="1" s="1"/>
  <c r="D268" i="1"/>
  <c r="D269" i="1"/>
  <c r="B269" i="1" s="1"/>
  <c r="D270" i="1"/>
  <c r="B270" i="1" s="1"/>
  <c r="D271" i="1"/>
  <c r="B271" i="1" s="1"/>
  <c r="D272" i="1"/>
  <c r="B272" i="1" s="1"/>
  <c r="D273" i="1"/>
  <c r="B273" i="1" s="1"/>
  <c r="D274" i="1"/>
  <c r="B274" i="1" s="1"/>
  <c r="D275" i="1"/>
  <c r="B275" i="1" s="1"/>
  <c r="D276" i="1"/>
  <c r="B276" i="1" s="1"/>
  <c r="D277" i="1"/>
  <c r="B277" i="1" s="1"/>
  <c r="D278" i="1"/>
  <c r="B278" i="1" s="1"/>
  <c r="D279" i="1"/>
  <c r="B279" i="1" s="1"/>
  <c r="D280" i="1"/>
  <c r="B280" i="1" s="1"/>
  <c r="D281" i="1"/>
  <c r="B281" i="1" s="1"/>
  <c r="D282" i="1"/>
  <c r="B282" i="1" s="1"/>
  <c r="D283" i="1"/>
  <c r="B283" i="1" s="1"/>
  <c r="D284" i="1"/>
  <c r="B284" i="1" s="1"/>
  <c r="D285" i="1"/>
  <c r="B285" i="1" s="1"/>
  <c r="D286" i="1"/>
  <c r="B286" i="1" s="1"/>
  <c r="D287" i="1"/>
  <c r="B287" i="1" s="1"/>
  <c r="D288" i="1"/>
  <c r="B288" i="1" s="1"/>
  <c r="D289" i="1"/>
  <c r="B289" i="1" s="1"/>
  <c r="D290" i="1"/>
  <c r="B290" i="1" s="1"/>
  <c r="D291" i="1"/>
  <c r="B291" i="1" s="1"/>
  <c r="D292" i="1"/>
  <c r="B292" i="1" s="1"/>
  <c r="D293" i="1"/>
  <c r="B293" i="1" s="1"/>
  <c r="D294" i="1"/>
  <c r="B294" i="1" s="1"/>
  <c r="D295" i="1"/>
  <c r="B295" i="1" s="1"/>
  <c r="D296" i="1"/>
  <c r="B296" i="1" s="1"/>
  <c r="D297" i="1"/>
  <c r="B297" i="1" s="1"/>
  <c r="D298" i="1"/>
  <c r="B298" i="1" s="1"/>
  <c r="D299" i="1"/>
  <c r="B299" i="1" s="1"/>
  <c r="D300" i="1"/>
  <c r="B300" i="1" s="1"/>
  <c r="D301" i="1"/>
  <c r="B301" i="1" s="1"/>
  <c r="D302" i="1"/>
  <c r="B302" i="1" s="1"/>
  <c r="D303" i="1"/>
  <c r="B303" i="1" s="1"/>
  <c r="D304" i="1"/>
  <c r="B304" i="1" s="1"/>
  <c r="D305" i="1"/>
  <c r="B305" i="1" s="1"/>
  <c r="D306" i="1"/>
  <c r="B306" i="1" s="1"/>
  <c r="D307" i="1"/>
  <c r="B307" i="1" s="1"/>
  <c r="D308" i="1"/>
  <c r="B308" i="1" s="1"/>
  <c r="D309" i="1"/>
  <c r="B309" i="1" s="1"/>
  <c r="D310" i="1"/>
  <c r="B310" i="1" s="1"/>
  <c r="D311" i="1"/>
  <c r="B311" i="1" s="1"/>
  <c r="D312" i="1"/>
  <c r="B312" i="1" s="1"/>
  <c r="D313" i="1"/>
  <c r="B313" i="1" s="1"/>
  <c r="D314" i="1"/>
  <c r="B314" i="1" s="1"/>
  <c r="D315" i="1"/>
  <c r="B315" i="1" s="1"/>
  <c r="D316" i="1"/>
  <c r="B316" i="1" s="1"/>
  <c r="D317" i="1"/>
  <c r="B317" i="1" s="1"/>
  <c r="D318" i="1"/>
  <c r="B318" i="1" s="1"/>
  <c r="D319" i="1"/>
  <c r="B319" i="1" s="1"/>
  <c r="D320" i="1"/>
  <c r="B320" i="1" s="1"/>
  <c r="D321" i="1"/>
  <c r="B321" i="1" s="1"/>
  <c r="D322" i="1"/>
  <c r="B322" i="1" s="1"/>
  <c r="D323" i="1"/>
  <c r="B323" i="1" s="1"/>
  <c r="D324" i="1"/>
  <c r="B324" i="1" s="1"/>
  <c r="D325" i="1"/>
  <c r="B325" i="1" s="1"/>
  <c r="D326" i="1"/>
  <c r="B326" i="1" s="1"/>
  <c r="D327" i="1"/>
  <c r="B327" i="1" s="1"/>
  <c r="D328" i="1"/>
  <c r="B328" i="1" s="1"/>
  <c r="D329" i="1"/>
  <c r="B329" i="1" s="1"/>
  <c r="D330" i="1"/>
  <c r="B330" i="1" s="1"/>
  <c r="D331" i="1"/>
  <c r="B331" i="1" s="1"/>
  <c r="D332" i="1"/>
  <c r="B332" i="1" s="1"/>
  <c r="D333" i="1"/>
  <c r="B333" i="1" s="1"/>
  <c r="D334" i="1"/>
  <c r="B334" i="1" s="1"/>
  <c r="D335" i="1"/>
  <c r="B335" i="1" s="1"/>
  <c r="D336" i="1"/>
  <c r="B336" i="1" s="1"/>
  <c r="D337" i="1"/>
  <c r="B337" i="1" s="1"/>
  <c r="D338" i="1"/>
  <c r="B338" i="1" s="1"/>
  <c r="D339" i="1"/>
  <c r="B339" i="1" s="1"/>
  <c r="D340" i="1"/>
  <c r="B340" i="1" s="1"/>
  <c r="D341" i="1"/>
  <c r="B341" i="1" s="1"/>
  <c r="D342" i="1"/>
  <c r="B342" i="1" s="1"/>
  <c r="D343" i="1"/>
  <c r="B343" i="1" s="1"/>
  <c r="D344" i="1"/>
  <c r="B344" i="1" s="1"/>
  <c r="D345" i="1"/>
  <c r="B345" i="1" s="1"/>
  <c r="D346" i="1"/>
  <c r="B346" i="1" s="1"/>
  <c r="D347" i="1"/>
  <c r="B347" i="1" s="1"/>
  <c r="D348" i="1"/>
  <c r="B348" i="1" s="1"/>
  <c r="D349" i="1"/>
  <c r="D350" i="1"/>
  <c r="B350" i="1" s="1"/>
  <c r="D351" i="1"/>
  <c r="B351" i="1" s="1"/>
  <c r="D352" i="1"/>
  <c r="B352" i="1" s="1"/>
  <c r="D353" i="1"/>
  <c r="B353" i="1" s="1"/>
  <c r="D354" i="1"/>
  <c r="B354" i="1" s="1"/>
  <c r="D355" i="1"/>
  <c r="B355" i="1" s="1"/>
  <c r="D356" i="1"/>
  <c r="B356" i="1" s="1"/>
  <c r="D357" i="1"/>
  <c r="B357" i="1" s="1"/>
  <c r="D358" i="1"/>
  <c r="B358" i="1" s="1"/>
  <c r="D359" i="1"/>
  <c r="B359" i="1" s="1"/>
  <c r="D360" i="1"/>
  <c r="B360" i="1" s="1"/>
  <c r="D361" i="1"/>
  <c r="B361" i="1" s="1"/>
  <c r="D362" i="1"/>
  <c r="B362" i="1" s="1"/>
  <c r="D363" i="1"/>
  <c r="B363" i="1" s="1"/>
  <c r="D364" i="1"/>
  <c r="B364" i="1" s="1"/>
  <c r="D365" i="1"/>
  <c r="B365" i="1" s="1"/>
  <c r="D366" i="1"/>
  <c r="B366" i="1" s="1"/>
  <c r="D367" i="1"/>
  <c r="B367" i="1" s="1"/>
  <c r="D368" i="1"/>
  <c r="B368" i="1" s="1"/>
  <c r="D369" i="1"/>
  <c r="B369" i="1" s="1"/>
  <c r="D370" i="1"/>
  <c r="B370" i="1" s="1"/>
  <c r="D371" i="1"/>
  <c r="B371" i="1" s="1"/>
  <c r="D372" i="1"/>
  <c r="B372" i="1" s="1"/>
  <c r="D373" i="1"/>
  <c r="B373" i="1" s="1"/>
  <c r="D374" i="1"/>
  <c r="B374" i="1" s="1"/>
  <c r="D375" i="1"/>
  <c r="B375" i="1" s="1"/>
  <c r="D376" i="1"/>
  <c r="B376" i="1" s="1"/>
  <c r="D377" i="1"/>
  <c r="B377" i="1" s="1"/>
  <c r="D378" i="1"/>
  <c r="B378" i="1" s="1"/>
  <c r="D379" i="1"/>
  <c r="B379" i="1" s="1"/>
  <c r="D380" i="1"/>
  <c r="B380" i="1" s="1"/>
  <c r="D381" i="1"/>
  <c r="B381" i="1" s="1"/>
  <c r="D382" i="1"/>
  <c r="B382" i="1" s="1"/>
  <c r="D383" i="1"/>
  <c r="B383" i="1" s="1"/>
  <c r="D384" i="1"/>
  <c r="B384" i="1" s="1"/>
  <c r="D385" i="1"/>
  <c r="B385" i="1" s="1"/>
  <c r="D386" i="1"/>
  <c r="B386" i="1" s="1"/>
  <c r="D387" i="1"/>
  <c r="B387" i="1" s="1"/>
  <c r="D388" i="1"/>
  <c r="B388" i="1" s="1"/>
  <c r="D389" i="1"/>
  <c r="B389" i="1" s="1"/>
  <c r="D390" i="1"/>
  <c r="B390" i="1" s="1"/>
  <c r="D391" i="1"/>
  <c r="B391" i="1" s="1"/>
  <c r="D392" i="1"/>
  <c r="B392" i="1" s="1"/>
  <c r="D393" i="1"/>
  <c r="B393" i="1" s="1"/>
  <c r="D394" i="1"/>
  <c r="B394" i="1" s="1"/>
  <c r="D395" i="1"/>
  <c r="B395" i="1" s="1"/>
  <c r="D396" i="1"/>
  <c r="B396" i="1" s="1"/>
  <c r="D397" i="1"/>
  <c r="B397" i="1" s="1"/>
  <c r="D398" i="1"/>
  <c r="B398" i="1" s="1"/>
  <c r="D399" i="1"/>
  <c r="D400" i="1"/>
  <c r="B400" i="1" s="1"/>
  <c r="D401" i="1"/>
  <c r="B401" i="1" s="1"/>
  <c r="D402" i="1"/>
  <c r="B402" i="1" s="1"/>
  <c r="D403" i="1"/>
  <c r="B403" i="1" s="1"/>
  <c r="D404" i="1"/>
  <c r="B404" i="1" s="1"/>
  <c r="D405" i="1"/>
  <c r="B405" i="1" s="1"/>
  <c r="D406" i="1"/>
  <c r="B406" i="1" s="1"/>
  <c r="D407" i="1"/>
  <c r="B407" i="1" s="1"/>
  <c r="D408" i="1"/>
  <c r="B408" i="1" s="1"/>
  <c r="D409" i="1"/>
  <c r="B409" i="1" s="1"/>
  <c r="D410" i="1"/>
  <c r="B410" i="1" s="1"/>
  <c r="D411" i="1"/>
  <c r="B411" i="1" s="1"/>
  <c r="D412" i="1"/>
  <c r="B412" i="1" s="1"/>
  <c r="D413" i="1"/>
  <c r="B413" i="1" s="1"/>
  <c r="D414" i="1"/>
  <c r="B414" i="1" s="1"/>
  <c r="D415" i="1"/>
  <c r="B415" i="1" s="1"/>
  <c r="D416" i="1"/>
  <c r="B416" i="1" s="1"/>
  <c r="D417" i="1"/>
  <c r="B417" i="1" s="1"/>
  <c r="D418" i="1"/>
  <c r="D419" i="1"/>
  <c r="B419" i="1" s="1"/>
  <c r="D420" i="1"/>
  <c r="B420" i="1" s="1"/>
  <c r="D421" i="1"/>
  <c r="B421" i="1" s="1"/>
  <c r="D422" i="1"/>
  <c r="B422" i="1" s="1"/>
  <c r="D423" i="1"/>
  <c r="B423" i="1" s="1"/>
  <c r="D424" i="1"/>
  <c r="B424" i="1" s="1"/>
  <c r="D425" i="1"/>
  <c r="B425" i="1" s="1"/>
  <c r="D426" i="1"/>
  <c r="B426" i="1" s="1"/>
  <c r="D427" i="1"/>
  <c r="B427" i="1" s="1"/>
  <c r="D428" i="1"/>
  <c r="B428" i="1" s="1"/>
  <c r="D429" i="1"/>
  <c r="B429" i="1" s="1"/>
  <c r="D430" i="1"/>
  <c r="B430" i="1" s="1"/>
  <c r="D431" i="1"/>
  <c r="B431" i="1" s="1"/>
  <c r="D432" i="1"/>
  <c r="B432" i="1" s="1"/>
  <c r="D433" i="1"/>
  <c r="B433" i="1" s="1"/>
  <c r="D434" i="1"/>
  <c r="B434" i="1" s="1"/>
  <c r="D435" i="1"/>
  <c r="B435" i="1" s="1"/>
  <c r="D436" i="1"/>
  <c r="B436" i="1" s="1"/>
  <c r="D437" i="1"/>
  <c r="B437" i="1" s="1"/>
  <c r="D438" i="1"/>
  <c r="B438" i="1" s="1"/>
  <c r="D439" i="1"/>
  <c r="B439" i="1" s="1"/>
  <c r="D440" i="1"/>
  <c r="B440" i="1" s="1"/>
  <c r="D441" i="1"/>
  <c r="B441" i="1" s="1"/>
  <c r="D442" i="1"/>
  <c r="B442" i="1" s="1"/>
  <c r="D443" i="1"/>
  <c r="B443" i="1" s="1"/>
  <c r="D444" i="1"/>
  <c r="B444" i="1" s="1"/>
  <c r="D445" i="1"/>
  <c r="B445" i="1" s="1"/>
  <c r="D446" i="1"/>
  <c r="B446" i="1" s="1"/>
  <c r="D447" i="1"/>
  <c r="B447" i="1" s="1"/>
  <c r="D448" i="1"/>
  <c r="B448" i="1" s="1"/>
  <c r="D449" i="1"/>
  <c r="B449" i="1" s="1"/>
  <c r="D450" i="1"/>
  <c r="B450" i="1" s="1"/>
  <c r="D451" i="1"/>
  <c r="B451" i="1" s="1"/>
  <c r="D452" i="1"/>
  <c r="B452" i="1" s="1"/>
  <c r="D453" i="1"/>
  <c r="B453" i="1" s="1"/>
  <c r="D454" i="1"/>
  <c r="B454" i="1" s="1"/>
  <c r="D455" i="1"/>
  <c r="D456" i="1"/>
  <c r="D457" i="1"/>
  <c r="D458" i="1"/>
  <c r="B458" i="1" s="1"/>
  <c r="D459" i="1"/>
  <c r="B459" i="1" s="1"/>
  <c r="D460" i="1"/>
  <c r="B460" i="1" s="1"/>
  <c r="D461" i="1"/>
  <c r="B461" i="1" s="1"/>
  <c r="D462" i="1"/>
  <c r="B462" i="1" s="1"/>
  <c r="D463" i="1"/>
  <c r="B463" i="1" s="1"/>
  <c r="D464" i="1"/>
  <c r="B464" i="1" s="1"/>
  <c r="D465" i="1"/>
  <c r="B465" i="1" s="1"/>
  <c r="D466" i="1"/>
  <c r="B466" i="1" s="1"/>
  <c r="D467" i="1"/>
  <c r="B467" i="1" s="1"/>
  <c r="D468" i="1"/>
  <c r="B468" i="1" s="1"/>
  <c r="D469" i="1"/>
  <c r="B469" i="1" s="1"/>
  <c r="D470" i="1"/>
  <c r="B470" i="1" s="1"/>
  <c r="D471" i="1"/>
  <c r="B471" i="1" s="1"/>
  <c r="D472" i="1"/>
  <c r="B472" i="1" s="1"/>
  <c r="D473" i="1"/>
  <c r="B473" i="1" s="1"/>
  <c r="D474" i="1"/>
  <c r="B474" i="1" s="1"/>
  <c r="D475" i="1"/>
  <c r="B475" i="1" s="1"/>
  <c r="D476" i="1"/>
  <c r="B476" i="1" s="1"/>
  <c r="D477" i="1"/>
  <c r="B477" i="1" s="1"/>
  <c r="D478" i="1"/>
  <c r="B478" i="1" s="1"/>
  <c r="D479" i="1"/>
  <c r="B479" i="1" s="1"/>
  <c r="D480" i="1"/>
  <c r="B480" i="1" s="1"/>
  <c r="D481" i="1"/>
  <c r="B481" i="1" s="1"/>
  <c r="D482" i="1"/>
  <c r="B482" i="1" s="1"/>
  <c r="D483" i="1"/>
  <c r="B483" i="1" s="1"/>
  <c r="D484" i="1"/>
  <c r="D485" i="1"/>
  <c r="B485" i="1" s="1"/>
  <c r="D486" i="1"/>
  <c r="B486" i="1" s="1"/>
  <c r="D487" i="1"/>
  <c r="B487" i="1" s="1"/>
  <c r="D488" i="1"/>
  <c r="B488" i="1" s="1"/>
  <c r="D489" i="1"/>
  <c r="B489" i="1" s="1"/>
  <c r="D490" i="1"/>
  <c r="B490" i="1" s="1"/>
  <c r="D491" i="1"/>
  <c r="B491" i="1" s="1"/>
  <c r="D492" i="1"/>
  <c r="D493" i="1"/>
  <c r="D494" i="1"/>
  <c r="B494" i="1" s="1"/>
  <c r="D495" i="1"/>
  <c r="B495" i="1" s="1"/>
  <c r="D496" i="1"/>
  <c r="B496" i="1" s="1"/>
  <c r="D497" i="1"/>
  <c r="B497" i="1" s="1"/>
  <c r="D498" i="1"/>
  <c r="B498" i="1" s="1"/>
  <c r="D499" i="1"/>
  <c r="D500" i="1"/>
  <c r="B500" i="1" s="1"/>
  <c r="D501" i="1"/>
  <c r="B501" i="1" s="1"/>
  <c r="D502" i="1"/>
  <c r="B502" i="1" s="1"/>
  <c r="D503" i="1"/>
  <c r="B503" i="1" s="1"/>
  <c r="D504" i="1"/>
  <c r="B504" i="1" s="1"/>
  <c r="D505" i="1"/>
  <c r="B505" i="1" s="1"/>
  <c r="D506" i="1"/>
  <c r="B506" i="1" s="1"/>
  <c r="D507" i="1"/>
  <c r="B507" i="1" s="1"/>
  <c r="D508" i="1"/>
  <c r="B508" i="1" s="1"/>
  <c r="D509" i="1"/>
  <c r="B509" i="1" s="1"/>
  <c r="D510" i="1"/>
  <c r="B510" i="1" s="1"/>
  <c r="D511" i="1"/>
  <c r="B511" i="1" s="1"/>
  <c r="D512" i="1"/>
  <c r="B512" i="1" s="1"/>
  <c r="D513" i="1"/>
  <c r="B513" i="1" s="1"/>
  <c r="D514" i="1"/>
  <c r="B514" i="1" s="1"/>
  <c r="D515" i="1"/>
  <c r="B515" i="1" s="1"/>
  <c r="D516" i="1"/>
  <c r="B516" i="1" s="1"/>
  <c r="D517" i="1"/>
  <c r="B517" i="1" s="1"/>
  <c r="D518" i="1"/>
  <c r="B518" i="1" s="1"/>
  <c r="D519" i="1"/>
  <c r="B519" i="1" s="1"/>
  <c r="D520" i="1"/>
  <c r="B520" i="1" s="1"/>
  <c r="D521" i="1"/>
  <c r="B521" i="1" s="1"/>
  <c r="D522" i="1"/>
  <c r="B522" i="1" s="1"/>
  <c r="B3" i="1"/>
  <c r="B9" i="1"/>
  <c r="B11" i="1"/>
  <c r="B13" i="1"/>
  <c r="B21" i="1"/>
  <c r="B23" i="1"/>
  <c r="B30" i="1"/>
  <c r="B45" i="1"/>
  <c r="B47" i="1"/>
  <c r="B49" i="1"/>
  <c r="B59" i="1"/>
  <c r="B81" i="1"/>
  <c r="B85" i="1"/>
  <c r="B86" i="1"/>
  <c r="B87" i="1"/>
  <c r="B88" i="1"/>
  <c r="B89" i="1"/>
  <c r="B93" i="1"/>
  <c r="B110" i="1"/>
  <c r="B111" i="1"/>
  <c r="B124" i="1"/>
  <c r="B126" i="1"/>
  <c r="B127" i="1"/>
  <c r="B499" i="1"/>
  <c r="B493" i="1"/>
  <c r="B492" i="1"/>
  <c r="B484" i="1"/>
  <c r="B457" i="1"/>
  <c r="B456" i="1"/>
  <c r="B455" i="1"/>
  <c r="B418" i="1"/>
  <c r="B399" i="1"/>
  <c r="B349" i="1"/>
  <c r="B268" i="1"/>
  <c r="B254" i="1"/>
  <c r="B210" i="1"/>
  <c r="B209" i="1"/>
  <c r="B208" i="1"/>
  <c r="B187" i="1"/>
  <c r="B186" i="1"/>
  <c r="B178" i="1"/>
  <c r="B147" i="1"/>
  <c r="B130" i="1"/>
  <c r="B122" i="1"/>
  <c r="B117" i="1"/>
  <c r="B115" i="1"/>
  <c r="B113" i="1"/>
  <c r="B112" i="1"/>
  <c r="B107" i="1"/>
  <c r="B106" i="1"/>
  <c r="B102" i="1"/>
  <c r="B100" i="1"/>
  <c r="B98" i="1"/>
  <c r="B91" i="1"/>
  <c r="B82" i="1"/>
  <c r="B79" i="1"/>
  <c r="B75" i="1"/>
  <c r="B67" i="1"/>
  <c r="B60" i="1"/>
  <c r="B55" i="1"/>
  <c r="B51" i="1"/>
  <c r="B42" i="1"/>
  <c r="B26" i="1"/>
  <c r="B20" i="1"/>
  <c r="B18" i="1"/>
  <c r="B10" i="1"/>
  <c r="B2" i="1"/>
</calcChain>
</file>

<file path=xl/sharedStrings.xml><?xml version="1.0" encoding="utf-8"?>
<sst xmlns="http://schemas.openxmlformats.org/spreadsheetml/2006/main" count="646" uniqueCount="646">
  <si>
    <t>Speech</t>
  </si>
  <si>
    <t>Child speech, kid speaking</t>
  </si>
  <si>
    <t>Conversation</t>
  </si>
  <si>
    <t>Narration, monologue</t>
  </si>
  <si>
    <t>Babbling</t>
  </si>
  <si>
    <t>Speech synthesizer</t>
  </si>
  <si>
    <t>Shout</t>
  </si>
  <si>
    <t>Bellow</t>
  </si>
  <si>
    <t>Whoop</t>
  </si>
  <si>
    <t>雄叫び</t>
  </si>
  <si>
    <t>Yell</t>
  </si>
  <si>
    <t>Children shouting</t>
  </si>
  <si>
    <t>Screaming</t>
  </si>
  <si>
    <t>Whispering</t>
  </si>
  <si>
    <t>Laughter</t>
  </si>
  <si>
    <t>Baby laughter</t>
  </si>
  <si>
    <t>Giggle</t>
  </si>
  <si>
    <t>Snicker</t>
  </si>
  <si>
    <t>Belly laugh</t>
  </si>
  <si>
    <t>Chuckle, chortle</t>
  </si>
  <si>
    <t>Crying, sobbing</t>
  </si>
  <si>
    <t>Baby cry, infant cry</t>
  </si>
  <si>
    <t>Whimper</t>
  </si>
  <si>
    <t>Wail, moan</t>
  </si>
  <si>
    <t>Sigh</t>
  </si>
  <si>
    <t>Singing</t>
  </si>
  <si>
    <t>Choir</t>
  </si>
  <si>
    <t>Yodeling</t>
  </si>
  <si>
    <t>Chant</t>
  </si>
  <si>
    <t>Mantra</t>
  </si>
  <si>
    <t>Child singing</t>
  </si>
  <si>
    <t>Synthetic singing</t>
  </si>
  <si>
    <t>Rapping</t>
  </si>
  <si>
    <t>Humming</t>
  </si>
  <si>
    <t>Groan</t>
  </si>
  <si>
    <t>Grunt</t>
  </si>
  <si>
    <t>Whistling</t>
  </si>
  <si>
    <t>Breathing</t>
  </si>
  <si>
    <t>Wheeze</t>
  </si>
  <si>
    <t>Snoring</t>
  </si>
  <si>
    <t>Gasp</t>
  </si>
  <si>
    <t>Pant</t>
  </si>
  <si>
    <t>Snort</t>
  </si>
  <si>
    <t>Cough</t>
  </si>
  <si>
    <t>Throat clearing</t>
  </si>
  <si>
    <t>Sneeze</t>
  </si>
  <si>
    <t>Sniff</t>
  </si>
  <si>
    <t>Run</t>
  </si>
  <si>
    <t>Shuffle</t>
  </si>
  <si>
    <t>Walk, footsteps</t>
  </si>
  <si>
    <t>Chewing, mastication</t>
  </si>
  <si>
    <t>噛む、咀嚼</t>
  </si>
  <si>
    <t>Biting</t>
  </si>
  <si>
    <t>Gargling</t>
  </si>
  <si>
    <t>Stomach rumble</t>
  </si>
  <si>
    <t>Burping, eructation</t>
  </si>
  <si>
    <t>げっぷ、おくび</t>
  </si>
  <si>
    <t>Hiccup</t>
  </si>
  <si>
    <t>Fart</t>
  </si>
  <si>
    <t>Hands</t>
  </si>
  <si>
    <t>Finger snapping</t>
  </si>
  <si>
    <t>Clapping</t>
  </si>
  <si>
    <t>手を叩く</t>
  </si>
  <si>
    <t>Heart sounds, heartbeat</t>
  </si>
  <si>
    <t>Heart murmur</t>
  </si>
  <si>
    <t>Cheering</t>
  </si>
  <si>
    <t>Applause</t>
  </si>
  <si>
    <t>Chatter</t>
  </si>
  <si>
    <t>Crowd</t>
  </si>
  <si>
    <t>Hubbub, speech noise, speech babble</t>
  </si>
  <si>
    <t>騒音</t>
  </si>
  <si>
    <t>Children playing</t>
  </si>
  <si>
    <t>Animal</t>
  </si>
  <si>
    <t>Domestic animals, pets</t>
  </si>
  <si>
    <t>Dog</t>
  </si>
  <si>
    <t>Bark</t>
  </si>
  <si>
    <t>Yip</t>
  </si>
  <si>
    <t>Howl</t>
  </si>
  <si>
    <t>Bow-wow</t>
  </si>
  <si>
    <t>Growling</t>
  </si>
  <si>
    <t>Whimper (dog)</t>
  </si>
  <si>
    <t>Cat</t>
  </si>
  <si>
    <t>Purr</t>
  </si>
  <si>
    <t>猫の喉の音</t>
  </si>
  <si>
    <t>Meow</t>
  </si>
  <si>
    <t>Hiss</t>
  </si>
  <si>
    <t>Caterwaul</t>
  </si>
  <si>
    <t>Livestock, farm animals, working animals</t>
  </si>
  <si>
    <t>Horse</t>
  </si>
  <si>
    <t>Clip-clop</t>
  </si>
  <si>
    <t>Neigh, whinny</t>
  </si>
  <si>
    <t>Cattle, bovinae</t>
  </si>
  <si>
    <t>Moo</t>
  </si>
  <si>
    <t>Cowbell</t>
  </si>
  <si>
    <t>Pig</t>
  </si>
  <si>
    <t>Oink</t>
  </si>
  <si>
    <t>豚の鳴き声</t>
  </si>
  <si>
    <t>Goat</t>
  </si>
  <si>
    <t>Bleat</t>
  </si>
  <si>
    <t>Sheep</t>
  </si>
  <si>
    <t>Fowl</t>
  </si>
  <si>
    <t>Chicken, rooster</t>
  </si>
  <si>
    <t>Cluck</t>
  </si>
  <si>
    <t>Crowing, cock-a-doodle-doo</t>
  </si>
  <si>
    <t>鳴き声、コケコッコー</t>
  </si>
  <si>
    <t>Turkey</t>
  </si>
  <si>
    <t>Gobble</t>
  </si>
  <si>
    <t>七面鳥の鳴き声</t>
  </si>
  <si>
    <t>Duck</t>
  </si>
  <si>
    <t>Quack</t>
  </si>
  <si>
    <t>アヒルの鳴き声</t>
  </si>
  <si>
    <t>Goose</t>
  </si>
  <si>
    <t>Honk</t>
  </si>
  <si>
    <t>Wild animals</t>
  </si>
  <si>
    <t>Roaring cats (lions, tigers)</t>
  </si>
  <si>
    <t>ライオン、トラ</t>
  </si>
  <si>
    <t>Roar</t>
  </si>
  <si>
    <t>咆哮</t>
  </si>
  <si>
    <t>Bird</t>
  </si>
  <si>
    <t>Bird vocalization, bird call, bird song</t>
  </si>
  <si>
    <t>Chirp, tweet</t>
  </si>
  <si>
    <t>Squawk</t>
  </si>
  <si>
    <t>Pigeon, dove</t>
  </si>
  <si>
    <t>鳩</t>
  </si>
  <si>
    <t>Coo</t>
  </si>
  <si>
    <t>鳩の鳴き声</t>
  </si>
  <si>
    <t>Crow</t>
  </si>
  <si>
    <t>Caw</t>
  </si>
  <si>
    <t>カラスの鳴き声</t>
  </si>
  <si>
    <t>Owl</t>
  </si>
  <si>
    <t>Hoot</t>
  </si>
  <si>
    <t>フクロウの鳴き声</t>
  </si>
  <si>
    <t>Bird flight, flapping wings</t>
  </si>
  <si>
    <t>Canidae, dogs, wolves</t>
  </si>
  <si>
    <t>Rodents, rats, mice</t>
  </si>
  <si>
    <t>Mouse</t>
  </si>
  <si>
    <t>Patter</t>
  </si>
  <si>
    <t>パタパタ走る音</t>
  </si>
  <si>
    <t>Insect</t>
  </si>
  <si>
    <t>Cricket</t>
  </si>
  <si>
    <t>Mosquito</t>
  </si>
  <si>
    <t>Fly, housefly</t>
  </si>
  <si>
    <t>Buzz</t>
  </si>
  <si>
    <t>Bee, wasp, etc.</t>
  </si>
  <si>
    <t>Frog</t>
  </si>
  <si>
    <t>Croak</t>
  </si>
  <si>
    <t>Snake</t>
  </si>
  <si>
    <t>Rattle</t>
  </si>
  <si>
    <t>Whale vocalization</t>
  </si>
  <si>
    <t>Music</t>
  </si>
  <si>
    <t>Musical instrument</t>
  </si>
  <si>
    <t>Plucked string instrument</t>
  </si>
  <si>
    <t>Guitar</t>
  </si>
  <si>
    <t>Electric guitar</t>
  </si>
  <si>
    <t>Bass guitar</t>
  </si>
  <si>
    <t>Acoustic guitar</t>
  </si>
  <si>
    <t>Steel guitar, slide guitar</t>
  </si>
  <si>
    <t>Tapping (guitar technique)</t>
  </si>
  <si>
    <t>Strum</t>
  </si>
  <si>
    <t>Banjo</t>
  </si>
  <si>
    <t>Sitar</t>
  </si>
  <si>
    <t>Mandolin</t>
  </si>
  <si>
    <t>Zither</t>
  </si>
  <si>
    <t>ツィター（オーストラリアの弦楽器）</t>
  </si>
  <si>
    <t>Ukulele</t>
  </si>
  <si>
    <t>Keyboard (musical)</t>
  </si>
  <si>
    <t>Piano</t>
  </si>
  <si>
    <t>Electric piano</t>
  </si>
  <si>
    <t>Organ</t>
  </si>
  <si>
    <t>Electronic organ</t>
  </si>
  <si>
    <t>Hammond organ</t>
  </si>
  <si>
    <t>Synthesizer</t>
  </si>
  <si>
    <t>Sampler</t>
  </si>
  <si>
    <t>Harpsichord</t>
  </si>
  <si>
    <t>Percussion</t>
  </si>
  <si>
    <t>Drum kit</t>
  </si>
  <si>
    <t>Drum machine</t>
  </si>
  <si>
    <t>Drum</t>
  </si>
  <si>
    <t>Snare drum</t>
  </si>
  <si>
    <t>Rimshot</t>
  </si>
  <si>
    <t>Drum roll</t>
  </si>
  <si>
    <t>Bass drum</t>
  </si>
  <si>
    <t>Timpani</t>
  </si>
  <si>
    <t>Tabla</t>
  </si>
  <si>
    <t>Cymbal</t>
  </si>
  <si>
    <t>Hi-hat</t>
  </si>
  <si>
    <t>Wood block</t>
  </si>
  <si>
    <t>Tambourine</t>
  </si>
  <si>
    <t>Rattle (instrument)</t>
  </si>
  <si>
    <t>Maraca</t>
  </si>
  <si>
    <t>Gong</t>
  </si>
  <si>
    <t>Tubular bells</t>
  </si>
  <si>
    <t>Mallet percussion</t>
  </si>
  <si>
    <t>Marimba, xylophone</t>
  </si>
  <si>
    <t>Glockenspiel</t>
  </si>
  <si>
    <t>鉄琴</t>
  </si>
  <si>
    <t>Vibraphone</t>
  </si>
  <si>
    <t>Steelpan</t>
  </si>
  <si>
    <t>Orchestra</t>
  </si>
  <si>
    <t>Brass instrument</t>
  </si>
  <si>
    <t>French horn</t>
  </si>
  <si>
    <t>Trumpet</t>
  </si>
  <si>
    <t>Trombone</t>
  </si>
  <si>
    <t>Bowed string instrument</t>
  </si>
  <si>
    <t>弓で弾く弦楽器</t>
  </si>
  <si>
    <t>String section</t>
  </si>
  <si>
    <t>弦楽器のセクション</t>
  </si>
  <si>
    <t>Violin, fiddle</t>
  </si>
  <si>
    <t>Pizzicato</t>
  </si>
  <si>
    <t>Cello</t>
  </si>
  <si>
    <t>Double bass</t>
  </si>
  <si>
    <t>Wind instrument, woodwind instrument</t>
  </si>
  <si>
    <t>Flute</t>
  </si>
  <si>
    <t>Saxophone</t>
  </si>
  <si>
    <t>Clarinet</t>
  </si>
  <si>
    <t>Harp</t>
  </si>
  <si>
    <t>Bell</t>
  </si>
  <si>
    <t>Church bell</t>
  </si>
  <si>
    <t>Jingle bell</t>
  </si>
  <si>
    <t>Bicycle bell</t>
  </si>
  <si>
    <t>Tuning fork</t>
  </si>
  <si>
    <t>Chime</t>
  </si>
  <si>
    <t>Wind chime</t>
  </si>
  <si>
    <t>Change ringing (campanology)</t>
  </si>
  <si>
    <t>Harmonica</t>
  </si>
  <si>
    <t>Accordion</t>
  </si>
  <si>
    <t>Bagpipes</t>
  </si>
  <si>
    <t>Didgeridoo</t>
  </si>
  <si>
    <t xml:space="preserve">
ディジュリドゥ（アボリジニの金管楽器）</t>
  </si>
  <si>
    <t>Shofar</t>
  </si>
  <si>
    <t>ショファル（角でできた楽器）</t>
  </si>
  <si>
    <t>Theremin</t>
  </si>
  <si>
    <t>テルミン</t>
  </si>
  <si>
    <t>Singing bowl</t>
  </si>
  <si>
    <t>Scratching (performance technique)</t>
  </si>
  <si>
    <t>Pop music</t>
  </si>
  <si>
    <t>Hip hop music</t>
  </si>
  <si>
    <t>Beatboxing</t>
  </si>
  <si>
    <t>Rock music</t>
  </si>
  <si>
    <t>Heavy metal</t>
  </si>
  <si>
    <t>Punk rock</t>
  </si>
  <si>
    <t>Grunge</t>
  </si>
  <si>
    <t>Progressive rock</t>
  </si>
  <si>
    <t>Rock and roll</t>
  </si>
  <si>
    <t>Psychedelic rock</t>
  </si>
  <si>
    <t>Rhythm and blues</t>
  </si>
  <si>
    <t>Soul music</t>
  </si>
  <si>
    <t>Reggae</t>
  </si>
  <si>
    <t>Country</t>
  </si>
  <si>
    <t>Swing music</t>
  </si>
  <si>
    <t>Bluegrass</t>
  </si>
  <si>
    <t>Funk</t>
  </si>
  <si>
    <t>Folk music</t>
  </si>
  <si>
    <t>Middle Eastern music</t>
  </si>
  <si>
    <t>Jazz</t>
  </si>
  <si>
    <t>Disco</t>
  </si>
  <si>
    <t>Classical music</t>
  </si>
  <si>
    <t>Opera</t>
  </si>
  <si>
    <t>Electronic music</t>
  </si>
  <si>
    <t>House music</t>
  </si>
  <si>
    <t>Techno</t>
  </si>
  <si>
    <t>Dubstep</t>
  </si>
  <si>
    <t>Drum and bass</t>
  </si>
  <si>
    <t>Electronica</t>
  </si>
  <si>
    <t>Electronic dance music</t>
  </si>
  <si>
    <t>Ambient music</t>
  </si>
  <si>
    <t>Trance music</t>
  </si>
  <si>
    <t>Music of Latin America</t>
  </si>
  <si>
    <t>Salsa music</t>
  </si>
  <si>
    <t>Flamenco</t>
  </si>
  <si>
    <t>Blues</t>
  </si>
  <si>
    <t>Music for children</t>
  </si>
  <si>
    <t>New-age music</t>
  </si>
  <si>
    <t>Vocal music</t>
  </si>
  <si>
    <t>A capella</t>
  </si>
  <si>
    <t>Music of Africa</t>
  </si>
  <si>
    <t>Afrobeat</t>
  </si>
  <si>
    <t>アフロビート</t>
  </si>
  <si>
    <t>Christian music</t>
  </si>
  <si>
    <t>Gospel music</t>
  </si>
  <si>
    <t>Music of Asia</t>
  </si>
  <si>
    <t>Carnatic music</t>
  </si>
  <si>
    <t>Music of Bollywood</t>
  </si>
  <si>
    <t>Ska</t>
  </si>
  <si>
    <t>Traditional music</t>
  </si>
  <si>
    <t>Independent music</t>
  </si>
  <si>
    <t>Song</t>
  </si>
  <si>
    <t>Background music</t>
  </si>
  <si>
    <t>Theme music</t>
  </si>
  <si>
    <t>Jingle (music)</t>
  </si>
  <si>
    <t>Soundtrack music</t>
  </si>
  <si>
    <t>Lullaby</t>
  </si>
  <si>
    <t>子守唄</t>
  </si>
  <si>
    <t>Video game music</t>
  </si>
  <si>
    <t>Christmas music</t>
  </si>
  <si>
    <t>Dance music</t>
  </si>
  <si>
    <t>Wedding music</t>
  </si>
  <si>
    <t>Happy music</t>
  </si>
  <si>
    <t>Sad music</t>
  </si>
  <si>
    <t>Tender music</t>
  </si>
  <si>
    <t>Exciting music</t>
  </si>
  <si>
    <t>Angry music</t>
  </si>
  <si>
    <t>Scary music</t>
  </si>
  <si>
    <t>Wind</t>
  </si>
  <si>
    <t>Rustling leaves</t>
  </si>
  <si>
    <t>Wind noise (microphone)</t>
  </si>
  <si>
    <t>Thunderstorm</t>
  </si>
  <si>
    <t>Thunder</t>
  </si>
  <si>
    <t>Water</t>
  </si>
  <si>
    <t>Rain</t>
  </si>
  <si>
    <t>Raindrop</t>
  </si>
  <si>
    <t>Rain on surface</t>
  </si>
  <si>
    <t>Stream</t>
  </si>
  <si>
    <t>Waterfall</t>
  </si>
  <si>
    <t>Ocean</t>
  </si>
  <si>
    <t>Waves, surf</t>
  </si>
  <si>
    <t>Steam</t>
  </si>
  <si>
    <t>Gurgling</t>
  </si>
  <si>
    <t>Fire</t>
  </si>
  <si>
    <t>Crackle</t>
  </si>
  <si>
    <t>Vehicle</t>
  </si>
  <si>
    <t>Boat, Water vehicle</t>
  </si>
  <si>
    <t>Sailboat, sailing ship</t>
  </si>
  <si>
    <t>Rowboat, canoe, kayak</t>
  </si>
  <si>
    <t>Motorboat, speedboat</t>
  </si>
  <si>
    <t>Ship</t>
  </si>
  <si>
    <t>Motor vehicle (road)</t>
  </si>
  <si>
    <t>Car</t>
  </si>
  <si>
    <t>Vehicle horn, car horn, honking</t>
  </si>
  <si>
    <t>Toot</t>
  </si>
  <si>
    <t>Car alarm</t>
  </si>
  <si>
    <t>Power windows, electric windows</t>
  </si>
  <si>
    <t>Skidding</t>
  </si>
  <si>
    <t>Tire squeal</t>
  </si>
  <si>
    <t>Car passing by</t>
  </si>
  <si>
    <t>Race car, auto racing</t>
  </si>
  <si>
    <t>Truck</t>
  </si>
  <si>
    <t>Air brake</t>
  </si>
  <si>
    <t>Air horn, truck horn</t>
  </si>
  <si>
    <t>Reversing beeps</t>
  </si>
  <si>
    <t>Ice cream truck, ice cream van</t>
  </si>
  <si>
    <t>Bus</t>
  </si>
  <si>
    <t>Emergency vehicle</t>
  </si>
  <si>
    <t>Police car (siren)</t>
  </si>
  <si>
    <t>Ambulance (siren)</t>
  </si>
  <si>
    <t>Fire engine, fire truck (siren)</t>
  </si>
  <si>
    <t>Motorcycle</t>
  </si>
  <si>
    <t>Traffic noise, roadway noise</t>
  </si>
  <si>
    <t>Rail transport</t>
  </si>
  <si>
    <t>Train</t>
  </si>
  <si>
    <t>Train whistle</t>
  </si>
  <si>
    <t>Train horn</t>
  </si>
  <si>
    <t>Railroad car, train wagon</t>
  </si>
  <si>
    <t>Train wheels squealing</t>
  </si>
  <si>
    <t>Subway, metro, underground</t>
  </si>
  <si>
    <t>Aircraft</t>
  </si>
  <si>
    <t>Aircraft engine</t>
  </si>
  <si>
    <t>Jet engine</t>
  </si>
  <si>
    <t>Propeller, airscrew</t>
  </si>
  <si>
    <t>Helicopter</t>
  </si>
  <si>
    <t>Fixed-wing aircraft, airplane</t>
  </si>
  <si>
    <t>Bicycle</t>
  </si>
  <si>
    <t>Skateboard</t>
  </si>
  <si>
    <t>Engine</t>
  </si>
  <si>
    <t>Light engine (high frequency)</t>
  </si>
  <si>
    <t>Dental drill, dentist's drill</t>
  </si>
  <si>
    <t>Lawn mower</t>
  </si>
  <si>
    <t>Chainsaw</t>
  </si>
  <si>
    <t>Medium engine (mid frequency)</t>
  </si>
  <si>
    <t>Heavy engine (low frequency)</t>
  </si>
  <si>
    <t>Engine knocking</t>
  </si>
  <si>
    <t>Engine starting</t>
  </si>
  <si>
    <t>Idling</t>
  </si>
  <si>
    <t>Accelerating, revving, vroom</t>
  </si>
  <si>
    <t>Door</t>
  </si>
  <si>
    <t>Doorbell</t>
  </si>
  <si>
    <t>Ding-dong</t>
  </si>
  <si>
    <t>Sliding door</t>
  </si>
  <si>
    <t>Slam</t>
  </si>
  <si>
    <t>Knock</t>
  </si>
  <si>
    <t>Tap</t>
  </si>
  <si>
    <t>Squeak</t>
  </si>
  <si>
    <t>Cupboard open or close</t>
  </si>
  <si>
    <t>Drawer open or close</t>
  </si>
  <si>
    <t>Dishes, pots, and pans</t>
  </si>
  <si>
    <t>Cutlery, silverware</t>
  </si>
  <si>
    <t>Chopping (food)</t>
  </si>
  <si>
    <t>Frying (food)</t>
  </si>
  <si>
    <t>Microwave oven</t>
  </si>
  <si>
    <t>Blender</t>
  </si>
  <si>
    <t>Water tap, faucet</t>
  </si>
  <si>
    <t>Sink (filling or washing)</t>
  </si>
  <si>
    <t>Bathtub (filling or washing)</t>
  </si>
  <si>
    <t>Hair dryer</t>
  </si>
  <si>
    <t>Toilet flush</t>
  </si>
  <si>
    <t>Toothbrush</t>
  </si>
  <si>
    <t>Electric toothbrush</t>
  </si>
  <si>
    <t>Vacuum cleaner</t>
  </si>
  <si>
    <t>Zipper (clothing)</t>
  </si>
  <si>
    <t>Keys jangling</t>
  </si>
  <si>
    <t>Coin (dropping)</t>
  </si>
  <si>
    <t>Scissors</t>
  </si>
  <si>
    <t>Electric shaver, electric razor</t>
  </si>
  <si>
    <t>Shuffling cards</t>
  </si>
  <si>
    <t>Typing</t>
  </si>
  <si>
    <t>Typewriter</t>
  </si>
  <si>
    <t>Computer keyboard</t>
  </si>
  <si>
    <t>Writing</t>
  </si>
  <si>
    <t>Alarm</t>
  </si>
  <si>
    <t>Telephone</t>
  </si>
  <si>
    <t>Telephone bell ringing</t>
  </si>
  <si>
    <t>Ringtone</t>
  </si>
  <si>
    <t>Telephone dialing, DTMF</t>
  </si>
  <si>
    <t>Dial tone</t>
  </si>
  <si>
    <t>Busy signal</t>
  </si>
  <si>
    <t>Alarm clock</t>
  </si>
  <si>
    <t>Siren</t>
  </si>
  <si>
    <t>Civil defense siren</t>
  </si>
  <si>
    <t>Buzzer</t>
  </si>
  <si>
    <t>Smoke detector, smoke alarm</t>
  </si>
  <si>
    <t>Fire alarm</t>
  </si>
  <si>
    <t>Foghorn</t>
  </si>
  <si>
    <t>Whistle</t>
  </si>
  <si>
    <t>Steam whistle</t>
  </si>
  <si>
    <t>汽笛</t>
  </si>
  <si>
    <t>Mechanisms</t>
  </si>
  <si>
    <t>Ratchet, pawl</t>
  </si>
  <si>
    <t>Clock</t>
  </si>
  <si>
    <t>Tick</t>
  </si>
  <si>
    <t>Tick-tock</t>
  </si>
  <si>
    <t>Gears</t>
  </si>
  <si>
    <t>Pulleys</t>
  </si>
  <si>
    <t>Sewing machine</t>
  </si>
  <si>
    <t>Mechanical fan</t>
  </si>
  <si>
    <t>Air conditioning</t>
  </si>
  <si>
    <t>Cash register</t>
  </si>
  <si>
    <t>Printer</t>
  </si>
  <si>
    <t>Camera</t>
  </si>
  <si>
    <t>Single-lens reflex camera</t>
  </si>
  <si>
    <t>Tools</t>
  </si>
  <si>
    <t>Hammer</t>
  </si>
  <si>
    <t>Jackhammer</t>
  </si>
  <si>
    <t>Sawing</t>
  </si>
  <si>
    <t>Filing (rasp)</t>
  </si>
  <si>
    <t>Sanding</t>
  </si>
  <si>
    <t>Power tool</t>
  </si>
  <si>
    <t>Drill</t>
  </si>
  <si>
    <t>Explosion</t>
  </si>
  <si>
    <t>Gunshot, gunfire</t>
  </si>
  <si>
    <t>Machine gun</t>
  </si>
  <si>
    <t>Fusillade</t>
  </si>
  <si>
    <t>Artillery fire</t>
  </si>
  <si>
    <t>Cap gun</t>
  </si>
  <si>
    <t>Fireworks</t>
  </si>
  <si>
    <t>Firecracker</t>
  </si>
  <si>
    <t>Burst, pop</t>
  </si>
  <si>
    <t>Eruption</t>
  </si>
  <si>
    <t>Boom</t>
  </si>
  <si>
    <t>Wood</t>
  </si>
  <si>
    <t>Chop</t>
  </si>
  <si>
    <t>Splinter</t>
  </si>
  <si>
    <t>Crack</t>
  </si>
  <si>
    <t>Glass</t>
  </si>
  <si>
    <t>Chink, clink</t>
  </si>
  <si>
    <t>Shatter</t>
  </si>
  <si>
    <t>Liquid</t>
  </si>
  <si>
    <t>Splash, splatter</t>
  </si>
  <si>
    <t>Slosh</t>
  </si>
  <si>
    <t>Squish</t>
  </si>
  <si>
    <t>Drip</t>
  </si>
  <si>
    <t>Pour</t>
  </si>
  <si>
    <t>Trickle, dribble</t>
  </si>
  <si>
    <t>Gush</t>
  </si>
  <si>
    <t>Fill (with liquid)</t>
  </si>
  <si>
    <t>Spray</t>
  </si>
  <si>
    <t>Pump (liquid)</t>
  </si>
  <si>
    <t>Stir</t>
  </si>
  <si>
    <t>Boiling</t>
  </si>
  <si>
    <t>Sonar</t>
  </si>
  <si>
    <t>Arrow</t>
  </si>
  <si>
    <t>Whoosh, swoosh, swish</t>
  </si>
  <si>
    <t>しゅっ</t>
  </si>
  <si>
    <t>Thump, thud</t>
  </si>
  <si>
    <t>ドスン</t>
  </si>
  <si>
    <t>Thunk</t>
  </si>
  <si>
    <t>ズシン</t>
  </si>
  <si>
    <t>Electronic tuner</t>
  </si>
  <si>
    <t>Effects unit</t>
  </si>
  <si>
    <t>Chorus effect</t>
  </si>
  <si>
    <t>Basketball bounce</t>
  </si>
  <si>
    <t>Bang</t>
  </si>
  <si>
    <t>Slap, smack</t>
  </si>
  <si>
    <t>Whack, thwack</t>
  </si>
  <si>
    <t>Smash, crash</t>
  </si>
  <si>
    <t>Breaking</t>
  </si>
  <si>
    <t>Bouncing</t>
  </si>
  <si>
    <t>Whip</t>
  </si>
  <si>
    <t>Flap</t>
  </si>
  <si>
    <t>Scratch</t>
  </si>
  <si>
    <t>Scrape</t>
  </si>
  <si>
    <t>Rub</t>
  </si>
  <si>
    <t>Roll</t>
  </si>
  <si>
    <t>Crushing</t>
  </si>
  <si>
    <t>Crumpling, crinkling</t>
  </si>
  <si>
    <t>Tearing</t>
  </si>
  <si>
    <t>Beep, bleep</t>
  </si>
  <si>
    <t>Ping</t>
  </si>
  <si>
    <t>Ding</t>
  </si>
  <si>
    <t>Clang</t>
  </si>
  <si>
    <t>Squeal</t>
  </si>
  <si>
    <t>Creak</t>
  </si>
  <si>
    <t>Rustle</t>
  </si>
  <si>
    <t>Whir</t>
  </si>
  <si>
    <t>ヒュー</t>
  </si>
  <si>
    <t>Clatter</t>
  </si>
  <si>
    <t>Sizzle</t>
  </si>
  <si>
    <t>Clicking</t>
  </si>
  <si>
    <t>Clickety-clack</t>
  </si>
  <si>
    <t>Rumble</t>
  </si>
  <si>
    <t>Plop</t>
  </si>
  <si>
    <t>Jingle, tinkle</t>
  </si>
  <si>
    <t>Hum</t>
  </si>
  <si>
    <t>ブーン</t>
  </si>
  <si>
    <t>Zing</t>
  </si>
  <si>
    <t>ヒュッ</t>
  </si>
  <si>
    <t>Boing</t>
  </si>
  <si>
    <t>Crunch</t>
  </si>
  <si>
    <t>Silence</t>
  </si>
  <si>
    <t>Sine wave</t>
  </si>
  <si>
    <t>Harmonic</t>
  </si>
  <si>
    <t>Chirp tone</t>
  </si>
  <si>
    <t>チャープ音</t>
  </si>
  <si>
    <t>Sound effect</t>
  </si>
  <si>
    <t>Pulse</t>
  </si>
  <si>
    <t>Inside, small room</t>
  </si>
  <si>
    <t>Inside, large room or hall</t>
  </si>
  <si>
    <t>Inside, public space</t>
  </si>
  <si>
    <t>Outside, urban or manmade</t>
  </si>
  <si>
    <t>Outside, rural or natural</t>
  </si>
  <si>
    <t>Reverberation</t>
  </si>
  <si>
    <t>Echo</t>
  </si>
  <si>
    <t>Noise</t>
  </si>
  <si>
    <t>Environmental noise</t>
  </si>
  <si>
    <t>Static</t>
  </si>
  <si>
    <t>Mains hum</t>
  </si>
  <si>
    <t>Distortion</t>
  </si>
  <si>
    <t>Sidetone</t>
  </si>
  <si>
    <t>Cacophony</t>
  </si>
  <si>
    <t>White noise</t>
  </si>
  <si>
    <t>Pink noise</t>
  </si>
  <si>
    <t>Throbbing</t>
  </si>
  <si>
    <t>Vibration</t>
  </si>
  <si>
    <t>Television</t>
  </si>
  <si>
    <t>Radio</t>
  </si>
  <si>
    <t>Field recording</t>
  </si>
  <si>
    <t>yammnet_label</t>
    <phoneticPr fontId="3"/>
  </si>
  <si>
    <t>yammnet_label_ja</t>
    <phoneticPr fontId="3"/>
  </si>
  <si>
    <t>大声で叫ぶ</t>
    <rPh sb="0" eb="2">
      <t xml:space="preserve">オオゴエデ </t>
    </rPh>
    <rPh sb="3" eb="4">
      <t xml:space="preserve">サケブ </t>
    </rPh>
    <phoneticPr fontId="3"/>
  </si>
  <si>
    <t>嬉しそうな笑い</t>
    <rPh sb="0" eb="1">
      <t xml:space="preserve">ウレシソウナ </t>
    </rPh>
    <rPh sb="5" eb="6">
      <t xml:space="preserve">ワライ </t>
    </rPh>
    <phoneticPr fontId="3"/>
  </si>
  <si>
    <t>ささやき</t>
    <phoneticPr fontId="3"/>
  </si>
  <si>
    <r>
      <t>マントラ（</t>
    </r>
    <r>
      <rPr>
        <i/>
        <sz val="10"/>
        <color rgb="FF000000"/>
        <rFont val="Arial"/>
        <family val="2"/>
        <scheme val="minor"/>
      </rPr>
      <t>ヒンデュー教など）</t>
    </r>
    <rPh sb="10" eb="11">
      <t xml:space="preserve">キョウ </t>
    </rPh>
    <phoneticPr fontId="3"/>
  </si>
  <si>
    <t>荒い息</t>
    <rPh sb="0" eb="1">
      <t xml:space="preserve">アライ </t>
    </rPh>
    <phoneticPr fontId="3"/>
  </si>
  <si>
    <t>咳払い</t>
    <rPh sb="0" eb="2">
      <t xml:space="preserve">セキバライ </t>
    </rPh>
    <phoneticPr fontId="3"/>
  </si>
  <si>
    <t>嗅ぐ</t>
    <rPh sb="0" eb="1">
      <t xml:space="preserve">カグ </t>
    </rPh>
    <phoneticPr fontId="3"/>
  </si>
  <si>
    <t>足を引きずる</t>
    <rPh sb="0" eb="1">
      <t xml:space="preserve">アシヲ </t>
    </rPh>
    <rPh sb="2" eb="3">
      <t xml:space="preserve">ヒキズル </t>
    </rPh>
    <phoneticPr fontId="3"/>
  </si>
  <si>
    <t>指パッチン</t>
    <rPh sb="0" eb="1">
      <t xml:space="preserve">ユビ </t>
    </rPh>
    <phoneticPr fontId="3"/>
  </si>
  <si>
    <t>ワンワン</t>
    <phoneticPr fontId="3"/>
  </si>
  <si>
    <t>ギャーギャー</t>
    <phoneticPr fontId="3"/>
  </si>
  <si>
    <t>シー</t>
    <phoneticPr fontId="3"/>
  </si>
  <si>
    <t>牛の鳴き声</t>
    <rPh sb="0" eb="1">
      <t xml:space="preserve">ウシノ </t>
    </rPh>
    <rPh sb="2" eb="3">
      <t xml:space="preserve">ナキゴエ </t>
    </rPh>
    <phoneticPr fontId="3"/>
  </si>
  <si>
    <t>パカパカ</t>
    <phoneticPr fontId="3"/>
  </si>
  <si>
    <t>牛、ウシ科</t>
    <rPh sb="0" eb="1">
      <t xml:space="preserve">ウシ </t>
    </rPh>
    <rPh sb="4" eb="5">
      <t>🦟</t>
    </rPh>
    <phoneticPr fontId="3"/>
  </si>
  <si>
    <t>ヒヒーン</t>
    <phoneticPr fontId="3"/>
  </si>
  <si>
    <t>牛の鈴</t>
    <rPh sb="0" eb="1">
      <t xml:space="preserve">ウシノ </t>
    </rPh>
    <rPh sb="2" eb="3">
      <t xml:space="preserve">スズ </t>
    </rPh>
    <phoneticPr fontId="3"/>
  </si>
  <si>
    <t>メー</t>
    <phoneticPr fontId="3"/>
  </si>
  <si>
    <t>チッチッと鳴く</t>
    <rPh sb="5" eb="6">
      <t xml:space="preserve">ナク </t>
    </rPh>
    <phoneticPr fontId="3"/>
  </si>
  <si>
    <t>ガーガー鳴く</t>
    <rPh sb="4" eb="5">
      <t xml:space="preserve">ナク </t>
    </rPh>
    <phoneticPr fontId="3"/>
  </si>
  <si>
    <t>蝿</t>
    <phoneticPr fontId="3"/>
  </si>
  <si>
    <t>コオロギ</t>
    <phoneticPr fontId="3"/>
  </si>
  <si>
    <t>ブンブン</t>
    <phoneticPr fontId="3"/>
  </si>
  <si>
    <t>蛙の鳴き声</t>
    <rPh sb="0" eb="1">
      <t xml:space="preserve">カエルノ </t>
    </rPh>
    <rPh sb="2" eb="3">
      <t xml:space="preserve">ナキゴエ </t>
    </rPh>
    <phoneticPr fontId="3"/>
  </si>
  <si>
    <t>ja</t>
    <phoneticPr fontId="3"/>
  </si>
  <si>
    <t>ja_by_translator</t>
    <phoneticPr fontId="3"/>
  </si>
  <si>
    <t>話し声</t>
    <rPh sb="0" eb="1">
      <t xml:space="preserve">ハナシゴエ </t>
    </rPh>
    <phoneticPr fontId="3"/>
  </si>
  <si>
    <t>子供の話し声</t>
    <rPh sb="0" eb="2">
      <t xml:space="preserve">コドモノ </t>
    </rPh>
    <rPh sb="3" eb="4">
      <t xml:space="preserve">ハナシゴエ </t>
    </rPh>
    <phoneticPr fontId="3"/>
  </si>
  <si>
    <t>叫び</t>
    <rPh sb="0" eb="1">
      <t xml:space="preserve">サケビ </t>
    </rPh>
    <phoneticPr fontId="3"/>
  </si>
  <si>
    <t>怒鳴り声</t>
    <rPh sb="0" eb="2">
      <t xml:space="preserve">ドナリゴエ </t>
    </rPh>
    <rPh sb="3" eb="4">
      <t xml:space="preserve">コエ </t>
    </rPh>
    <phoneticPr fontId="3"/>
  </si>
  <si>
    <t>悲鳴</t>
    <rPh sb="0" eb="2">
      <t xml:space="preserve">ヒメイ </t>
    </rPh>
    <phoneticPr fontId="3"/>
  </si>
  <si>
    <t>笑い声</t>
    <rPh sb="0" eb="1">
      <t xml:space="preserve">ワライゴエ </t>
    </rPh>
    <phoneticPr fontId="3"/>
  </si>
  <si>
    <t>ささやき声</t>
    <phoneticPr fontId="3"/>
  </si>
  <si>
    <t>赤ちゃんの笑い声</t>
    <rPh sb="0" eb="1">
      <t xml:space="preserve">アカチャンオワライゴエ </t>
    </rPh>
    <rPh sb="5" eb="6">
      <t xml:space="preserve">ワライゴエ </t>
    </rPh>
    <phoneticPr fontId="3"/>
  </si>
  <si>
    <t>クスクス笑い</t>
    <rPh sb="0" eb="1">
      <t>クスクスウ</t>
    </rPh>
    <rPh sb="4" eb="5">
      <t xml:space="preserve">ワライ </t>
    </rPh>
    <phoneticPr fontId="3"/>
  </si>
  <si>
    <t>鼻で笑う</t>
    <rPh sb="0" eb="1">
      <t xml:space="preserve">ハナデワラウ </t>
    </rPh>
    <phoneticPr fontId="3"/>
  </si>
  <si>
    <t>爆笑</t>
    <rPh sb="0" eb="2">
      <t xml:space="preserve">バクショウ </t>
    </rPh>
    <phoneticPr fontId="3"/>
  </si>
  <si>
    <t>すすり泣き</t>
    <phoneticPr fontId="3"/>
  </si>
  <si>
    <t>歌い声</t>
    <phoneticPr fontId="3"/>
  </si>
  <si>
    <t>ヨーデル</t>
    <phoneticPr fontId="3"/>
  </si>
  <si>
    <t>ボカロ</t>
    <phoneticPr fontId="3"/>
  </si>
  <si>
    <t>口笛</t>
    <rPh sb="0" eb="2">
      <t xml:space="preserve">クチブエ </t>
    </rPh>
    <phoneticPr fontId="3"/>
  </si>
  <si>
    <t>苦しそうな息</t>
    <rPh sb="0" eb="1">
      <t xml:space="preserve">クルシソウナ </t>
    </rPh>
    <rPh sb="5" eb="6">
      <t xml:space="preserve">イキ </t>
    </rPh>
    <phoneticPr fontId="3"/>
  </si>
  <si>
    <t>コイン落下音</t>
    <rPh sb="3" eb="6">
      <t xml:space="preserve">ラッカオｎ </t>
    </rPh>
    <phoneticPr fontId="3"/>
  </si>
  <si>
    <t>みじん切り</t>
    <phoneticPr fontId="3"/>
  </si>
  <si>
    <t>電子レンジ</t>
    <rPh sb="0" eb="2">
      <t xml:space="preserve">デンシレンジ </t>
    </rPh>
    <phoneticPr fontId="3"/>
  </si>
  <si>
    <t>ビシッ</t>
    <phoneticPr fontId="3"/>
  </si>
  <si>
    <t>ボヨンボヨン</t>
    <phoneticPr fontId="3"/>
  </si>
  <si>
    <t>フィールドレコーディング</t>
    <phoneticPr fontId="3"/>
  </si>
  <si>
    <t>ラジオ</t>
    <phoneticPr fontId="3"/>
  </si>
  <si>
    <t>ピンクノイズ</t>
    <phoneticPr fontId="3"/>
  </si>
  <si>
    <t>側音</t>
    <rPh sb="0" eb="2">
      <t xml:space="preserve">ソクオｎ </t>
    </rPh>
    <phoneticPr fontId="3"/>
  </si>
  <si>
    <t>ハムノイズ</t>
    <phoneticPr fontId="3"/>
  </si>
  <si>
    <t>ひずみ音</t>
    <rPh sb="3" eb="4">
      <t xml:space="preserve">オｎ </t>
    </rPh>
    <phoneticPr fontId="3"/>
  </si>
  <si>
    <t>ポチャン</t>
    <phoneticPr fontId="3"/>
  </si>
  <si>
    <t>ゴロゴロ</t>
    <phoneticPr fontId="3"/>
  </si>
  <si>
    <t>ガタンゴトン</t>
    <phoneticPr fontId="3"/>
  </si>
  <si>
    <t>ジュージュー</t>
    <phoneticPr fontId="3"/>
  </si>
  <si>
    <t>カチカチ</t>
    <phoneticPr fontId="3"/>
  </si>
  <si>
    <t>チリンチリン</t>
    <phoneticPr fontId="3"/>
  </si>
  <si>
    <t>無音</t>
    <rPh sb="0" eb="2">
      <t xml:space="preserve">ムオｎ </t>
    </rPh>
    <phoneticPr fontId="3"/>
  </si>
  <si>
    <t>バスケットボールが跳ねる音</t>
    <rPh sb="9" eb="10">
      <t xml:space="preserve">ハネルオト </t>
    </rPh>
    <phoneticPr fontId="3"/>
  </si>
  <si>
    <t>チョロチョロ</t>
    <phoneticPr fontId="3"/>
  </si>
  <si>
    <t>バチャバチャ</t>
    <phoneticPr fontId="3"/>
  </si>
  <si>
    <t>バシャーン</t>
    <phoneticPr fontId="3"/>
  </si>
  <si>
    <t>チンチン鳴る</t>
    <rPh sb="4" eb="5">
      <t xml:space="preserve">ナル </t>
    </rPh>
    <phoneticPr fontId="3"/>
  </si>
  <si>
    <t>ポンッ</t>
    <phoneticPr fontId="3"/>
  </si>
  <si>
    <t>おもちゃの銃</t>
    <rPh sb="5" eb="6">
      <t xml:space="preserve">ジュウ </t>
    </rPh>
    <phoneticPr fontId="3"/>
  </si>
  <si>
    <t>一斉射撃</t>
    <rPh sb="0" eb="4">
      <t xml:space="preserve">イッセイシャゲキ </t>
    </rPh>
    <phoneticPr fontId="3"/>
  </si>
  <si>
    <t>ヤスリ研磨</t>
    <phoneticPr fontId="3"/>
  </si>
  <si>
    <t>ヤスリ</t>
    <phoneticPr fontId="3"/>
  </si>
  <si>
    <t>一眼レフカメラ</t>
    <rPh sb="0" eb="1">
      <t xml:space="preserve">イチガンレフ </t>
    </rPh>
    <phoneticPr fontId="3"/>
  </si>
  <si>
    <t>エアコン</t>
    <phoneticPr fontId="3"/>
  </si>
  <si>
    <t>トランプのシャッフル</t>
    <phoneticPr fontId="3"/>
  </si>
  <si>
    <t>鍵のジャラジャラ音</t>
    <rPh sb="0" eb="1">
      <t xml:space="preserve">カギノ </t>
    </rPh>
    <rPh sb="8" eb="9">
      <t xml:space="preserve">オｎ </t>
    </rPh>
    <phoneticPr fontId="3"/>
  </si>
  <si>
    <t>きしみ音</t>
    <rPh sb="3" eb="4">
      <t xml:space="preserve">オｎ </t>
    </rPh>
    <phoneticPr fontId="3"/>
  </si>
  <si>
    <t>タップ音</t>
    <rPh sb="3" eb="4">
      <t xml:space="preserve">オｎ </t>
    </rPh>
    <phoneticPr fontId="3"/>
  </si>
  <si>
    <t>キンコン（鐘）</t>
    <phoneticPr fontId="3"/>
  </si>
  <si>
    <t>加速、回転、ブルーン</t>
    <phoneticPr fontId="3"/>
  </si>
  <si>
    <t>強く打つ音</t>
    <rPh sb="0" eb="1">
      <t xml:space="preserve">ツヨク </t>
    </rPh>
    <rPh sb="2" eb="3">
      <t xml:space="preserve">ウツ </t>
    </rPh>
    <rPh sb="4" eb="5">
      <t xml:space="preserve">オト </t>
    </rPh>
    <phoneticPr fontId="3"/>
  </si>
  <si>
    <t>食器棚の開閉音</t>
    <rPh sb="0" eb="3">
      <t xml:space="preserve">ショッキダナ </t>
    </rPh>
    <rPh sb="4" eb="7">
      <t xml:space="preserve">カイヘイオｎ </t>
    </rPh>
    <phoneticPr fontId="3"/>
  </si>
  <si>
    <t>引き出しの開閉音</t>
    <rPh sb="0" eb="1">
      <t xml:space="preserve">ヒキダシ </t>
    </rPh>
    <rPh sb="5" eb="8">
      <t xml:space="preserve">カイヘイオｎ </t>
    </rPh>
    <phoneticPr fontId="3"/>
  </si>
  <si>
    <t>電気ミキサー</t>
    <rPh sb="0" eb="1">
      <t xml:space="preserve">デンキ </t>
    </rPh>
    <phoneticPr fontId="3"/>
  </si>
  <si>
    <t>トイレの流す音</t>
    <rPh sb="4" eb="5">
      <t xml:space="preserve">ナガスオト </t>
    </rPh>
    <phoneticPr fontId="3"/>
  </si>
  <si>
    <t>筆記音</t>
    <rPh sb="0" eb="3">
      <t xml:space="preserve">ヒッキオｎ </t>
    </rPh>
    <phoneticPr fontId="3"/>
  </si>
  <si>
    <t>電話のベルの音</t>
    <rPh sb="0" eb="2">
      <t xml:space="preserve">デンワノ </t>
    </rPh>
    <rPh sb="6" eb="7">
      <t xml:space="preserve">オト </t>
    </rPh>
    <phoneticPr fontId="3"/>
  </si>
  <si>
    <t>霧笛</t>
    <rPh sb="0" eb="2">
      <t xml:space="preserve">ムテキ </t>
    </rPh>
    <phoneticPr fontId="3"/>
  </si>
  <si>
    <t>機械音</t>
    <rPh sb="0" eb="3">
      <t xml:space="preserve">キカイオｎ </t>
    </rPh>
    <phoneticPr fontId="3"/>
  </si>
  <si>
    <t>つめ車</t>
    <rPh sb="2" eb="3">
      <t xml:space="preserve">クルマ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</si>
</sst>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4" fillId="0" borderId="0" xfId="0" applyFont="1"/>
    <xf numFmtId="0" fontId="6" fillId="0" borderId="0" xfId="0" applyFont="1"/>
    <xf numFmtId="0" fontId="1" fillId="0" borderId="0" xfId="0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22"/>
  <sheetViews>
    <sheetView tabSelected="1" topLeftCell="A385" workbookViewId="0">
      <selection activeCell="C416" sqref="C416"/>
    </sheetView>
  </sheetViews>
  <sheetFormatPr baseColWidth="10" defaultColWidth="12.6640625" defaultRowHeight="15.75" customHeight="1" x14ac:dyDescent="0.15"/>
  <cols>
    <col min="1" max="1" width="28.5" customWidth="1"/>
    <col min="2" max="2" width="35.83203125" customWidth="1"/>
    <col min="4" max="4" width="35.83203125" customWidth="1"/>
  </cols>
  <sheetData>
    <row r="1" spans="1:4" ht="15.75" customHeight="1" x14ac:dyDescent="0.15">
      <c r="A1" s="3" t="s">
        <v>555</v>
      </c>
      <c r="B1" s="3" t="s">
        <v>556</v>
      </c>
      <c r="C1" s="3" t="s">
        <v>581</v>
      </c>
      <c r="D1" s="3" t="s">
        <v>582</v>
      </c>
    </row>
    <row r="2" spans="1:4" ht="15.75" customHeight="1" x14ac:dyDescent="0.15">
      <c r="A2" s="1" t="s">
        <v>0</v>
      </c>
      <c r="B2" s="2" t="str">
        <f t="shared" ref="B2:B65" si="0">IF(C2="",D2,C2)</f>
        <v>話し声</v>
      </c>
      <c r="C2" s="3" t="s">
        <v>583</v>
      </c>
      <c r="D2" s="2" t="str">
        <f ca="1">IFERROR(__xludf.DUMMYFUNCTION("googletranslate(A1,""en"",""ja"")"),"スピーチ")</f>
        <v>スピーチ</v>
      </c>
    </row>
    <row r="3" spans="1:4" ht="15.75" customHeight="1" x14ac:dyDescent="0.15">
      <c r="A3" s="1" t="s">
        <v>1</v>
      </c>
      <c r="B3" s="2" t="str">
        <f t="shared" si="0"/>
        <v>子供の話し声</v>
      </c>
      <c r="C3" s="3" t="s">
        <v>584</v>
      </c>
      <c r="D3" s="2" t="str">
        <f ca="1">IFERROR(__xludf.DUMMYFUNCTION("googletranslate(A2,""en"",""ja"")"),"子供のスピーチ、子供が話します")</f>
        <v>子供のスピーチ、子供が話します</v>
      </c>
    </row>
    <row r="4" spans="1:4" ht="15.75" customHeight="1" x14ac:dyDescent="0.15">
      <c r="A4" s="1" t="s">
        <v>2</v>
      </c>
      <c r="B4" s="2" t="str">
        <f t="shared" ca="1" si="0"/>
        <v>会話</v>
      </c>
      <c r="D4" s="2" t="str">
        <f ca="1">IFERROR(__xludf.DUMMYFUNCTION("googletranslate(A3,""en"",""ja"")"),"会話")</f>
        <v>会話</v>
      </c>
    </row>
    <row r="5" spans="1:4" ht="15.75" customHeight="1" x14ac:dyDescent="0.15">
      <c r="A5" s="1" t="s">
        <v>3</v>
      </c>
      <c r="B5" s="2" t="str">
        <f t="shared" ca="1" si="0"/>
        <v>ナレーション、独白</v>
      </c>
      <c r="D5" s="2" t="str">
        <f ca="1">IFERROR(__xludf.DUMMYFUNCTION("googletranslate(A4,""en"",""ja"")"),"ナレーション、独白")</f>
        <v>ナレーション、独白</v>
      </c>
    </row>
    <row r="6" spans="1:4" ht="15.75" customHeight="1" x14ac:dyDescent="0.15">
      <c r="A6" s="1" t="s">
        <v>4</v>
      </c>
      <c r="B6" s="2" t="str">
        <f t="shared" ca="1" si="0"/>
        <v>せせらぎ</v>
      </c>
      <c r="D6" s="2" t="str">
        <f ca="1">IFERROR(__xludf.DUMMYFUNCTION("googletranslate(A5,""en"",""ja"")"),"せせらぎ")</f>
        <v>せせらぎ</v>
      </c>
    </row>
    <row r="7" spans="1:4" ht="15.75" customHeight="1" x14ac:dyDescent="0.15">
      <c r="A7" s="1" t="s">
        <v>5</v>
      </c>
      <c r="B7" s="2" t="str">
        <f t="shared" ca="1" si="0"/>
        <v>音声シンセサイザー</v>
      </c>
      <c r="D7" s="2" t="str">
        <f ca="1">IFERROR(__xludf.DUMMYFUNCTION("googletranslate(A6,""en"",""ja"")"),"音声シンセサイザー")</f>
        <v>音声シンセサイザー</v>
      </c>
    </row>
    <row r="8" spans="1:4" ht="15.75" customHeight="1" x14ac:dyDescent="0.15">
      <c r="A8" s="1" t="s">
        <v>6</v>
      </c>
      <c r="B8" s="2" t="str">
        <f t="shared" si="0"/>
        <v>叫び</v>
      </c>
      <c r="C8" s="3" t="s">
        <v>585</v>
      </c>
      <c r="D8" s="2" t="str">
        <f ca="1">IFERROR(__xludf.DUMMYFUNCTION("googletranslate(A7,""en"",""ja"")"),"叫ぶ")</f>
        <v>叫ぶ</v>
      </c>
    </row>
    <row r="9" spans="1:4" ht="15.75" customHeight="1" x14ac:dyDescent="0.15">
      <c r="A9" s="1" t="s">
        <v>7</v>
      </c>
      <c r="B9" s="2" t="str">
        <f t="shared" si="0"/>
        <v>怒鳴り声</v>
      </c>
      <c r="C9" s="3" t="s">
        <v>586</v>
      </c>
      <c r="D9" s="2" t="str">
        <f ca="1">IFERROR(__xludf.DUMMYFUNCTION("googletranslate(A8,""en"",""ja"")"),"怒鳴ります")</f>
        <v>怒鳴ります</v>
      </c>
    </row>
    <row r="10" spans="1:4" ht="15.75" customHeight="1" x14ac:dyDescent="0.15">
      <c r="A10" s="1" t="s">
        <v>8</v>
      </c>
      <c r="B10" s="2" t="str">
        <f t="shared" si="0"/>
        <v>雄叫び</v>
      </c>
      <c r="C10" s="2" t="s">
        <v>9</v>
      </c>
      <c r="D10" s="2" t="str">
        <f ca="1">IFERROR(__xludf.DUMMYFUNCTION("googletranslate(A9,""en"",""ja"")"),"whoop")</f>
        <v>whoop</v>
      </c>
    </row>
    <row r="11" spans="1:4" ht="15.75" customHeight="1" x14ac:dyDescent="0.15">
      <c r="A11" s="1" t="s">
        <v>10</v>
      </c>
      <c r="B11" s="2" t="str">
        <f t="shared" si="0"/>
        <v>大声で叫ぶ</v>
      </c>
      <c r="C11" s="3" t="s">
        <v>557</v>
      </c>
      <c r="D11" s="2" t="str">
        <f ca="1">IFERROR(__xludf.DUMMYFUNCTION("googletranslate(A10,""en"",""ja"")"),"エール")</f>
        <v>エール</v>
      </c>
    </row>
    <row r="12" spans="1:4" ht="15.75" customHeight="1" x14ac:dyDescent="0.15">
      <c r="A12" s="1" t="s">
        <v>11</v>
      </c>
      <c r="B12" s="2" t="str">
        <f t="shared" ca="1" si="0"/>
        <v>叫ぶ子供たち</v>
      </c>
      <c r="D12" s="2" t="str">
        <f ca="1">IFERROR(__xludf.DUMMYFUNCTION("googletranslate(A11,""en"",""ja"")"),"叫ぶ子供たち")</f>
        <v>叫ぶ子供たち</v>
      </c>
    </row>
    <row r="13" spans="1:4" ht="15.75" customHeight="1" x14ac:dyDescent="0.15">
      <c r="A13" s="1" t="s">
        <v>12</v>
      </c>
      <c r="B13" s="2" t="str">
        <f t="shared" si="0"/>
        <v>悲鳴</v>
      </c>
      <c r="C13" s="3" t="s">
        <v>587</v>
      </c>
      <c r="D13" s="2" t="str">
        <f ca="1">IFERROR(__xludf.DUMMYFUNCTION("googletranslate(A12,""en"",""ja"")"),"叫ぶ")</f>
        <v>叫ぶ</v>
      </c>
    </row>
    <row r="14" spans="1:4" ht="15.75" customHeight="1" x14ac:dyDescent="0.15">
      <c r="A14" s="1" t="s">
        <v>13</v>
      </c>
      <c r="B14" s="2" t="str">
        <f t="shared" si="0"/>
        <v>ささやき声</v>
      </c>
      <c r="C14" s="3" t="s">
        <v>589</v>
      </c>
      <c r="D14" s="2" t="str">
        <f ca="1">IFERROR(__xludf.DUMMYFUNCTION("googletranslate(A13,""en"",""ja"")"),"ささやき")</f>
        <v>ささやき</v>
      </c>
    </row>
    <row r="15" spans="1:4" ht="15.75" customHeight="1" x14ac:dyDescent="0.15">
      <c r="A15" s="1" t="s">
        <v>14</v>
      </c>
      <c r="B15" s="2" t="str">
        <f t="shared" si="0"/>
        <v>笑い声</v>
      </c>
      <c r="C15" s="3" t="s">
        <v>588</v>
      </c>
      <c r="D15" s="2" t="str">
        <f ca="1">IFERROR(__xludf.DUMMYFUNCTION("googletranslate(A14,""en"",""ja"")"),"笑い")</f>
        <v>笑い</v>
      </c>
    </row>
    <row r="16" spans="1:4" ht="15.75" customHeight="1" x14ac:dyDescent="0.15">
      <c r="A16" s="1" t="s">
        <v>15</v>
      </c>
      <c r="B16" s="2" t="str">
        <f t="shared" si="0"/>
        <v>赤ちゃんの笑い声</v>
      </c>
      <c r="C16" s="3" t="s">
        <v>590</v>
      </c>
      <c r="D16" s="2" t="str">
        <f ca="1">IFERROR(__xludf.DUMMYFUNCTION("googletranslate(A15,""en"",""ja"")"),"赤ちゃんの笑い")</f>
        <v>赤ちゃんの笑い</v>
      </c>
    </row>
    <row r="17" spans="1:4" ht="15.75" customHeight="1" x14ac:dyDescent="0.15">
      <c r="A17" s="1" t="s">
        <v>16</v>
      </c>
      <c r="B17" s="2" t="str">
        <f t="shared" si="0"/>
        <v>クスクス笑い</v>
      </c>
      <c r="C17" s="3" t="s">
        <v>591</v>
      </c>
      <c r="D17" s="2" t="str">
        <f ca="1">IFERROR(__xludf.DUMMYFUNCTION("googletranslate(A16,""en"",""ja"")"),"笑い")</f>
        <v>笑い</v>
      </c>
    </row>
    <row r="18" spans="1:4" ht="15.75" customHeight="1" x14ac:dyDescent="0.15">
      <c r="A18" s="1" t="s">
        <v>17</v>
      </c>
      <c r="B18" s="2" t="str">
        <f t="shared" si="0"/>
        <v>鼻で笑う</v>
      </c>
      <c r="C18" s="3" t="s">
        <v>592</v>
      </c>
      <c r="D18" s="2" t="str">
        <f ca="1">IFERROR(__xludf.DUMMYFUNCTION("googletranslate(A17,""en"",""ja"")"),"スニッカー")</f>
        <v>スニッカー</v>
      </c>
    </row>
    <row r="19" spans="1:4" ht="15.75" customHeight="1" x14ac:dyDescent="0.15">
      <c r="A19" s="1" t="s">
        <v>18</v>
      </c>
      <c r="B19" s="2" t="str">
        <f t="shared" si="0"/>
        <v>爆笑</v>
      </c>
      <c r="C19" s="3" t="s">
        <v>593</v>
      </c>
      <c r="D19" s="2" t="str">
        <f ca="1">IFERROR(__xludf.DUMMYFUNCTION("googletranslate(A18,""en"",""ja"")"),"腹は笑います")</f>
        <v>腹は笑います</v>
      </c>
    </row>
    <row r="20" spans="1:4" ht="15.75" customHeight="1" x14ac:dyDescent="0.15">
      <c r="A20" s="1" t="s">
        <v>19</v>
      </c>
      <c r="B20" s="2" t="str">
        <f t="shared" si="0"/>
        <v>嬉しそうな笑い</v>
      </c>
      <c r="C20" s="3" t="s">
        <v>558</v>
      </c>
      <c r="D20" s="2" t="str">
        <f ca="1">IFERROR(__xludf.DUMMYFUNCTION("googletranslate(A19,""en"",""ja"")"),"笑い、チョートル")</f>
        <v>笑い、チョートル</v>
      </c>
    </row>
    <row r="21" spans="1:4" ht="15.75" customHeight="1" x14ac:dyDescent="0.15">
      <c r="A21" s="1" t="s">
        <v>20</v>
      </c>
      <c r="B21" s="2" t="str">
        <f t="shared" si="0"/>
        <v>すすり泣き</v>
      </c>
      <c r="C21" s="3" t="s">
        <v>594</v>
      </c>
      <c r="D21" s="2" t="str">
        <f ca="1">IFERROR(__xludf.DUMMYFUNCTION("googletranslate(A20,""en"",""ja"")"),"泣いて、すすり泣く")</f>
        <v>泣いて、すすり泣く</v>
      </c>
    </row>
    <row r="22" spans="1:4" ht="15.75" customHeight="1" x14ac:dyDescent="0.15">
      <c r="A22" s="1" t="s">
        <v>21</v>
      </c>
      <c r="B22" s="2" t="str">
        <f t="shared" ca="1" si="0"/>
        <v>赤ちゃんの泣き声、幼児の泣き声</v>
      </c>
      <c r="D22" s="2" t="str">
        <f ca="1">IFERROR(__xludf.DUMMYFUNCTION("googletranslate(A21,""en"",""ja"")"),"赤ちゃんの泣き声、幼児の泣き声")</f>
        <v>赤ちゃんの泣き声、幼児の泣き声</v>
      </c>
    </row>
    <row r="23" spans="1:4" ht="15.75" customHeight="1" x14ac:dyDescent="0.15">
      <c r="A23" s="1" t="s">
        <v>22</v>
      </c>
      <c r="B23" s="2" t="str">
        <f t="shared" si="0"/>
        <v>ささやき</v>
      </c>
      <c r="C23" s="3" t="s">
        <v>559</v>
      </c>
      <c r="D23" s="2" t="str">
        <f ca="1">IFERROR(__xludf.DUMMYFUNCTION("googletranslate(A22,""en"",""ja"")"),"ささやきます")</f>
        <v>ささやきます</v>
      </c>
    </row>
    <row r="24" spans="1:4" ht="15.75" customHeight="1" x14ac:dyDescent="0.15">
      <c r="A24" s="1" t="s">
        <v>23</v>
      </c>
      <c r="B24" s="2" t="str">
        <f t="shared" ca="1" si="0"/>
        <v>嘆き、うめき声</v>
      </c>
      <c r="D24" s="2" t="str">
        <f ca="1">IFERROR(__xludf.DUMMYFUNCTION("googletranslate(A23,""en"",""ja"")"),"嘆き、うめき声")</f>
        <v>嘆き、うめき声</v>
      </c>
    </row>
    <row r="25" spans="1:4" ht="15.75" customHeight="1" x14ac:dyDescent="0.15">
      <c r="A25" s="1" t="s">
        <v>24</v>
      </c>
      <c r="B25" s="2" t="str">
        <f t="shared" ca="1" si="0"/>
        <v>はぁ</v>
      </c>
      <c r="D25" s="2" t="str">
        <f ca="1">IFERROR(__xludf.DUMMYFUNCTION("googletranslate(A24,""en"",""ja"")"),"はぁ")</f>
        <v>はぁ</v>
      </c>
    </row>
    <row r="26" spans="1:4" ht="15.75" customHeight="1" x14ac:dyDescent="0.15">
      <c r="A26" s="1" t="s">
        <v>25</v>
      </c>
      <c r="B26" s="2" t="str">
        <f t="shared" si="0"/>
        <v>歌い声</v>
      </c>
      <c r="C26" s="3" t="s">
        <v>595</v>
      </c>
      <c r="D26" s="2" t="str">
        <f ca="1">IFERROR(__xludf.DUMMYFUNCTION("googletranslate(A25,""en"",""ja"")"),"歌う")</f>
        <v>歌う</v>
      </c>
    </row>
    <row r="27" spans="1:4" ht="15.75" customHeight="1" x14ac:dyDescent="0.15">
      <c r="A27" s="1" t="s">
        <v>26</v>
      </c>
      <c r="B27" s="2" t="str">
        <f t="shared" ca="1" si="0"/>
        <v>合唱団</v>
      </c>
      <c r="D27" s="2" t="str">
        <f ca="1">IFERROR(__xludf.DUMMYFUNCTION("googletranslate(A26,""en"",""ja"")"),"合唱団")</f>
        <v>合唱団</v>
      </c>
    </row>
    <row r="28" spans="1:4" ht="15.75" customHeight="1" x14ac:dyDescent="0.15">
      <c r="A28" s="1" t="s">
        <v>27</v>
      </c>
      <c r="B28" s="2" t="str">
        <f t="shared" si="0"/>
        <v>ヨーデル</v>
      </c>
      <c r="C28" s="3" t="s">
        <v>596</v>
      </c>
      <c r="D28" s="2" t="str">
        <f ca="1">IFERROR(__xludf.DUMMYFUNCTION("googletranslate(A27,""en"",""ja"")"),"ヨーデリング")</f>
        <v>ヨーデリング</v>
      </c>
    </row>
    <row r="29" spans="1:4" ht="15.75" customHeight="1" x14ac:dyDescent="0.15">
      <c r="A29" s="1" t="s">
        <v>28</v>
      </c>
      <c r="B29" s="2" t="str">
        <f t="shared" ca="1" si="0"/>
        <v>聖歌</v>
      </c>
      <c r="D29" s="2" t="str">
        <f ca="1">IFERROR(__xludf.DUMMYFUNCTION("googletranslate(A28,""en"",""ja"")"),"聖歌")</f>
        <v>聖歌</v>
      </c>
    </row>
    <row r="30" spans="1:4" ht="15.75" customHeight="1" x14ac:dyDescent="0.15">
      <c r="A30" s="1" t="s">
        <v>29</v>
      </c>
      <c r="B30" s="2" t="str">
        <f t="shared" si="0"/>
        <v>マントラ（ヒンデュー教など）</v>
      </c>
      <c r="C30" s="3" t="s">
        <v>560</v>
      </c>
      <c r="D30" s="2" t="str">
        <f ca="1">IFERROR(__xludf.DUMMYFUNCTION("googletranslate(A29,""en"",""ja"")"),"マントラ")</f>
        <v>マントラ</v>
      </c>
    </row>
    <row r="31" spans="1:4" ht="15.75" customHeight="1" x14ac:dyDescent="0.15">
      <c r="A31" s="1" t="s">
        <v>30</v>
      </c>
      <c r="B31" s="2" t="str">
        <f t="shared" ca="1" si="0"/>
        <v>子供の歌</v>
      </c>
      <c r="D31" s="2" t="str">
        <f ca="1">IFERROR(__xludf.DUMMYFUNCTION("googletranslate(A30,""en"",""ja"")"),"子供の歌")</f>
        <v>子供の歌</v>
      </c>
    </row>
    <row r="32" spans="1:4" ht="15.75" customHeight="1" x14ac:dyDescent="0.15">
      <c r="A32" s="1" t="s">
        <v>31</v>
      </c>
      <c r="B32" s="2" t="str">
        <f t="shared" si="0"/>
        <v>ボカロ</v>
      </c>
      <c r="C32" s="3" t="s">
        <v>597</v>
      </c>
      <c r="D32" s="2" t="str">
        <f ca="1">IFERROR(__xludf.DUMMYFUNCTION("googletranslate(A31,""en"",""ja"")"),"合成歌")</f>
        <v>合成歌</v>
      </c>
    </row>
    <row r="33" spans="1:4" ht="15.75" customHeight="1" x14ac:dyDescent="0.15">
      <c r="A33" s="1" t="s">
        <v>32</v>
      </c>
      <c r="B33" s="2" t="str">
        <f t="shared" ca="1" si="0"/>
        <v>ラップ</v>
      </c>
      <c r="D33" s="2" t="str">
        <f ca="1">IFERROR(__xludf.DUMMYFUNCTION("googletranslate(A32,""en"",""ja"")"),"ラップ")</f>
        <v>ラップ</v>
      </c>
    </row>
    <row r="34" spans="1:4" ht="15.75" customHeight="1" x14ac:dyDescent="0.15">
      <c r="A34" s="1" t="s">
        <v>33</v>
      </c>
      <c r="B34" s="2" t="str">
        <f t="shared" ca="1" si="0"/>
        <v>ハミング</v>
      </c>
      <c r="D34" s="2" t="str">
        <f ca="1">IFERROR(__xludf.DUMMYFUNCTION("googletranslate(A33,""en"",""ja"")"),"ハミング")</f>
        <v>ハミング</v>
      </c>
    </row>
    <row r="35" spans="1:4" ht="15.75" customHeight="1" x14ac:dyDescent="0.15">
      <c r="A35" s="1" t="s">
        <v>34</v>
      </c>
      <c r="B35" s="2" t="str">
        <f t="shared" ca="1" si="0"/>
        <v>うめき声</v>
      </c>
      <c r="D35" s="2" t="str">
        <f ca="1">IFERROR(__xludf.DUMMYFUNCTION("googletranslate(A34,""en"",""ja"")"),"うめき声")</f>
        <v>うめき声</v>
      </c>
    </row>
    <row r="36" spans="1:4" ht="15.75" customHeight="1" x14ac:dyDescent="0.15">
      <c r="A36" s="1" t="s">
        <v>35</v>
      </c>
      <c r="B36" s="2" t="str">
        <f t="shared" ca="1" si="0"/>
        <v>うなり声</v>
      </c>
      <c r="D36" s="2" t="str">
        <f ca="1">IFERROR(__xludf.DUMMYFUNCTION("googletranslate(A35,""en"",""ja"")"),"うなり声")</f>
        <v>うなり声</v>
      </c>
    </row>
    <row r="37" spans="1:4" ht="15.75" customHeight="1" x14ac:dyDescent="0.15">
      <c r="A37" s="1" t="s">
        <v>36</v>
      </c>
      <c r="B37" s="2" t="str">
        <f t="shared" si="0"/>
        <v>口笛</v>
      </c>
      <c r="C37" s="3" t="s">
        <v>598</v>
      </c>
      <c r="D37" s="2" t="str">
        <f ca="1">IFERROR(__xludf.DUMMYFUNCTION("googletranslate(A36,""en"",""ja"")"),"口笛を吹く")</f>
        <v>口笛を吹く</v>
      </c>
    </row>
    <row r="38" spans="1:4" ht="15.75" customHeight="1" x14ac:dyDescent="0.15">
      <c r="A38" s="1" t="s">
        <v>37</v>
      </c>
      <c r="B38" s="2" t="str">
        <f t="shared" ca="1" si="0"/>
        <v>呼吸</v>
      </c>
      <c r="D38" s="2" t="str">
        <f ca="1">IFERROR(__xludf.DUMMYFUNCTION("googletranslate(A37,""en"",""ja"")"),"呼吸")</f>
        <v>呼吸</v>
      </c>
    </row>
    <row r="39" spans="1:4" ht="15.75" customHeight="1" x14ac:dyDescent="0.15">
      <c r="A39" s="1" t="s">
        <v>38</v>
      </c>
      <c r="B39" s="2" t="str">
        <f t="shared" si="0"/>
        <v>苦しそうな息</v>
      </c>
      <c r="C39" s="3" t="s">
        <v>599</v>
      </c>
      <c r="D39" s="2" t="str">
        <f ca="1">IFERROR(__xludf.DUMMYFUNCTION("googletranslate(A38,""en"",""ja"")"),"喘鳴")</f>
        <v>喘鳴</v>
      </c>
    </row>
    <row r="40" spans="1:4" ht="15.75" customHeight="1" x14ac:dyDescent="0.15">
      <c r="A40" s="1" t="s">
        <v>39</v>
      </c>
      <c r="B40" s="2" t="str">
        <f t="shared" ca="1" si="0"/>
        <v>いびき</v>
      </c>
      <c r="D40" s="2" t="str">
        <f ca="1">IFERROR(__xludf.DUMMYFUNCTION("googletranslate(A39,""en"",""ja"")"),"いびき")</f>
        <v>いびき</v>
      </c>
    </row>
    <row r="41" spans="1:4" ht="15.75" customHeight="1" x14ac:dyDescent="0.15">
      <c r="A41" s="1" t="s">
        <v>40</v>
      </c>
      <c r="B41" s="2" t="str">
        <f t="shared" ca="1" si="0"/>
        <v>あえぎ</v>
      </c>
      <c r="D41" s="2" t="str">
        <f ca="1">IFERROR(__xludf.DUMMYFUNCTION("googletranslate(A40,""en"",""ja"")"),"あえぎ")</f>
        <v>あえぎ</v>
      </c>
    </row>
    <row r="42" spans="1:4" ht="15.75" customHeight="1" x14ac:dyDescent="0.15">
      <c r="A42" s="1" t="s">
        <v>41</v>
      </c>
      <c r="B42" s="2" t="str">
        <f t="shared" si="0"/>
        <v>荒い息</v>
      </c>
      <c r="C42" s="3" t="s">
        <v>561</v>
      </c>
      <c r="D42" s="2" t="str">
        <f ca="1">IFERROR(__xludf.DUMMYFUNCTION("googletranslate(A41,""en"",""ja"")"),"パンツ")</f>
        <v>パンツ</v>
      </c>
    </row>
    <row r="43" spans="1:4" ht="15.75" customHeight="1" x14ac:dyDescent="0.15">
      <c r="A43" s="1" t="s">
        <v>42</v>
      </c>
      <c r="B43" s="2" t="str">
        <f t="shared" ca="1" si="0"/>
        <v>鼻を鳴らします</v>
      </c>
      <c r="D43" s="2" t="str">
        <f ca="1">IFERROR(__xludf.DUMMYFUNCTION("googletranslate(A42,""en"",""ja"")"),"鼻を鳴らします")</f>
        <v>鼻を鳴らします</v>
      </c>
    </row>
    <row r="44" spans="1:4" ht="15.75" customHeight="1" x14ac:dyDescent="0.15">
      <c r="A44" s="1" t="s">
        <v>43</v>
      </c>
      <c r="B44" s="2" t="str">
        <f t="shared" ca="1" si="0"/>
        <v>咳</v>
      </c>
      <c r="D44" s="2" t="str">
        <f ca="1">IFERROR(__xludf.DUMMYFUNCTION("googletranslate(A43,""en"",""ja"")"),"咳")</f>
        <v>咳</v>
      </c>
    </row>
    <row r="45" spans="1:4" ht="15.75" customHeight="1" x14ac:dyDescent="0.15">
      <c r="A45" s="1" t="s">
        <v>44</v>
      </c>
      <c r="B45" s="2" t="str">
        <f t="shared" si="0"/>
        <v>咳払い</v>
      </c>
      <c r="C45" s="3" t="s">
        <v>562</v>
      </c>
      <c r="D45" s="2" t="str">
        <f ca="1">IFERROR(__xludf.DUMMYFUNCTION("googletranslate(A44,""en"",""ja"")"),"喉の清算")</f>
        <v>喉の清算</v>
      </c>
    </row>
    <row r="46" spans="1:4" ht="15.75" customHeight="1" x14ac:dyDescent="0.15">
      <c r="A46" s="1" t="s">
        <v>45</v>
      </c>
      <c r="B46" s="2" t="str">
        <f t="shared" ca="1" si="0"/>
        <v>くしゃみ</v>
      </c>
      <c r="D46" s="2" t="str">
        <f ca="1">IFERROR(__xludf.DUMMYFUNCTION("googletranslate(A45,""en"",""ja"")"),"くしゃみ")</f>
        <v>くしゃみ</v>
      </c>
    </row>
    <row r="47" spans="1:4" ht="15.75" customHeight="1" x14ac:dyDescent="0.15">
      <c r="A47" s="1" t="s">
        <v>46</v>
      </c>
      <c r="B47" s="2" t="str">
        <f t="shared" si="0"/>
        <v>嗅ぐ</v>
      </c>
      <c r="C47" s="3" t="s">
        <v>563</v>
      </c>
      <c r="D47" s="2" t="str">
        <f ca="1">IFERROR(__xludf.DUMMYFUNCTION("googletranslate(A46,""en"",""ja"")"),"スニッフ")</f>
        <v>スニッフ</v>
      </c>
    </row>
    <row r="48" spans="1:4" ht="15.75" customHeight="1" x14ac:dyDescent="0.15">
      <c r="A48" s="1" t="s">
        <v>47</v>
      </c>
      <c r="B48" s="2" t="str">
        <f t="shared" ca="1" si="0"/>
        <v>走る</v>
      </c>
      <c r="D48" s="2" t="str">
        <f ca="1">IFERROR(__xludf.DUMMYFUNCTION("googletranslate(A47,""en"",""ja"")"),"走る")</f>
        <v>走る</v>
      </c>
    </row>
    <row r="49" spans="1:4" ht="15.75" customHeight="1" x14ac:dyDescent="0.15">
      <c r="A49" s="1" t="s">
        <v>48</v>
      </c>
      <c r="B49" s="2" t="str">
        <f t="shared" si="0"/>
        <v>足を引きずる</v>
      </c>
      <c r="C49" s="3" t="s">
        <v>564</v>
      </c>
      <c r="D49" s="2" t="str">
        <f ca="1">IFERROR(__xludf.DUMMYFUNCTION("googletranslate(A48,""en"",""ja"")"),"シャッフル")</f>
        <v>シャッフル</v>
      </c>
    </row>
    <row r="50" spans="1:4" ht="15.75" customHeight="1" x14ac:dyDescent="0.15">
      <c r="A50" s="1" t="s">
        <v>49</v>
      </c>
      <c r="B50" s="2" t="str">
        <f t="shared" ca="1" si="0"/>
        <v>歩く、足跡</v>
      </c>
      <c r="D50" s="2" t="str">
        <f ca="1">IFERROR(__xludf.DUMMYFUNCTION("googletranslate(A49,""en"",""ja"")"),"歩く、足跡")</f>
        <v>歩く、足跡</v>
      </c>
    </row>
    <row r="51" spans="1:4" ht="15.75" customHeight="1" x14ac:dyDescent="0.15">
      <c r="A51" s="1" t="s">
        <v>50</v>
      </c>
      <c r="B51" s="2" t="str">
        <f t="shared" si="0"/>
        <v>噛む、咀嚼</v>
      </c>
      <c r="C51" s="2" t="s">
        <v>51</v>
      </c>
      <c r="D51" s="2" t="str">
        <f ca="1">IFERROR(__xludf.DUMMYFUNCTION("googletranslate(A50,""en"",""ja"")"),"噛む、咀astic")</f>
        <v>噛む、咀astic</v>
      </c>
    </row>
    <row r="52" spans="1:4" ht="15.75" customHeight="1" x14ac:dyDescent="0.15">
      <c r="A52" s="1" t="s">
        <v>52</v>
      </c>
      <c r="B52" s="2" t="str">
        <f t="shared" ca="1" si="0"/>
        <v>噛む</v>
      </c>
      <c r="D52" s="2" t="str">
        <f ca="1">IFERROR(__xludf.DUMMYFUNCTION("googletranslate(A51,""en"",""ja"")"),"噛む")</f>
        <v>噛む</v>
      </c>
    </row>
    <row r="53" spans="1:4" ht="15.75" customHeight="1" x14ac:dyDescent="0.15">
      <c r="A53" s="1" t="s">
        <v>53</v>
      </c>
      <c r="B53" s="2" t="str">
        <f t="shared" ca="1" si="0"/>
        <v>うがい</v>
      </c>
      <c r="D53" s="2" t="str">
        <f ca="1">IFERROR(__xludf.DUMMYFUNCTION("googletranslate(A52,""en"",""ja"")"),"うがい")</f>
        <v>うがい</v>
      </c>
    </row>
    <row r="54" spans="1:4" ht="15.75" customHeight="1" x14ac:dyDescent="0.15">
      <c r="A54" s="1" t="s">
        <v>54</v>
      </c>
      <c r="B54" s="2" t="str">
        <f t="shared" ca="1" si="0"/>
        <v>胃の鳴き声</v>
      </c>
      <c r="D54" s="2" t="str">
        <f ca="1">IFERROR(__xludf.DUMMYFUNCTION("googletranslate(A53,""en"",""ja"")"),"胃の鳴き声")</f>
        <v>胃の鳴き声</v>
      </c>
    </row>
    <row r="55" spans="1:4" ht="15.75" customHeight="1" x14ac:dyDescent="0.15">
      <c r="A55" s="1" t="s">
        <v>55</v>
      </c>
      <c r="B55" s="2" t="str">
        <f t="shared" si="0"/>
        <v>げっぷ、おくび</v>
      </c>
      <c r="C55" s="2" t="s">
        <v>56</v>
      </c>
      <c r="D55" s="2" t="str">
        <f ca="1">IFERROR(__xludf.DUMMYFUNCTION("googletranslate(A54,""en"",""ja"")"),"げっぷ、駆け出し")</f>
        <v>げっぷ、駆け出し</v>
      </c>
    </row>
    <row r="56" spans="1:4" ht="15.75" customHeight="1" x14ac:dyDescent="0.15">
      <c r="A56" s="1" t="s">
        <v>57</v>
      </c>
      <c r="B56" s="2" t="str">
        <f t="shared" ca="1" si="0"/>
        <v>しゃっくり</v>
      </c>
      <c r="D56" s="2" t="str">
        <f ca="1">IFERROR(__xludf.DUMMYFUNCTION("googletranslate(A55,""en"",""ja"")"),"しゃっくり")</f>
        <v>しゃっくり</v>
      </c>
    </row>
    <row r="57" spans="1:4" ht="15.75" customHeight="1" x14ac:dyDescent="0.15">
      <c r="A57" s="1" t="s">
        <v>58</v>
      </c>
      <c r="B57" s="2" t="str">
        <f t="shared" ca="1" si="0"/>
        <v>おなら</v>
      </c>
      <c r="D57" s="2" t="str">
        <f ca="1">IFERROR(__xludf.DUMMYFUNCTION("googletranslate(A56,""en"",""ja"")"),"おなら")</f>
        <v>おなら</v>
      </c>
    </row>
    <row r="58" spans="1:4" ht="15.75" customHeight="1" x14ac:dyDescent="0.15">
      <c r="A58" s="1" t="s">
        <v>59</v>
      </c>
      <c r="B58" s="2" t="str">
        <f t="shared" ca="1" si="0"/>
        <v>手</v>
      </c>
      <c r="D58" s="2" t="str">
        <f ca="1">IFERROR(__xludf.DUMMYFUNCTION("googletranslate(A57,""en"",""ja"")"),"手")</f>
        <v>手</v>
      </c>
    </row>
    <row r="59" spans="1:4" ht="15.75" customHeight="1" x14ac:dyDescent="0.15">
      <c r="A59" s="1" t="s">
        <v>60</v>
      </c>
      <c r="B59" s="2" t="str">
        <f t="shared" si="0"/>
        <v>指パッチン</v>
      </c>
      <c r="C59" s="3" t="s">
        <v>565</v>
      </c>
      <c r="D59" s="2" t="str">
        <f ca="1">IFERROR(__xludf.DUMMYFUNCTION("googletranslate(A58,""en"",""ja"")"),"フィンガースナップ")</f>
        <v>フィンガースナップ</v>
      </c>
    </row>
    <row r="60" spans="1:4" ht="15.75" customHeight="1" x14ac:dyDescent="0.15">
      <c r="A60" s="1" t="s">
        <v>61</v>
      </c>
      <c r="B60" s="2" t="str">
        <f t="shared" si="0"/>
        <v>手を叩く</v>
      </c>
      <c r="C60" s="2" t="s">
        <v>62</v>
      </c>
      <c r="D60" s="2" t="str">
        <f ca="1">IFERROR(__xludf.DUMMYFUNCTION("googletranslate(A59,""en"",""ja"")"),"拍手")</f>
        <v>拍手</v>
      </c>
    </row>
    <row r="61" spans="1:4" ht="15.75" customHeight="1" x14ac:dyDescent="0.15">
      <c r="A61" s="1" t="s">
        <v>63</v>
      </c>
      <c r="B61" s="2" t="str">
        <f t="shared" ca="1" si="0"/>
        <v>心音、ハートビート</v>
      </c>
      <c r="D61" s="2" t="str">
        <f ca="1">IFERROR(__xludf.DUMMYFUNCTION("googletranslate(A60,""en"",""ja"")"),"心音、ハートビート")</f>
        <v>心音、ハートビート</v>
      </c>
    </row>
    <row r="62" spans="1:4" ht="15.75" customHeight="1" x14ac:dyDescent="0.15">
      <c r="A62" s="1" t="s">
        <v>64</v>
      </c>
      <c r="B62" s="2" t="str">
        <f t="shared" ca="1" si="0"/>
        <v>心雑音</v>
      </c>
      <c r="D62" s="2" t="str">
        <f ca="1">IFERROR(__xludf.DUMMYFUNCTION("googletranslate(A61,""en"",""ja"")"),"心雑音")</f>
        <v>心雑音</v>
      </c>
    </row>
    <row r="63" spans="1:4" ht="15.75" customHeight="1" x14ac:dyDescent="0.15">
      <c r="A63" s="1" t="s">
        <v>65</v>
      </c>
      <c r="B63" s="2" t="str">
        <f t="shared" ca="1" si="0"/>
        <v>応援</v>
      </c>
      <c r="D63" s="2" t="str">
        <f ca="1">IFERROR(__xludf.DUMMYFUNCTION("googletranslate(A62,""en"",""ja"")"),"応援")</f>
        <v>応援</v>
      </c>
    </row>
    <row r="64" spans="1:4" ht="15.75" customHeight="1" x14ac:dyDescent="0.15">
      <c r="A64" s="1" t="s">
        <v>66</v>
      </c>
      <c r="B64" s="2" t="str">
        <f t="shared" ca="1" si="0"/>
        <v>拍手</v>
      </c>
      <c r="D64" s="2" t="str">
        <f ca="1">IFERROR(__xludf.DUMMYFUNCTION("googletranslate(A63,""en"",""ja"")"),"拍手")</f>
        <v>拍手</v>
      </c>
    </row>
    <row r="65" spans="1:4" ht="15.75" customHeight="1" x14ac:dyDescent="0.15">
      <c r="A65" s="1" t="s">
        <v>67</v>
      </c>
      <c r="B65" s="2" t="str">
        <f t="shared" ca="1" si="0"/>
        <v>おしゃべり</v>
      </c>
      <c r="D65" s="2" t="str">
        <f ca="1">IFERROR(__xludf.DUMMYFUNCTION("googletranslate(A64,""en"",""ja"")"),"おしゃべり")</f>
        <v>おしゃべり</v>
      </c>
    </row>
    <row r="66" spans="1:4" ht="15.75" customHeight="1" x14ac:dyDescent="0.15">
      <c r="A66" s="1" t="s">
        <v>68</v>
      </c>
      <c r="B66" s="2" t="str">
        <f t="shared" ref="B66:B129" ca="1" si="1">IF(C66="",D66,C66)</f>
        <v>群衆</v>
      </c>
      <c r="D66" s="2" t="str">
        <f ca="1">IFERROR(__xludf.DUMMYFUNCTION("googletranslate(A65,""en"",""ja"")"),"群衆")</f>
        <v>群衆</v>
      </c>
    </row>
    <row r="67" spans="1:4" ht="15.75" customHeight="1" x14ac:dyDescent="0.15">
      <c r="A67" s="1" t="s">
        <v>69</v>
      </c>
      <c r="B67" s="2" t="str">
        <f t="shared" si="1"/>
        <v>騒音</v>
      </c>
      <c r="C67" s="2" t="s">
        <v>70</v>
      </c>
      <c r="D67" s="2" t="str">
        <f ca="1">IFERROR(__xludf.DUMMYFUNCTION("googletranslate(A66,""en"",""ja"")"),"Hubbub、Speech Noise、SpeechBabble")</f>
        <v>Hubbub、Speech Noise、SpeechBabble</v>
      </c>
    </row>
    <row r="68" spans="1:4" ht="15.75" customHeight="1" x14ac:dyDescent="0.15">
      <c r="A68" s="1" t="s">
        <v>71</v>
      </c>
      <c r="B68" s="2" t="str">
        <f t="shared" ca="1" si="1"/>
        <v>遊んでいる子供たち</v>
      </c>
      <c r="D68" s="2" t="str">
        <f ca="1">IFERROR(__xludf.DUMMYFUNCTION("googletranslate(A67,""en"",""ja"")"),"遊んでいる子供たち")</f>
        <v>遊んでいる子供たち</v>
      </c>
    </row>
    <row r="69" spans="1:4" ht="14" x14ac:dyDescent="0.15">
      <c r="A69" s="1" t="s">
        <v>72</v>
      </c>
      <c r="B69" s="2" t="str">
        <f t="shared" ca="1" si="1"/>
        <v>動物</v>
      </c>
      <c r="D69" s="2" t="str">
        <f ca="1">IFERROR(__xludf.DUMMYFUNCTION("googletranslate(A68,""en"",""ja"")"),"動物")</f>
        <v>動物</v>
      </c>
    </row>
    <row r="70" spans="1:4" ht="14" x14ac:dyDescent="0.15">
      <c r="A70" s="1" t="s">
        <v>73</v>
      </c>
      <c r="B70" s="2" t="str">
        <f t="shared" ca="1" si="1"/>
        <v>家畜、ペット</v>
      </c>
      <c r="D70" s="2" t="str">
        <f ca="1">IFERROR(__xludf.DUMMYFUNCTION("googletranslate(A69,""en"",""ja"")"),"家畜、ペット")</f>
        <v>家畜、ペット</v>
      </c>
    </row>
    <row r="71" spans="1:4" ht="14" x14ac:dyDescent="0.15">
      <c r="A71" s="1" t="s">
        <v>74</v>
      </c>
      <c r="B71" s="2" t="str">
        <f t="shared" ca="1" si="1"/>
        <v>犬</v>
      </c>
      <c r="D71" s="2" t="str">
        <f ca="1">IFERROR(__xludf.DUMMYFUNCTION("googletranslate(A70,""en"",""ja"")"),"犬")</f>
        <v>犬</v>
      </c>
    </row>
    <row r="72" spans="1:4" ht="14" x14ac:dyDescent="0.15">
      <c r="A72" s="1" t="s">
        <v>75</v>
      </c>
      <c r="B72" s="2" t="str">
        <f t="shared" ca="1" si="1"/>
        <v>吠える</v>
      </c>
      <c r="D72" s="2" t="str">
        <f ca="1">IFERROR(__xludf.DUMMYFUNCTION("googletranslate(A71,""en"",""ja"")"),"吠える")</f>
        <v>吠える</v>
      </c>
    </row>
    <row r="73" spans="1:4" ht="14" x14ac:dyDescent="0.15">
      <c r="A73" s="1" t="s">
        <v>76</v>
      </c>
      <c r="B73" s="2" t="str">
        <f t="shared" ca="1" si="1"/>
        <v>うん</v>
      </c>
      <c r="D73" s="2" t="str">
        <f ca="1">IFERROR(__xludf.DUMMYFUNCTION("googletranslate(A72,""en"",""ja"")"),"うん")</f>
        <v>うん</v>
      </c>
    </row>
    <row r="74" spans="1:4" ht="14" x14ac:dyDescent="0.15">
      <c r="A74" s="1" t="s">
        <v>77</v>
      </c>
      <c r="B74" s="2" t="str">
        <f t="shared" ca="1" si="1"/>
        <v>遠吠え</v>
      </c>
      <c r="D74" s="2" t="str">
        <f ca="1">IFERROR(__xludf.DUMMYFUNCTION("googletranslate(A73,""en"",""ja"")"),"遠吠え")</f>
        <v>遠吠え</v>
      </c>
    </row>
    <row r="75" spans="1:4" ht="14" x14ac:dyDescent="0.15">
      <c r="A75" s="1" t="s">
        <v>78</v>
      </c>
      <c r="B75" s="2" t="str">
        <f t="shared" si="1"/>
        <v>ワンワン</v>
      </c>
      <c r="C75" s="3" t="s">
        <v>566</v>
      </c>
      <c r="D75" s="2" t="str">
        <f ca="1">IFERROR(__xludf.DUMMYFUNCTION("googletranslate(A74,""en"",""ja"")"),"弓のwow")</f>
        <v>弓のwow</v>
      </c>
    </row>
    <row r="76" spans="1:4" ht="14" x14ac:dyDescent="0.15">
      <c r="A76" s="1" t="s">
        <v>79</v>
      </c>
      <c r="B76" s="2" t="str">
        <f t="shared" ca="1" si="1"/>
        <v>うなり声</v>
      </c>
      <c r="D76" s="2" t="str">
        <f ca="1">IFERROR(__xludf.DUMMYFUNCTION("googletranslate(A75,""en"",""ja"")"),"うなり声")</f>
        <v>うなり声</v>
      </c>
    </row>
    <row r="77" spans="1:4" ht="14" x14ac:dyDescent="0.15">
      <c r="A77" s="1" t="s">
        <v>80</v>
      </c>
      <c r="B77" s="2" t="str">
        <f t="shared" ca="1" si="1"/>
        <v>ささやき（犬）</v>
      </c>
      <c r="D77" s="2" t="str">
        <f ca="1">IFERROR(__xludf.DUMMYFUNCTION("googletranslate(A76,""en"",""ja"")"),"ささやき（犬）")</f>
        <v>ささやき（犬）</v>
      </c>
    </row>
    <row r="78" spans="1:4" ht="14" x14ac:dyDescent="0.15">
      <c r="A78" s="1" t="s">
        <v>81</v>
      </c>
      <c r="B78" s="2" t="str">
        <f t="shared" ca="1" si="1"/>
        <v>猫</v>
      </c>
      <c r="D78" s="2" t="str">
        <f ca="1">IFERROR(__xludf.DUMMYFUNCTION("googletranslate(A77,""en"",""ja"")"),"猫")</f>
        <v>猫</v>
      </c>
    </row>
    <row r="79" spans="1:4" ht="14" x14ac:dyDescent="0.15">
      <c r="A79" s="1" t="s">
        <v>82</v>
      </c>
      <c r="B79" s="2" t="str">
        <f t="shared" si="1"/>
        <v>猫の喉の音</v>
      </c>
      <c r="C79" s="2" t="s">
        <v>83</v>
      </c>
      <c r="D79" s="2" t="str">
        <f ca="1">IFERROR(__xludf.DUMMYFUNCTION("googletranslate(A78,""en"",""ja"")"),"purr")</f>
        <v>purr</v>
      </c>
    </row>
    <row r="80" spans="1:4" ht="14" x14ac:dyDescent="0.15">
      <c r="A80" s="1" t="s">
        <v>84</v>
      </c>
      <c r="B80" s="2" t="str">
        <f t="shared" ca="1" si="1"/>
        <v>ニャー</v>
      </c>
      <c r="D80" s="2" t="str">
        <f ca="1">IFERROR(__xludf.DUMMYFUNCTION("googletranslate(A79,""en"",""ja"")"),"ニャー")</f>
        <v>ニャー</v>
      </c>
    </row>
    <row r="81" spans="1:4" ht="14" x14ac:dyDescent="0.15">
      <c r="A81" s="1" t="s">
        <v>85</v>
      </c>
      <c r="B81" s="2" t="str">
        <f t="shared" si="1"/>
        <v>シー</v>
      </c>
      <c r="C81" s="3" t="s">
        <v>568</v>
      </c>
      <c r="D81" s="2" t="str">
        <f ca="1">IFERROR(__xludf.DUMMYFUNCTION("googletranslate(A80,""en"",""ja"")"),"ヒス")</f>
        <v>ヒス</v>
      </c>
    </row>
    <row r="82" spans="1:4" ht="14" x14ac:dyDescent="0.15">
      <c r="A82" s="1" t="s">
        <v>86</v>
      </c>
      <c r="B82" s="2" t="str">
        <f t="shared" si="1"/>
        <v>ギャーギャー</v>
      </c>
      <c r="C82" s="4" t="s">
        <v>567</v>
      </c>
      <c r="D82" s="2" t="str">
        <f ca="1">IFERROR(__xludf.DUMMYFUNCTION("googletranslate(A81,""en"",""ja"")"),"Caterwaul")</f>
        <v>Caterwaul</v>
      </c>
    </row>
    <row r="83" spans="1:4" ht="28" x14ac:dyDescent="0.15">
      <c r="A83" s="1" t="s">
        <v>87</v>
      </c>
      <c r="B83" s="2" t="str">
        <f t="shared" ca="1" si="1"/>
        <v>家畜、家畜、働く動物</v>
      </c>
      <c r="D83" s="2" t="str">
        <f ca="1">IFERROR(__xludf.DUMMYFUNCTION("googletranslate(A82,""en"",""ja"")"),"家畜、家畜、働く動物")</f>
        <v>家畜、家畜、働く動物</v>
      </c>
    </row>
    <row r="84" spans="1:4" ht="14" x14ac:dyDescent="0.15">
      <c r="A84" s="1" t="s">
        <v>88</v>
      </c>
      <c r="B84" s="2" t="str">
        <f t="shared" ca="1" si="1"/>
        <v>馬</v>
      </c>
      <c r="D84" s="2" t="str">
        <f ca="1">IFERROR(__xludf.DUMMYFUNCTION("googletranslate(A83,""en"",""ja"")"),"馬")</f>
        <v>馬</v>
      </c>
    </row>
    <row r="85" spans="1:4" ht="14" x14ac:dyDescent="0.15">
      <c r="A85" s="1" t="s">
        <v>89</v>
      </c>
      <c r="B85" s="2" t="str">
        <f t="shared" si="1"/>
        <v>パカパカ</v>
      </c>
      <c r="C85" s="3" t="s">
        <v>570</v>
      </c>
      <c r="D85" s="2" t="str">
        <f ca="1">IFERROR(__xludf.DUMMYFUNCTION("googletranslate(A84,""en"",""ja"")"),"クリップクロップ")</f>
        <v>クリップクロップ</v>
      </c>
    </row>
    <row r="86" spans="1:4" ht="14" x14ac:dyDescent="0.15">
      <c r="A86" s="1" t="s">
        <v>90</v>
      </c>
      <c r="B86" s="2" t="str">
        <f t="shared" si="1"/>
        <v>ヒヒーン</v>
      </c>
      <c r="C86" s="3" t="s">
        <v>572</v>
      </c>
      <c r="D86" s="2" t="str">
        <f ca="1">IFERROR(__xludf.DUMMYFUNCTION("googletranslate(A85,""en"",""ja"")"),"隣人、泣き言")</f>
        <v>隣人、泣き言</v>
      </c>
    </row>
    <row r="87" spans="1:4" ht="14" x14ac:dyDescent="0.15">
      <c r="A87" s="1" t="s">
        <v>91</v>
      </c>
      <c r="B87" s="2" t="str">
        <f t="shared" si="1"/>
        <v>牛、ウシ科</v>
      </c>
      <c r="C87" s="3" t="s">
        <v>571</v>
      </c>
      <c r="D87" s="2" t="str">
        <f ca="1">IFERROR(__xludf.DUMMYFUNCTION("googletranslate(A86,""en"",""ja"")"),"牛、ボビナエ")</f>
        <v>牛、ボビナエ</v>
      </c>
    </row>
    <row r="88" spans="1:4" ht="14" x14ac:dyDescent="0.15">
      <c r="A88" s="1" t="s">
        <v>92</v>
      </c>
      <c r="B88" s="2" t="str">
        <f t="shared" si="1"/>
        <v>牛の鳴き声</v>
      </c>
      <c r="C88" s="3" t="s">
        <v>569</v>
      </c>
      <c r="D88" s="2" t="str">
        <f ca="1">IFERROR(__xludf.DUMMYFUNCTION("googletranslate(A87,""en"",""ja"")"),"ムー")</f>
        <v>ムー</v>
      </c>
    </row>
    <row r="89" spans="1:4" ht="14" x14ac:dyDescent="0.15">
      <c r="A89" s="1" t="s">
        <v>93</v>
      </c>
      <c r="B89" s="2" t="str">
        <f t="shared" si="1"/>
        <v>牛の鈴</v>
      </c>
      <c r="C89" s="3" t="s">
        <v>573</v>
      </c>
      <c r="D89" s="2" t="str">
        <f ca="1">IFERROR(__xludf.DUMMYFUNCTION("googletranslate(A88,""en"",""ja"")"),"カウベル")</f>
        <v>カウベル</v>
      </c>
    </row>
    <row r="90" spans="1:4" ht="14" x14ac:dyDescent="0.15">
      <c r="A90" s="1" t="s">
        <v>94</v>
      </c>
      <c r="B90" s="2" t="str">
        <f t="shared" ca="1" si="1"/>
        <v>豚</v>
      </c>
      <c r="D90" s="2" t="str">
        <f ca="1">IFERROR(__xludf.DUMMYFUNCTION("googletranslate(A89,""en"",""ja"")"),"豚")</f>
        <v>豚</v>
      </c>
    </row>
    <row r="91" spans="1:4" ht="14" x14ac:dyDescent="0.15">
      <c r="A91" s="1" t="s">
        <v>95</v>
      </c>
      <c r="B91" s="2" t="str">
        <f t="shared" si="1"/>
        <v>豚の鳴き声</v>
      </c>
      <c r="C91" s="2" t="s">
        <v>96</v>
      </c>
      <c r="D91" s="2" t="str">
        <f ca="1">IFERROR(__xludf.DUMMYFUNCTION("googletranslate(A90,""en"",""ja"")"),"oink")</f>
        <v>oink</v>
      </c>
    </row>
    <row r="92" spans="1:4" ht="14" x14ac:dyDescent="0.15">
      <c r="A92" s="1" t="s">
        <v>97</v>
      </c>
      <c r="B92" s="2" t="str">
        <f t="shared" ca="1" si="1"/>
        <v>ヤギ</v>
      </c>
      <c r="D92" s="2" t="str">
        <f ca="1">IFERROR(__xludf.DUMMYFUNCTION("googletranslate(A91,""en"",""ja"")"),"ヤギ")</f>
        <v>ヤギ</v>
      </c>
    </row>
    <row r="93" spans="1:4" ht="14" x14ac:dyDescent="0.15">
      <c r="A93" s="1" t="s">
        <v>98</v>
      </c>
      <c r="B93" s="2" t="str">
        <f t="shared" si="1"/>
        <v>メー</v>
      </c>
      <c r="C93" s="3" t="s">
        <v>574</v>
      </c>
      <c r="D93" s="2" t="str">
        <f ca="1">IFERROR(__xludf.DUMMYFUNCTION("googletranslate(A92,""en"",""ja"")"),"ブリート")</f>
        <v>ブリート</v>
      </c>
    </row>
    <row r="94" spans="1:4" ht="14" x14ac:dyDescent="0.15">
      <c r="A94" s="1" t="s">
        <v>99</v>
      </c>
      <c r="B94" s="2" t="str">
        <f t="shared" ca="1" si="1"/>
        <v>羊</v>
      </c>
      <c r="D94" s="2" t="str">
        <f ca="1">IFERROR(__xludf.DUMMYFUNCTION("googletranslate(A93,""en"",""ja"")"),"羊")</f>
        <v>羊</v>
      </c>
    </row>
    <row r="95" spans="1:4" ht="14" x14ac:dyDescent="0.15">
      <c r="A95" s="1" t="s">
        <v>100</v>
      </c>
      <c r="B95" s="2" t="str">
        <f t="shared" ca="1" si="1"/>
        <v>家禽</v>
      </c>
      <c r="D95" s="2" t="str">
        <f ca="1">IFERROR(__xludf.DUMMYFUNCTION("googletranslate(A94,""en"",""ja"")"),"家禽")</f>
        <v>家禽</v>
      </c>
    </row>
    <row r="96" spans="1:4" ht="14" x14ac:dyDescent="0.15">
      <c r="A96" s="1" t="s">
        <v>101</v>
      </c>
      <c r="B96" s="2" t="str">
        <f t="shared" ca="1" si="1"/>
        <v>鶏肉、雄鶏</v>
      </c>
      <c r="D96" s="2" t="str">
        <f ca="1">IFERROR(__xludf.DUMMYFUNCTION("googletranslate(A95,""en"",""ja"")"),"鶏肉、雄鶏")</f>
        <v>鶏肉、雄鶏</v>
      </c>
    </row>
    <row r="97" spans="1:4" ht="14" x14ac:dyDescent="0.15">
      <c r="A97" s="1" t="s">
        <v>102</v>
      </c>
      <c r="B97" s="2" t="str">
        <f t="shared" ca="1" si="1"/>
        <v>噛みました</v>
      </c>
      <c r="D97" s="2" t="str">
        <f ca="1">IFERROR(__xludf.DUMMYFUNCTION("googletranslate(A96,""en"",""ja"")"),"噛みました")</f>
        <v>噛みました</v>
      </c>
    </row>
    <row r="98" spans="1:4" ht="14" x14ac:dyDescent="0.15">
      <c r="A98" s="1" t="s">
        <v>103</v>
      </c>
      <c r="B98" s="2" t="str">
        <f t="shared" si="1"/>
        <v>鳴き声、コケコッコー</v>
      </c>
      <c r="C98" s="2" t="s">
        <v>104</v>
      </c>
      <c r="D98" s="2" t="str">
        <f ca="1">IFERROR(__xludf.DUMMYFUNCTION("googletranslate(A97,""en"",""ja"")"),"鳴き声、コック・ア・ドゥードル・ドゥー")</f>
        <v>鳴き声、コック・ア・ドゥードル・ドゥー</v>
      </c>
    </row>
    <row r="99" spans="1:4" ht="14" x14ac:dyDescent="0.15">
      <c r="A99" s="1" t="s">
        <v>105</v>
      </c>
      <c r="B99" s="2" t="str">
        <f t="shared" ca="1" si="1"/>
        <v>七面鳥</v>
      </c>
      <c r="D99" s="2" t="str">
        <f ca="1">IFERROR(__xludf.DUMMYFUNCTION("googletranslate(A98,""en"",""ja"")"),"七面鳥")</f>
        <v>七面鳥</v>
      </c>
    </row>
    <row r="100" spans="1:4" ht="14" x14ac:dyDescent="0.15">
      <c r="A100" s="1" t="s">
        <v>106</v>
      </c>
      <c r="B100" s="2" t="str">
        <f t="shared" si="1"/>
        <v>七面鳥の鳴き声</v>
      </c>
      <c r="C100" s="2" t="s">
        <v>107</v>
      </c>
      <c r="D100" s="2" t="str">
        <f ca="1">IFERROR(__xludf.DUMMYFUNCTION("googletranslate(A99,""en"",""ja"")"),"ゴブル")</f>
        <v>ゴブル</v>
      </c>
    </row>
    <row r="101" spans="1:4" ht="14" x14ac:dyDescent="0.15">
      <c r="A101" s="1" t="s">
        <v>108</v>
      </c>
      <c r="B101" s="2" t="str">
        <f t="shared" ca="1" si="1"/>
        <v>アヒル</v>
      </c>
      <c r="D101" s="2" t="str">
        <f ca="1">IFERROR(__xludf.DUMMYFUNCTION("googletranslate(A100,""en"",""ja"")"),"アヒル")</f>
        <v>アヒル</v>
      </c>
    </row>
    <row r="102" spans="1:4" ht="14" x14ac:dyDescent="0.15">
      <c r="A102" s="1" t="s">
        <v>109</v>
      </c>
      <c r="B102" s="2" t="str">
        <f t="shared" si="1"/>
        <v>アヒルの鳴き声</v>
      </c>
      <c r="C102" s="2" t="s">
        <v>110</v>
      </c>
      <c r="D102" s="2" t="str">
        <f ca="1">IFERROR(__xludf.DUMMYFUNCTION("googletranslate(A101,""en"",""ja"")"),"Quack")</f>
        <v>Quack</v>
      </c>
    </row>
    <row r="103" spans="1:4" ht="14" x14ac:dyDescent="0.15">
      <c r="A103" s="1" t="s">
        <v>111</v>
      </c>
      <c r="B103" s="2" t="str">
        <f t="shared" ca="1" si="1"/>
        <v>ガチョウ</v>
      </c>
      <c r="D103" s="2" t="str">
        <f ca="1">IFERROR(__xludf.DUMMYFUNCTION("googletranslate(A102,""en"",""ja"")"),"ガチョウ")</f>
        <v>ガチョウ</v>
      </c>
    </row>
    <row r="104" spans="1:4" ht="14" x14ac:dyDescent="0.15">
      <c r="A104" s="1" t="s">
        <v>112</v>
      </c>
      <c r="B104" s="2" t="str">
        <f t="shared" ca="1" si="1"/>
        <v>ホンク</v>
      </c>
      <c r="D104" s="2" t="str">
        <f ca="1">IFERROR(__xludf.DUMMYFUNCTION("googletranslate(A103,""en"",""ja"")"),"ホンク")</f>
        <v>ホンク</v>
      </c>
    </row>
    <row r="105" spans="1:4" ht="14" x14ac:dyDescent="0.15">
      <c r="A105" s="1" t="s">
        <v>113</v>
      </c>
      <c r="B105" s="2" t="str">
        <f t="shared" ca="1" si="1"/>
        <v>野生動物</v>
      </c>
      <c r="D105" s="2" t="str">
        <f ca="1">IFERROR(__xludf.DUMMYFUNCTION("googletranslate(A104,""en"",""ja"")"),"野生動物")</f>
        <v>野生動物</v>
      </c>
    </row>
    <row r="106" spans="1:4" ht="14" x14ac:dyDescent="0.15">
      <c r="A106" s="1" t="s">
        <v>114</v>
      </c>
      <c r="B106" s="2" t="str">
        <f t="shared" si="1"/>
        <v>ライオン、トラ</v>
      </c>
      <c r="C106" s="2" t="s">
        <v>115</v>
      </c>
      <c r="D106" s="2" t="str">
        <f ca="1">IFERROR(__xludf.DUMMYFUNCTION("googletranslate(A105,""en"",""ja"")"),"Roaring Cats（ライオン、トラ）")</f>
        <v>Roaring Cats（ライオン、トラ）</v>
      </c>
    </row>
    <row r="107" spans="1:4" ht="14" x14ac:dyDescent="0.15">
      <c r="A107" s="1" t="s">
        <v>116</v>
      </c>
      <c r="B107" s="2" t="str">
        <f t="shared" si="1"/>
        <v>咆哮</v>
      </c>
      <c r="C107" s="2" t="s">
        <v>117</v>
      </c>
      <c r="D107" s="2" t="str">
        <f ca="1">IFERROR(__xludf.DUMMYFUNCTION("googletranslate(A106,""en"",""ja"")"),"ro音")</f>
        <v>ro音</v>
      </c>
    </row>
    <row r="108" spans="1:4" ht="14" x14ac:dyDescent="0.15">
      <c r="A108" s="1" t="s">
        <v>118</v>
      </c>
      <c r="B108" s="2" t="str">
        <f t="shared" ca="1" si="1"/>
        <v>鳥</v>
      </c>
      <c r="D108" s="2" t="str">
        <f ca="1">IFERROR(__xludf.DUMMYFUNCTION("googletranslate(A107,""en"",""ja"")"),"鳥")</f>
        <v>鳥</v>
      </c>
    </row>
    <row r="109" spans="1:4" ht="14" x14ac:dyDescent="0.15">
      <c r="A109" s="1" t="s">
        <v>119</v>
      </c>
      <c r="B109" s="2" t="str">
        <f t="shared" ca="1" si="1"/>
        <v>鳥の発声、鳥の呼び出し、鳥の歌</v>
      </c>
      <c r="D109" s="2" t="str">
        <f ca="1">IFERROR(__xludf.DUMMYFUNCTION("googletranslate(A108,""en"",""ja"")"),"鳥の発声、鳥の呼び出し、鳥の歌")</f>
        <v>鳥の発声、鳥の呼び出し、鳥の歌</v>
      </c>
    </row>
    <row r="110" spans="1:4" ht="14" x14ac:dyDescent="0.15">
      <c r="A110" s="1" t="s">
        <v>120</v>
      </c>
      <c r="B110" s="2" t="str">
        <f t="shared" si="1"/>
        <v>チッチッと鳴く</v>
      </c>
      <c r="C110" s="3" t="s">
        <v>575</v>
      </c>
      <c r="D110" s="2" t="str">
        <f ca="1">IFERROR(__xludf.DUMMYFUNCTION("googletranslate(A109,""en"",""ja"")"),"チャープ、ツイート")</f>
        <v>チャープ、ツイート</v>
      </c>
    </row>
    <row r="111" spans="1:4" ht="14" x14ac:dyDescent="0.15">
      <c r="A111" s="1" t="s">
        <v>121</v>
      </c>
      <c r="B111" s="2" t="str">
        <f t="shared" si="1"/>
        <v>ガーガー鳴く</v>
      </c>
      <c r="C111" s="3" t="s">
        <v>576</v>
      </c>
      <c r="D111" s="2" t="str">
        <f ca="1">IFERROR(__xludf.DUMMYFUNCTION("googletranslate(A110,""en"",""ja"")"),"スクワーク")</f>
        <v>スクワーク</v>
      </c>
    </row>
    <row r="112" spans="1:4" ht="14" x14ac:dyDescent="0.15">
      <c r="A112" s="1" t="s">
        <v>122</v>
      </c>
      <c r="B112" s="2" t="str">
        <f t="shared" si="1"/>
        <v>鳩</v>
      </c>
      <c r="C112" s="2" t="s">
        <v>123</v>
      </c>
      <c r="D112" s="2" t="str">
        <f ca="1">IFERROR(__xludf.DUMMYFUNCTION("googletranslate(A111,""en"",""ja"")"),"鳩、鳩")</f>
        <v>鳩、鳩</v>
      </c>
    </row>
    <row r="113" spans="1:4" ht="14" x14ac:dyDescent="0.15">
      <c r="A113" s="1" t="s">
        <v>124</v>
      </c>
      <c r="B113" s="2" t="str">
        <f t="shared" si="1"/>
        <v>鳩の鳴き声</v>
      </c>
      <c r="C113" s="2" t="s">
        <v>125</v>
      </c>
      <c r="D113" s="2" t="str">
        <f ca="1">IFERROR(__xludf.DUMMYFUNCTION("googletranslate(A112,""en"",""ja"")"),"COO")</f>
        <v>COO</v>
      </c>
    </row>
    <row r="114" spans="1:4" ht="14" x14ac:dyDescent="0.15">
      <c r="A114" s="1" t="s">
        <v>126</v>
      </c>
      <c r="B114" s="2" t="str">
        <f t="shared" ca="1" si="1"/>
        <v>カラス</v>
      </c>
      <c r="D114" s="2" t="str">
        <f ca="1">IFERROR(__xludf.DUMMYFUNCTION("googletranslate(A113,""en"",""ja"")"),"カラス")</f>
        <v>カラス</v>
      </c>
    </row>
    <row r="115" spans="1:4" ht="14" x14ac:dyDescent="0.15">
      <c r="A115" s="1" t="s">
        <v>127</v>
      </c>
      <c r="B115" s="2" t="str">
        <f t="shared" si="1"/>
        <v>カラスの鳴き声</v>
      </c>
      <c r="C115" s="2" t="s">
        <v>128</v>
      </c>
      <c r="D115" s="2" t="str">
        <f ca="1">IFERROR(__xludf.DUMMYFUNCTION("googletranslate(A114,""en"",""ja"")"),"CAW")</f>
        <v>CAW</v>
      </c>
    </row>
    <row r="116" spans="1:4" ht="14" x14ac:dyDescent="0.15">
      <c r="A116" s="1" t="s">
        <v>129</v>
      </c>
      <c r="B116" s="2" t="str">
        <f t="shared" ca="1" si="1"/>
        <v>フクロウ</v>
      </c>
      <c r="D116" s="2" t="str">
        <f ca="1">IFERROR(__xludf.DUMMYFUNCTION("googletranslate(A115,""en"",""ja"")"),"フクロウ")</f>
        <v>フクロウ</v>
      </c>
    </row>
    <row r="117" spans="1:4" ht="14" x14ac:dyDescent="0.15">
      <c r="A117" s="1" t="s">
        <v>130</v>
      </c>
      <c r="B117" s="2" t="str">
        <f t="shared" si="1"/>
        <v>フクロウの鳴き声</v>
      </c>
      <c r="C117" s="2" t="s">
        <v>131</v>
      </c>
      <c r="D117" s="2" t="str">
        <f ca="1">IFERROR(__xludf.DUMMYFUNCTION("googletranslate(A116,""en"",""ja"")"),"フート")</f>
        <v>フート</v>
      </c>
    </row>
    <row r="118" spans="1:4" ht="14" x14ac:dyDescent="0.15">
      <c r="A118" s="1" t="s">
        <v>132</v>
      </c>
      <c r="B118" s="2" t="str">
        <f t="shared" ca="1" si="1"/>
        <v>鳥の飛行、羽ばたき翼</v>
      </c>
      <c r="D118" s="2" t="str">
        <f ca="1">IFERROR(__xludf.DUMMYFUNCTION("googletranslate(A117,""en"",""ja"")"),"鳥の飛行、羽ばたき翼")</f>
        <v>鳥の飛行、羽ばたき翼</v>
      </c>
    </row>
    <row r="119" spans="1:4" ht="14" x14ac:dyDescent="0.15">
      <c r="A119" s="1" t="s">
        <v>133</v>
      </c>
      <c r="B119" s="2" t="str">
        <f t="shared" ca="1" si="1"/>
        <v>カニダエ、犬、オオカミ</v>
      </c>
      <c r="D119" s="2" t="str">
        <f ca="1">IFERROR(__xludf.DUMMYFUNCTION("googletranslate(A118,""en"",""ja"")"),"カニダエ、犬、オオカミ")</f>
        <v>カニダエ、犬、オオカミ</v>
      </c>
    </row>
    <row r="120" spans="1:4" ht="14" x14ac:dyDescent="0.15">
      <c r="A120" s="1" t="s">
        <v>134</v>
      </c>
      <c r="B120" s="2" t="str">
        <f t="shared" ca="1" si="1"/>
        <v>げっ歯類、ネズミ、マウス</v>
      </c>
      <c r="D120" s="2" t="str">
        <f ca="1">IFERROR(__xludf.DUMMYFUNCTION("googletranslate(A119,""en"",""ja"")"),"げっ歯類、ネズミ、マウス")</f>
        <v>げっ歯類、ネズミ、マウス</v>
      </c>
    </row>
    <row r="121" spans="1:4" ht="14" x14ac:dyDescent="0.15">
      <c r="A121" s="1" t="s">
        <v>135</v>
      </c>
      <c r="B121" s="2" t="str">
        <f t="shared" ca="1" si="1"/>
        <v>ねずみ</v>
      </c>
      <c r="D121" s="2" t="str">
        <f ca="1">IFERROR(__xludf.DUMMYFUNCTION("googletranslate(A120,""en"",""ja"")"),"ねずみ")</f>
        <v>ねずみ</v>
      </c>
    </row>
    <row r="122" spans="1:4" ht="14" x14ac:dyDescent="0.15">
      <c r="A122" s="1" t="s">
        <v>136</v>
      </c>
      <c r="B122" s="2" t="str">
        <f t="shared" si="1"/>
        <v>パタパタ走る音</v>
      </c>
      <c r="C122" s="2" t="s">
        <v>137</v>
      </c>
      <c r="D122" s="2" t="str">
        <f ca="1">IFERROR(__xludf.DUMMYFUNCTION("googletranslate(A121,""en"",""ja"")"),"パターン")</f>
        <v>パターン</v>
      </c>
    </row>
    <row r="123" spans="1:4" ht="14" x14ac:dyDescent="0.15">
      <c r="A123" s="1" t="s">
        <v>138</v>
      </c>
      <c r="B123" s="2" t="str">
        <f t="shared" ca="1" si="1"/>
        <v>昆虫</v>
      </c>
      <c r="D123" s="2" t="str">
        <f ca="1">IFERROR(__xludf.DUMMYFUNCTION("googletranslate(A122,""en"",""ja"")"),"昆虫")</f>
        <v>昆虫</v>
      </c>
    </row>
    <row r="124" spans="1:4" ht="14" x14ac:dyDescent="0.15">
      <c r="A124" s="1" t="s">
        <v>139</v>
      </c>
      <c r="B124" s="2" t="str">
        <f t="shared" si="1"/>
        <v>コオロギ</v>
      </c>
      <c r="C124" s="3" t="s">
        <v>578</v>
      </c>
      <c r="D124" s="2" t="str">
        <f ca="1">IFERROR(__xludf.DUMMYFUNCTION("googletranslate(A123,""en"",""ja"")"),"クリケット")</f>
        <v>クリケット</v>
      </c>
    </row>
    <row r="125" spans="1:4" ht="14" x14ac:dyDescent="0.15">
      <c r="A125" s="1" t="s">
        <v>140</v>
      </c>
      <c r="B125" s="2" t="str">
        <f t="shared" ca="1" si="1"/>
        <v>蚊</v>
      </c>
      <c r="D125" s="2" t="str">
        <f ca="1">IFERROR(__xludf.DUMMYFUNCTION("googletranslate(A124,""en"",""ja"")"),"蚊")</f>
        <v>蚊</v>
      </c>
    </row>
    <row r="126" spans="1:4" ht="14" x14ac:dyDescent="0.15">
      <c r="A126" s="1" t="s">
        <v>141</v>
      </c>
      <c r="B126" s="2" t="str">
        <f t="shared" si="1"/>
        <v>蝿</v>
      </c>
      <c r="C126" s="3" t="s">
        <v>577</v>
      </c>
      <c r="D126" s="2" t="str">
        <f ca="1">IFERROR(__xludf.DUMMYFUNCTION("googletranslate(A125,""en"",""ja"")"),"フライ、ハウスフライ")</f>
        <v>フライ、ハウスフライ</v>
      </c>
    </row>
    <row r="127" spans="1:4" ht="14" x14ac:dyDescent="0.15">
      <c r="A127" s="1" t="s">
        <v>142</v>
      </c>
      <c r="B127" s="2" t="str">
        <f t="shared" si="1"/>
        <v>ブンブン</v>
      </c>
      <c r="C127" s="3" t="s">
        <v>579</v>
      </c>
      <c r="D127" s="2" t="str">
        <f ca="1">IFERROR(__xludf.DUMMYFUNCTION("googletranslate(A126,""en"",""ja"")"),"バズ")</f>
        <v>バズ</v>
      </c>
    </row>
    <row r="128" spans="1:4" ht="14" x14ac:dyDescent="0.15">
      <c r="A128" s="1" t="s">
        <v>143</v>
      </c>
      <c r="B128" s="2" t="str">
        <f t="shared" ca="1" si="1"/>
        <v>蜂、スズメバチなど</v>
      </c>
      <c r="D128" s="2" t="str">
        <f ca="1">IFERROR(__xludf.DUMMYFUNCTION("googletranslate(A127,""en"",""ja"")"),"蜂、スズメバチなど")</f>
        <v>蜂、スズメバチなど</v>
      </c>
    </row>
    <row r="129" spans="1:4" ht="14" x14ac:dyDescent="0.15">
      <c r="A129" s="1" t="s">
        <v>144</v>
      </c>
      <c r="B129" s="2" t="str">
        <f t="shared" ca="1" si="1"/>
        <v>蛙</v>
      </c>
      <c r="D129" s="2" t="str">
        <f ca="1">IFERROR(__xludf.DUMMYFUNCTION("googletranslate(A128,""en"",""ja"")"),"蛙")</f>
        <v>蛙</v>
      </c>
    </row>
    <row r="130" spans="1:4" ht="14" x14ac:dyDescent="0.15">
      <c r="A130" s="1" t="s">
        <v>145</v>
      </c>
      <c r="B130" s="2" t="str">
        <f t="shared" ref="B130:B193" si="2">IF(C130="",D130,C130)</f>
        <v>蛙の鳴き声</v>
      </c>
      <c r="C130" s="3" t="s">
        <v>580</v>
      </c>
      <c r="D130" s="2" t="str">
        <f ca="1">IFERROR(__xludf.DUMMYFUNCTION("googletranslate(A129,""en"",""ja"")"),"クローク")</f>
        <v>クローク</v>
      </c>
    </row>
    <row r="131" spans="1:4" ht="14" x14ac:dyDescent="0.15">
      <c r="A131" s="1" t="s">
        <v>146</v>
      </c>
      <c r="B131" s="2" t="str">
        <f t="shared" ca="1" si="2"/>
        <v>蛇</v>
      </c>
      <c r="D131" s="2" t="str">
        <f ca="1">IFERROR(__xludf.DUMMYFUNCTION("googletranslate(A130,""en"",""ja"")"),"蛇")</f>
        <v>蛇</v>
      </c>
    </row>
    <row r="132" spans="1:4" ht="14" x14ac:dyDescent="0.15">
      <c r="A132" s="1" t="s">
        <v>147</v>
      </c>
      <c r="B132" s="2" t="str">
        <f t="shared" ca="1" si="2"/>
        <v>ガラガラ</v>
      </c>
      <c r="D132" s="2" t="str">
        <f ca="1">IFERROR(__xludf.DUMMYFUNCTION("googletranslate(A131,""en"",""ja"")"),"ガラガラ")</f>
        <v>ガラガラ</v>
      </c>
    </row>
    <row r="133" spans="1:4" ht="14" x14ac:dyDescent="0.15">
      <c r="A133" s="1" t="s">
        <v>148</v>
      </c>
      <c r="B133" s="2" t="str">
        <f t="shared" ca="1" si="2"/>
        <v>クジラの発声</v>
      </c>
      <c r="D133" s="2" t="str">
        <f ca="1">IFERROR(__xludf.DUMMYFUNCTION("googletranslate(A132,""en"",""ja"")"),"クジラの発声")</f>
        <v>クジラの発声</v>
      </c>
    </row>
    <row r="134" spans="1:4" ht="14" x14ac:dyDescent="0.15">
      <c r="A134" s="1" t="s">
        <v>149</v>
      </c>
      <c r="B134" s="2" t="str">
        <f t="shared" ca="1" si="2"/>
        <v>音楽</v>
      </c>
      <c r="D134" s="2" t="str">
        <f ca="1">IFERROR(__xludf.DUMMYFUNCTION("googletranslate(A133,""en"",""ja"")"),"音楽")</f>
        <v>音楽</v>
      </c>
    </row>
    <row r="135" spans="1:4" ht="14" x14ac:dyDescent="0.15">
      <c r="A135" s="1" t="s">
        <v>150</v>
      </c>
      <c r="B135" s="2" t="str">
        <f t="shared" ca="1" si="2"/>
        <v>楽器</v>
      </c>
      <c r="D135" s="2" t="str">
        <f ca="1">IFERROR(__xludf.DUMMYFUNCTION("googletranslate(A134,""en"",""ja"")"),"楽器")</f>
        <v>楽器</v>
      </c>
    </row>
    <row r="136" spans="1:4" ht="14" x14ac:dyDescent="0.15">
      <c r="A136" s="1" t="s">
        <v>151</v>
      </c>
      <c r="B136" s="2" t="str">
        <f t="shared" ca="1" si="2"/>
        <v>引き抜かれた弦楽器</v>
      </c>
      <c r="D136" s="2" t="str">
        <f ca="1">IFERROR(__xludf.DUMMYFUNCTION("googletranslate(A135,""en"",""ja"")"),"引き抜かれた弦楽器")</f>
        <v>引き抜かれた弦楽器</v>
      </c>
    </row>
    <row r="137" spans="1:4" ht="14" x14ac:dyDescent="0.15">
      <c r="A137" s="1" t="s">
        <v>152</v>
      </c>
      <c r="B137" s="2" t="str">
        <f t="shared" ca="1" si="2"/>
        <v>ギター</v>
      </c>
      <c r="D137" s="2" t="str">
        <f ca="1">IFERROR(__xludf.DUMMYFUNCTION("googletranslate(A136,""en"",""ja"")"),"ギター")</f>
        <v>ギター</v>
      </c>
    </row>
    <row r="138" spans="1:4" ht="14" x14ac:dyDescent="0.15">
      <c r="A138" s="1" t="s">
        <v>153</v>
      </c>
      <c r="B138" s="2" t="str">
        <f t="shared" ca="1" si="2"/>
        <v>エレキギター</v>
      </c>
      <c r="D138" s="2" t="str">
        <f ca="1">IFERROR(__xludf.DUMMYFUNCTION("googletranslate(A137,""en"",""ja"")"),"エレキギター")</f>
        <v>エレキギター</v>
      </c>
    </row>
    <row r="139" spans="1:4" ht="14" x14ac:dyDescent="0.15">
      <c r="A139" s="1" t="s">
        <v>154</v>
      </c>
      <c r="B139" s="2" t="str">
        <f t="shared" ca="1" si="2"/>
        <v>ベースギター</v>
      </c>
      <c r="D139" s="2" t="str">
        <f ca="1">IFERROR(__xludf.DUMMYFUNCTION("googletranslate(A138,""en"",""ja"")"),"ベースギター")</f>
        <v>ベースギター</v>
      </c>
    </row>
    <row r="140" spans="1:4" ht="14" x14ac:dyDescent="0.15">
      <c r="A140" s="1" t="s">
        <v>155</v>
      </c>
      <c r="B140" s="2" t="str">
        <f t="shared" ca="1" si="2"/>
        <v>アコースティックギター</v>
      </c>
      <c r="D140" s="2" t="str">
        <f ca="1">IFERROR(__xludf.DUMMYFUNCTION("googletranslate(A139,""en"",""ja"")"),"アコースティックギター")</f>
        <v>アコースティックギター</v>
      </c>
    </row>
    <row r="141" spans="1:4" ht="14" x14ac:dyDescent="0.15">
      <c r="A141" s="1" t="s">
        <v>156</v>
      </c>
      <c r="B141" s="2" t="str">
        <f t="shared" ca="1" si="2"/>
        <v>スチールギター、スライドギター</v>
      </c>
      <c r="D141" s="2" t="str">
        <f ca="1">IFERROR(__xludf.DUMMYFUNCTION("googletranslate(A140,""en"",""ja"")"),"スチールギター、スライドギター")</f>
        <v>スチールギター、スライドギター</v>
      </c>
    </row>
    <row r="142" spans="1:4" ht="14" x14ac:dyDescent="0.15">
      <c r="A142" s="1" t="s">
        <v>157</v>
      </c>
      <c r="B142" s="2" t="str">
        <f t="shared" ca="1" si="2"/>
        <v>タッピング（ギターテクニック）</v>
      </c>
      <c r="D142" s="2" t="str">
        <f ca="1">IFERROR(__xludf.DUMMYFUNCTION("googletranslate(A141,""en"",""ja"")"),"タッピング（ギターテクニック）")</f>
        <v>タッピング（ギターテクニック）</v>
      </c>
    </row>
    <row r="143" spans="1:4" ht="14" x14ac:dyDescent="0.15">
      <c r="A143" s="1" t="s">
        <v>158</v>
      </c>
      <c r="B143" s="2" t="str">
        <f t="shared" ca="1" si="2"/>
        <v>ストラム</v>
      </c>
      <c r="D143" s="2" t="str">
        <f ca="1">IFERROR(__xludf.DUMMYFUNCTION("googletranslate(A142,""en"",""ja"")"),"ストラム")</f>
        <v>ストラム</v>
      </c>
    </row>
    <row r="144" spans="1:4" ht="14" x14ac:dyDescent="0.15">
      <c r="A144" s="1" t="s">
        <v>159</v>
      </c>
      <c r="B144" s="2" t="str">
        <f t="shared" ca="1" si="2"/>
        <v>バンジョー</v>
      </c>
      <c r="D144" s="2" t="str">
        <f ca="1">IFERROR(__xludf.DUMMYFUNCTION("googletranslate(A143,""en"",""ja"")"),"バンジョー")</f>
        <v>バンジョー</v>
      </c>
    </row>
    <row r="145" spans="1:4" ht="14" x14ac:dyDescent="0.15">
      <c r="A145" s="1" t="s">
        <v>160</v>
      </c>
      <c r="B145" s="2" t="str">
        <f t="shared" ca="1" si="2"/>
        <v>シタール</v>
      </c>
      <c r="D145" s="2" t="str">
        <f ca="1">IFERROR(__xludf.DUMMYFUNCTION("googletranslate(A144,""en"",""ja"")"),"シタール")</f>
        <v>シタール</v>
      </c>
    </row>
    <row r="146" spans="1:4" ht="14" x14ac:dyDescent="0.15">
      <c r="A146" s="1" t="s">
        <v>161</v>
      </c>
      <c r="B146" s="2" t="str">
        <f t="shared" ca="1" si="2"/>
        <v>マンドリン</v>
      </c>
      <c r="D146" s="2" t="str">
        <f ca="1">IFERROR(__xludf.DUMMYFUNCTION("googletranslate(A145,""en"",""ja"")"),"マンドリン")</f>
        <v>マンドリン</v>
      </c>
    </row>
    <row r="147" spans="1:4" ht="14" x14ac:dyDescent="0.15">
      <c r="A147" s="1" t="s">
        <v>162</v>
      </c>
      <c r="B147" s="2" t="str">
        <f t="shared" si="2"/>
        <v>ツィター（オーストラリアの弦楽器）</v>
      </c>
      <c r="C147" s="2" t="s">
        <v>163</v>
      </c>
      <c r="D147" s="2" t="str">
        <f ca="1">IFERROR(__xludf.DUMMYFUNCTION("googletranslate(A146,""en"",""ja"")"),"zither")</f>
        <v>zither</v>
      </c>
    </row>
    <row r="148" spans="1:4" ht="14" x14ac:dyDescent="0.15">
      <c r="A148" s="1" t="s">
        <v>164</v>
      </c>
      <c r="B148" s="2" t="str">
        <f t="shared" ca="1" si="2"/>
        <v>ウクレレ</v>
      </c>
      <c r="D148" s="2" t="str">
        <f ca="1">IFERROR(__xludf.DUMMYFUNCTION("googletranslate(A147,""en"",""ja"")"),"ウクレレ")</f>
        <v>ウクレレ</v>
      </c>
    </row>
    <row r="149" spans="1:4" ht="14" x14ac:dyDescent="0.15">
      <c r="A149" s="1" t="s">
        <v>165</v>
      </c>
      <c r="B149" s="2" t="str">
        <f t="shared" ca="1" si="2"/>
        <v>キーボード（ミュージカル）</v>
      </c>
      <c r="D149" s="2" t="str">
        <f ca="1">IFERROR(__xludf.DUMMYFUNCTION("googletranslate(A148,""en"",""ja"")"),"キーボード（ミュージカル）")</f>
        <v>キーボード（ミュージカル）</v>
      </c>
    </row>
    <row r="150" spans="1:4" ht="14" x14ac:dyDescent="0.15">
      <c r="A150" s="1" t="s">
        <v>166</v>
      </c>
      <c r="B150" s="2" t="str">
        <f t="shared" ca="1" si="2"/>
        <v>ピアノ</v>
      </c>
      <c r="D150" s="2" t="str">
        <f ca="1">IFERROR(__xludf.DUMMYFUNCTION("googletranslate(A149,""en"",""ja"")"),"ピアノ")</f>
        <v>ピアノ</v>
      </c>
    </row>
    <row r="151" spans="1:4" ht="14" x14ac:dyDescent="0.15">
      <c r="A151" s="1" t="s">
        <v>167</v>
      </c>
      <c r="B151" s="2" t="str">
        <f t="shared" ca="1" si="2"/>
        <v>エレクトリックピアノ</v>
      </c>
      <c r="D151" s="2" t="str">
        <f ca="1">IFERROR(__xludf.DUMMYFUNCTION("googletranslate(A150,""en"",""ja"")"),"エレクトリックピアノ")</f>
        <v>エレクトリックピアノ</v>
      </c>
    </row>
    <row r="152" spans="1:4" ht="14" x14ac:dyDescent="0.15">
      <c r="A152" s="1" t="s">
        <v>168</v>
      </c>
      <c r="B152" s="2" t="str">
        <f t="shared" ca="1" si="2"/>
        <v>器官</v>
      </c>
      <c r="D152" s="2" t="str">
        <f ca="1">IFERROR(__xludf.DUMMYFUNCTION("googletranslate(A151,""en"",""ja"")"),"器官")</f>
        <v>器官</v>
      </c>
    </row>
    <row r="153" spans="1:4" ht="14" x14ac:dyDescent="0.15">
      <c r="A153" s="1" t="s">
        <v>169</v>
      </c>
      <c r="B153" s="2" t="str">
        <f t="shared" ca="1" si="2"/>
        <v>電子器官</v>
      </c>
      <c r="D153" s="2" t="str">
        <f ca="1">IFERROR(__xludf.DUMMYFUNCTION("googletranslate(A152,""en"",""ja"")"),"電子器官")</f>
        <v>電子器官</v>
      </c>
    </row>
    <row r="154" spans="1:4" ht="14" x14ac:dyDescent="0.15">
      <c r="A154" s="1" t="s">
        <v>170</v>
      </c>
      <c r="B154" s="2" t="str">
        <f t="shared" ca="1" si="2"/>
        <v>ハモンドオルガン</v>
      </c>
      <c r="D154" s="2" t="str">
        <f ca="1">IFERROR(__xludf.DUMMYFUNCTION("googletranslate(A153,""en"",""ja"")"),"ハモンドオルガン")</f>
        <v>ハモンドオルガン</v>
      </c>
    </row>
    <row r="155" spans="1:4" ht="14" x14ac:dyDescent="0.15">
      <c r="A155" s="1" t="s">
        <v>171</v>
      </c>
      <c r="B155" s="2" t="str">
        <f t="shared" ca="1" si="2"/>
        <v>シンセサイザー</v>
      </c>
      <c r="D155" s="2" t="str">
        <f ca="1">IFERROR(__xludf.DUMMYFUNCTION("googletranslate(A154,""en"",""ja"")"),"シンセサイザー")</f>
        <v>シンセサイザー</v>
      </c>
    </row>
    <row r="156" spans="1:4" ht="14" x14ac:dyDescent="0.15">
      <c r="A156" s="1" t="s">
        <v>172</v>
      </c>
      <c r="B156" s="2" t="str">
        <f t="shared" ca="1" si="2"/>
        <v>サンプラー</v>
      </c>
      <c r="D156" s="2" t="str">
        <f ca="1">IFERROR(__xludf.DUMMYFUNCTION("googletranslate(A155,""en"",""ja"")"),"サンプラー")</f>
        <v>サンプラー</v>
      </c>
    </row>
    <row r="157" spans="1:4" ht="14" x14ac:dyDescent="0.15">
      <c r="A157" s="1" t="s">
        <v>173</v>
      </c>
      <c r="B157" s="2" t="str">
        <f t="shared" ca="1" si="2"/>
        <v>ハープシコード</v>
      </c>
      <c r="D157" s="2" t="str">
        <f ca="1">IFERROR(__xludf.DUMMYFUNCTION("googletranslate(A156,""en"",""ja"")"),"ハープシコード")</f>
        <v>ハープシコード</v>
      </c>
    </row>
    <row r="158" spans="1:4" ht="14" x14ac:dyDescent="0.15">
      <c r="A158" s="1" t="s">
        <v>174</v>
      </c>
      <c r="B158" s="2" t="str">
        <f t="shared" ca="1" si="2"/>
        <v>パーカッション</v>
      </c>
      <c r="D158" s="2" t="str">
        <f ca="1">IFERROR(__xludf.DUMMYFUNCTION("googletranslate(A157,""en"",""ja"")"),"パーカッション")</f>
        <v>パーカッション</v>
      </c>
    </row>
    <row r="159" spans="1:4" ht="14" x14ac:dyDescent="0.15">
      <c r="A159" s="1" t="s">
        <v>175</v>
      </c>
      <c r="B159" s="2" t="str">
        <f t="shared" ca="1" si="2"/>
        <v>ドラムキット</v>
      </c>
      <c r="D159" s="2" t="str">
        <f ca="1">IFERROR(__xludf.DUMMYFUNCTION("googletranslate(A158,""en"",""ja"")"),"ドラムキット")</f>
        <v>ドラムキット</v>
      </c>
    </row>
    <row r="160" spans="1:4" ht="14" x14ac:dyDescent="0.15">
      <c r="A160" s="1" t="s">
        <v>176</v>
      </c>
      <c r="B160" s="2" t="str">
        <f t="shared" ca="1" si="2"/>
        <v>ドラムマシン</v>
      </c>
      <c r="D160" s="2" t="str">
        <f ca="1">IFERROR(__xludf.DUMMYFUNCTION("googletranslate(A159,""en"",""ja"")"),"ドラムマシン")</f>
        <v>ドラムマシン</v>
      </c>
    </row>
    <row r="161" spans="1:4" ht="14" x14ac:dyDescent="0.15">
      <c r="A161" s="1" t="s">
        <v>177</v>
      </c>
      <c r="B161" s="2" t="str">
        <f t="shared" ca="1" si="2"/>
        <v>ドラム</v>
      </c>
      <c r="D161" s="2" t="str">
        <f ca="1">IFERROR(__xludf.DUMMYFUNCTION("googletranslate(A160,""en"",""ja"")"),"ドラム")</f>
        <v>ドラム</v>
      </c>
    </row>
    <row r="162" spans="1:4" ht="14" x14ac:dyDescent="0.15">
      <c r="A162" s="1" t="s">
        <v>178</v>
      </c>
      <c r="B162" s="2" t="str">
        <f t="shared" ca="1" si="2"/>
        <v>スネアドラム</v>
      </c>
      <c r="D162" s="2" t="str">
        <f ca="1">IFERROR(__xludf.DUMMYFUNCTION("googletranslate(A161,""en"",""ja"")"),"スネアドラム")</f>
        <v>スネアドラム</v>
      </c>
    </row>
    <row r="163" spans="1:4" ht="14" x14ac:dyDescent="0.15">
      <c r="A163" s="1" t="s">
        <v>179</v>
      </c>
      <c r="B163" s="2" t="str">
        <f t="shared" ca="1" si="2"/>
        <v>リムショット</v>
      </c>
      <c r="D163" s="2" t="str">
        <f ca="1">IFERROR(__xludf.DUMMYFUNCTION("googletranslate(A162,""en"",""ja"")"),"リムショット")</f>
        <v>リムショット</v>
      </c>
    </row>
    <row r="164" spans="1:4" ht="14" x14ac:dyDescent="0.15">
      <c r="A164" s="1" t="s">
        <v>180</v>
      </c>
      <c r="B164" s="2" t="str">
        <f t="shared" ca="1" si="2"/>
        <v>ドラムロール</v>
      </c>
      <c r="D164" s="2" t="str">
        <f ca="1">IFERROR(__xludf.DUMMYFUNCTION("googletranslate(A163,""en"",""ja"")"),"ドラムロール")</f>
        <v>ドラムロール</v>
      </c>
    </row>
    <row r="165" spans="1:4" ht="14" x14ac:dyDescent="0.15">
      <c r="A165" s="1" t="s">
        <v>181</v>
      </c>
      <c r="B165" s="2" t="str">
        <f t="shared" ca="1" si="2"/>
        <v>ベースドラム</v>
      </c>
      <c r="D165" s="2" t="str">
        <f ca="1">IFERROR(__xludf.DUMMYFUNCTION("googletranslate(A164,""en"",""ja"")"),"ベースドラム")</f>
        <v>ベースドラム</v>
      </c>
    </row>
    <row r="166" spans="1:4" ht="14" x14ac:dyDescent="0.15">
      <c r="A166" s="1" t="s">
        <v>182</v>
      </c>
      <c r="B166" s="2" t="str">
        <f t="shared" ca="1" si="2"/>
        <v>ティンパニー</v>
      </c>
      <c r="D166" s="2" t="str">
        <f ca="1">IFERROR(__xludf.DUMMYFUNCTION("googletranslate(A165,""en"",""ja"")"),"ティンパニー")</f>
        <v>ティンパニー</v>
      </c>
    </row>
    <row r="167" spans="1:4" ht="14" x14ac:dyDescent="0.15">
      <c r="A167" s="1" t="s">
        <v>183</v>
      </c>
      <c r="B167" s="2" t="str">
        <f t="shared" ca="1" si="2"/>
        <v>タブラ</v>
      </c>
      <c r="D167" s="2" t="str">
        <f ca="1">IFERROR(__xludf.DUMMYFUNCTION("googletranslate(A166,""en"",""ja"")"),"タブラ")</f>
        <v>タブラ</v>
      </c>
    </row>
    <row r="168" spans="1:4" ht="14" x14ac:dyDescent="0.15">
      <c r="A168" s="1" t="s">
        <v>184</v>
      </c>
      <c r="B168" s="2" t="str">
        <f t="shared" ca="1" si="2"/>
        <v>シンバル</v>
      </c>
      <c r="D168" s="2" t="str">
        <f ca="1">IFERROR(__xludf.DUMMYFUNCTION("googletranslate(A167,""en"",""ja"")"),"シンバル")</f>
        <v>シンバル</v>
      </c>
    </row>
    <row r="169" spans="1:4" ht="14" x14ac:dyDescent="0.15">
      <c r="A169" s="1" t="s">
        <v>185</v>
      </c>
      <c r="B169" s="2" t="str">
        <f t="shared" ca="1" si="2"/>
        <v>ハイハット</v>
      </c>
      <c r="D169" s="2" t="str">
        <f ca="1">IFERROR(__xludf.DUMMYFUNCTION("googletranslate(A168,""en"",""ja"")"),"ハイハット")</f>
        <v>ハイハット</v>
      </c>
    </row>
    <row r="170" spans="1:4" ht="14" x14ac:dyDescent="0.15">
      <c r="A170" s="1" t="s">
        <v>186</v>
      </c>
      <c r="B170" s="2" t="str">
        <f t="shared" ca="1" si="2"/>
        <v>木製ブロック</v>
      </c>
      <c r="D170" s="2" t="str">
        <f ca="1">IFERROR(__xludf.DUMMYFUNCTION("googletranslate(A169,""en"",""ja"")"),"木製ブロック")</f>
        <v>木製ブロック</v>
      </c>
    </row>
    <row r="171" spans="1:4" ht="14" x14ac:dyDescent="0.15">
      <c r="A171" s="1" t="s">
        <v>187</v>
      </c>
      <c r="B171" s="2" t="str">
        <f t="shared" ca="1" si="2"/>
        <v>タンバリン</v>
      </c>
      <c r="D171" s="2" t="str">
        <f ca="1">IFERROR(__xludf.DUMMYFUNCTION("googletranslate(A170,""en"",""ja"")"),"タンバリン")</f>
        <v>タンバリン</v>
      </c>
    </row>
    <row r="172" spans="1:4" ht="14" x14ac:dyDescent="0.15">
      <c r="A172" s="1" t="s">
        <v>188</v>
      </c>
      <c r="B172" s="2" t="str">
        <f t="shared" ca="1" si="2"/>
        <v>ガラガラ（楽器）</v>
      </c>
      <c r="D172" s="2" t="str">
        <f ca="1">IFERROR(__xludf.DUMMYFUNCTION("googletranslate(A171,""en"",""ja"")"),"ガラガラ（楽器）")</f>
        <v>ガラガラ（楽器）</v>
      </c>
    </row>
    <row r="173" spans="1:4" ht="14" x14ac:dyDescent="0.15">
      <c r="A173" s="1" t="s">
        <v>189</v>
      </c>
      <c r="B173" s="2" t="str">
        <f t="shared" ca="1" si="2"/>
        <v>マラカス</v>
      </c>
      <c r="D173" s="2" t="str">
        <f ca="1">IFERROR(__xludf.DUMMYFUNCTION("googletranslate(A172,""en"",""ja"")"),"マラカス")</f>
        <v>マラカス</v>
      </c>
    </row>
    <row r="174" spans="1:4" ht="14" x14ac:dyDescent="0.15">
      <c r="A174" s="1" t="s">
        <v>190</v>
      </c>
      <c r="B174" s="2" t="str">
        <f t="shared" ca="1" si="2"/>
        <v>ゴング</v>
      </c>
      <c r="D174" s="2" t="str">
        <f ca="1">IFERROR(__xludf.DUMMYFUNCTION("googletranslate(A173,""en"",""ja"")"),"ゴング")</f>
        <v>ゴング</v>
      </c>
    </row>
    <row r="175" spans="1:4" ht="14" x14ac:dyDescent="0.15">
      <c r="A175" s="1" t="s">
        <v>191</v>
      </c>
      <c r="B175" s="2" t="str">
        <f t="shared" ca="1" si="2"/>
        <v>管状の鐘</v>
      </c>
      <c r="D175" s="2" t="str">
        <f ca="1">IFERROR(__xludf.DUMMYFUNCTION("googletranslate(A174,""en"",""ja"")"),"管状の鐘")</f>
        <v>管状の鐘</v>
      </c>
    </row>
    <row r="176" spans="1:4" ht="14" x14ac:dyDescent="0.15">
      <c r="A176" s="1" t="s">
        <v>192</v>
      </c>
      <c r="B176" s="2" t="str">
        <f t="shared" ca="1" si="2"/>
        <v>マレットパーカッション</v>
      </c>
      <c r="D176" s="2" t="str">
        <f ca="1">IFERROR(__xludf.DUMMYFUNCTION("googletranslate(A175,""en"",""ja"")"),"マレットパーカッション")</f>
        <v>マレットパーカッション</v>
      </c>
    </row>
    <row r="177" spans="1:4" ht="14" x14ac:dyDescent="0.15">
      <c r="A177" s="1" t="s">
        <v>193</v>
      </c>
      <c r="B177" s="2" t="str">
        <f t="shared" ca="1" si="2"/>
        <v>マリンバ、キシロフォン</v>
      </c>
      <c r="D177" s="2" t="str">
        <f ca="1">IFERROR(__xludf.DUMMYFUNCTION("googletranslate(A176,""en"",""ja"")"),"マリンバ、キシロフォン")</f>
        <v>マリンバ、キシロフォン</v>
      </c>
    </row>
    <row r="178" spans="1:4" ht="14" x14ac:dyDescent="0.15">
      <c r="A178" s="1" t="s">
        <v>194</v>
      </c>
      <c r="B178" s="2" t="str">
        <f t="shared" si="2"/>
        <v>鉄琴</v>
      </c>
      <c r="C178" s="2" t="s">
        <v>195</v>
      </c>
      <c r="D178" s="2" t="str">
        <f ca="1">IFERROR(__xludf.DUMMYFUNCTION("googletranslate(A177,""en"",""ja"")"),"Glockenspiel")</f>
        <v>Glockenspiel</v>
      </c>
    </row>
    <row r="179" spans="1:4" ht="14" x14ac:dyDescent="0.15">
      <c r="A179" s="1" t="s">
        <v>196</v>
      </c>
      <c r="B179" s="2" t="str">
        <f t="shared" ca="1" si="2"/>
        <v>ビブラフォン</v>
      </c>
      <c r="D179" s="2" t="str">
        <f ca="1">IFERROR(__xludf.DUMMYFUNCTION("googletranslate(A178,""en"",""ja"")"),"ビブラフォン")</f>
        <v>ビブラフォン</v>
      </c>
    </row>
    <row r="180" spans="1:4" ht="14" x14ac:dyDescent="0.15">
      <c r="A180" s="1" t="s">
        <v>197</v>
      </c>
      <c r="B180" s="2" t="str">
        <f t="shared" ca="1" si="2"/>
        <v>スチールパン</v>
      </c>
      <c r="D180" s="2" t="str">
        <f ca="1">IFERROR(__xludf.DUMMYFUNCTION("googletranslate(A179,""en"",""ja"")"),"スチールパン")</f>
        <v>スチールパン</v>
      </c>
    </row>
    <row r="181" spans="1:4" ht="14" x14ac:dyDescent="0.15">
      <c r="A181" s="1" t="s">
        <v>198</v>
      </c>
      <c r="B181" s="2" t="str">
        <f t="shared" ca="1" si="2"/>
        <v>オーケストラ</v>
      </c>
      <c r="D181" s="2" t="str">
        <f ca="1">IFERROR(__xludf.DUMMYFUNCTION("googletranslate(A180,""en"",""ja"")"),"オーケストラ")</f>
        <v>オーケストラ</v>
      </c>
    </row>
    <row r="182" spans="1:4" ht="14" x14ac:dyDescent="0.15">
      <c r="A182" s="1" t="s">
        <v>199</v>
      </c>
      <c r="B182" s="2" t="str">
        <f t="shared" ca="1" si="2"/>
        <v>金管楽器</v>
      </c>
      <c r="D182" s="2" t="str">
        <f ca="1">IFERROR(__xludf.DUMMYFUNCTION("googletranslate(A181,""en"",""ja"")"),"金管楽器")</f>
        <v>金管楽器</v>
      </c>
    </row>
    <row r="183" spans="1:4" ht="14" x14ac:dyDescent="0.15">
      <c r="A183" s="1" t="s">
        <v>200</v>
      </c>
      <c r="B183" s="2" t="str">
        <f t="shared" ca="1" si="2"/>
        <v>フレンチホルン</v>
      </c>
      <c r="D183" s="2" t="str">
        <f ca="1">IFERROR(__xludf.DUMMYFUNCTION("googletranslate(A182,""en"",""ja"")"),"フレンチホルン")</f>
        <v>フレンチホルン</v>
      </c>
    </row>
    <row r="184" spans="1:4" ht="14" x14ac:dyDescent="0.15">
      <c r="A184" s="1" t="s">
        <v>201</v>
      </c>
      <c r="B184" s="2" t="str">
        <f t="shared" ca="1" si="2"/>
        <v>トランペット</v>
      </c>
      <c r="D184" s="2" t="str">
        <f ca="1">IFERROR(__xludf.DUMMYFUNCTION("googletranslate(A183,""en"",""ja"")"),"トランペット")</f>
        <v>トランペット</v>
      </c>
    </row>
    <row r="185" spans="1:4" ht="14" x14ac:dyDescent="0.15">
      <c r="A185" s="1" t="s">
        <v>202</v>
      </c>
      <c r="B185" s="2" t="str">
        <f t="shared" ca="1" si="2"/>
        <v>トロンボーン</v>
      </c>
      <c r="D185" s="2" t="str">
        <f ca="1">IFERROR(__xludf.DUMMYFUNCTION("googletranslate(A184,""en"",""ja"")"),"トロンボーン")</f>
        <v>トロンボーン</v>
      </c>
    </row>
    <row r="186" spans="1:4" ht="14" x14ac:dyDescent="0.15">
      <c r="A186" s="1" t="s">
        <v>203</v>
      </c>
      <c r="B186" s="2" t="str">
        <f t="shared" si="2"/>
        <v>弓で弾く弦楽器</v>
      </c>
      <c r="C186" s="2" t="s">
        <v>204</v>
      </c>
      <c r="D186" s="2" t="str">
        <f ca="1">IFERROR(__xludf.DUMMYFUNCTION("googletranslate(A185,""en"",""ja"")"),"お辞儀の弦楽器")</f>
        <v>お辞儀の弦楽器</v>
      </c>
    </row>
    <row r="187" spans="1:4" ht="14" x14ac:dyDescent="0.15">
      <c r="A187" s="1" t="s">
        <v>205</v>
      </c>
      <c r="B187" s="2" t="str">
        <f t="shared" si="2"/>
        <v>弦楽器のセクション</v>
      </c>
      <c r="C187" s="2" t="s">
        <v>206</v>
      </c>
      <c r="D187" s="2" t="str">
        <f ca="1">IFERROR(__xludf.DUMMYFUNCTION("googletranslate(A186,""en"",""ja"")"),"文字列セクション")</f>
        <v>文字列セクション</v>
      </c>
    </row>
    <row r="188" spans="1:4" ht="14" x14ac:dyDescent="0.15">
      <c r="A188" s="1" t="s">
        <v>207</v>
      </c>
      <c r="B188" s="2" t="str">
        <f t="shared" ca="1" si="2"/>
        <v>バイオリン、フィドル</v>
      </c>
      <c r="D188" s="2" t="str">
        <f ca="1">IFERROR(__xludf.DUMMYFUNCTION("googletranslate(A187,""en"",""ja"")"),"バイオリン、フィドル")</f>
        <v>バイオリン、フィドル</v>
      </c>
    </row>
    <row r="189" spans="1:4" ht="14" x14ac:dyDescent="0.15">
      <c r="A189" s="1" t="s">
        <v>208</v>
      </c>
      <c r="B189" s="2" t="str">
        <f t="shared" ca="1" si="2"/>
        <v>ピチカート</v>
      </c>
      <c r="D189" s="2" t="str">
        <f ca="1">IFERROR(__xludf.DUMMYFUNCTION("googletranslate(A188,""en"",""ja"")"),"ピチカート")</f>
        <v>ピチカート</v>
      </c>
    </row>
    <row r="190" spans="1:4" ht="14" x14ac:dyDescent="0.15">
      <c r="A190" s="1" t="s">
        <v>209</v>
      </c>
      <c r="B190" s="2" t="str">
        <f t="shared" ca="1" si="2"/>
        <v>チェロ</v>
      </c>
      <c r="D190" s="2" t="str">
        <f ca="1">IFERROR(__xludf.DUMMYFUNCTION("googletranslate(A189,""en"",""ja"")"),"チェロ")</f>
        <v>チェロ</v>
      </c>
    </row>
    <row r="191" spans="1:4" ht="14" x14ac:dyDescent="0.15">
      <c r="A191" s="1" t="s">
        <v>210</v>
      </c>
      <c r="B191" s="2" t="str">
        <f t="shared" ca="1" si="2"/>
        <v>ダブルベース</v>
      </c>
      <c r="D191" s="2" t="str">
        <f ca="1">IFERROR(__xludf.DUMMYFUNCTION("googletranslate(A190,""en"",""ja"")"),"ダブルベース")</f>
        <v>ダブルベース</v>
      </c>
    </row>
    <row r="192" spans="1:4" ht="28" x14ac:dyDescent="0.15">
      <c r="A192" s="1" t="s">
        <v>211</v>
      </c>
      <c r="B192" s="2" t="str">
        <f t="shared" ca="1" si="2"/>
        <v>風の楽器、木管楽器</v>
      </c>
      <c r="D192" s="2" t="str">
        <f ca="1">IFERROR(__xludf.DUMMYFUNCTION("googletranslate(A191,""en"",""ja"")"),"風の楽器、木管楽器")</f>
        <v>風の楽器、木管楽器</v>
      </c>
    </row>
    <row r="193" spans="1:4" ht="14" x14ac:dyDescent="0.15">
      <c r="A193" s="1" t="s">
        <v>212</v>
      </c>
      <c r="B193" s="2" t="str">
        <f t="shared" ca="1" si="2"/>
        <v>フルート</v>
      </c>
      <c r="D193" s="2" t="str">
        <f ca="1">IFERROR(__xludf.DUMMYFUNCTION("googletranslate(A192,""en"",""ja"")"),"フルート")</f>
        <v>フルート</v>
      </c>
    </row>
    <row r="194" spans="1:4" ht="14" x14ac:dyDescent="0.15">
      <c r="A194" s="1" t="s">
        <v>213</v>
      </c>
      <c r="B194" s="2" t="str">
        <f t="shared" ref="B194:B257" ca="1" si="3">IF(C194="",D194,C194)</f>
        <v>サックス</v>
      </c>
      <c r="D194" s="2" t="str">
        <f ca="1">IFERROR(__xludf.DUMMYFUNCTION("googletranslate(A193,""en"",""ja"")"),"サックス")</f>
        <v>サックス</v>
      </c>
    </row>
    <row r="195" spans="1:4" ht="14" x14ac:dyDescent="0.15">
      <c r="A195" s="1" t="s">
        <v>214</v>
      </c>
      <c r="B195" s="2" t="str">
        <f t="shared" ca="1" si="3"/>
        <v>クラリネット</v>
      </c>
      <c r="D195" s="2" t="str">
        <f ca="1">IFERROR(__xludf.DUMMYFUNCTION("googletranslate(A194,""en"",""ja"")"),"クラリネット")</f>
        <v>クラリネット</v>
      </c>
    </row>
    <row r="196" spans="1:4" ht="14" x14ac:dyDescent="0.15">
      <c r="A196" s="1" t="s">
        <v>215</v>
      </c>
      <c r="B196" s="2" t="str">
        <f t="shared" ca="1" si="3"/>
        <v>ハープ</v>
      </c>
      <c r="D196" s="2" t="str">
        <f ca="1">IFERROR(__xludf.DUMMYFUNCTION("googletranslate(A195,""en"",""ja"")"),"ハープ")</f>
        <v>ハープ</v>
      </c>
    </row>
    <row r="197" spans="1:4" ht="14" x14ac:dyDescent="0.15">
      <c r="A197" s="1" t="s">
        <v>216</v>
      </c>
      <c r="B197" s="2" t="str">
        <f t="shared" ca="1" si="3"/>
        <v>ベル</v>
      </c>
      <c r="D197" s="2" t="str">
        <f ca="1">IFERROR(__xludf.DUMMYFUNCTION("googletranslate(A196,""en"",""ja"")"),"ベル")</f>
        <v>ベル</v>
      </c>
    </row>
    <row r="198" spans="1:4" ht="14" x14ac:dyDescent="0.15">
      <c r="A198" s="1" t="s">
        <v>217</v>
      </c>
      <c r="B198" s="2" t="str">
        <f t="shared" ca="1" si="3"/>
        <v>教会の鐘</v>
      </c>
      <c r="D198" s="2" t="str">
        <f ca="1">IFERROR(__xludf.DUMMYFUNCTION("googletranslate(A197,""en"",""ja"")"),"教会の鐘")</f>
        <v>教会の鐘</v>
      </c>
    </row>
    <row r="199" spans="1:4" ht="14" x14ac:dyDescent="0.15">
      <c r="A199" s="1" t="s">
        <v>218</v>
      </c>
      <c r="B199" s="2" t="str">
        <f t="shared" ca="1" si="3"/>
        <v>ジングルベル</v>
      </c>
      <c r="D199" s="2" t="str">
        <f ca="1">IFERROR(__xludf.DUMMYFUNCTION("googletranslate(A198,""en"",""ja"")"),"ジングルベル")</f>
        <v>ジングルベル</v>
      </c>
    </row>
    <row r="200" spans="1:4" ht="14" x14ac:dyDescent="0.15">
      <c r="A200" s="1" t="s">
        <v>219</v>
      </c>
      <c r="B200" s="2" t="str">
        <f t="shared" ca="1" si="3"/>
        <v>自転車のベル</v>
      </c>
      <c r="D200" s="2" t="str">
        <f ca="1">IFERROR(__xludf.DUMMYFUNCTION("googletranslate(A199,""en"",""ja"")"),"自転車のベル")</f>
        <v>自転車のベル</v>
      </c>
    </row>
    <row r="201" spans="1:4" ht="14" x14ac:dyDescent="0.15">
      <c r="A201" s="1" t="s">
        <v>220</v>
      </c>
      <c r="B201" s="2" t="str">
        <f t="shared" ca="1" si="3"/>
        <v>音叉</v>
      </c>
      <c r="D201" s="2" t="str">
        <f ca="1">IFERROR(__xludf.DUMMYFUNCTION("googletranslate(A200,""en"",""ja"")"),"音叉")</f>
        <v>音叉</v>
      </c>
    </row>
    <row r="202" spans="1:4" ht="14" x14ac:dyDescent="0.15">
      <c r="A202" s="1" t="s">
        <v>221</v>
      </c>
      <c r="B202" s="2" t="str">
        <f t="shared" ca="1" si="3"/>
        <v>チャイム</v>
      </c>
      <c r="D202" s="2" t="str">
        <f ca="1">IFERROR(__xludf.DUMMYFUNCTION("googletranslate(A201,""en"",""ja"")"),"チャイム")</f>
        <v>チャイム</v>
      </c>
    </row>
    <row r="203" spans="1:4" ht="14" x14ac:dyDescent="0.15">
      <c r="A203" s="1" t="s">
        <v>222</v>
      </c>
      <c r="B203" s="2" t="str">
        <f t="shared" ca="1" si="3"/>
        <v>風鈴</v>
      </c>
      <c r="D203" s="2" t="str">
        <f ca="1">IFERROR(__xludf.DUMMYFUNCTION("googletranslate(A202,""en"",""ja"")"),"風鈴")</f>
        <v>風鈴</v>
      </c>
    </row>
    <row r="204" spans="1:4" ht="14" x14ac:dyDescent="0.15">
      <c r="A204" s="1" t="s">
        <v>223</v>
      </c>
      <c r="B204" s="2" t="str">
        <f t="shared" ca="1" si="3"/>
        <v>リンギングを変更する（カンパノロジー）</v>
      </c>
      <c r="D204" s="2" t="str">
        <f ca="1">IFERROR(__xludf.DUMMYFUNCTION("googletranslate(A203,""en"",""ja"")"),"リンギングを変更する（カンパノロジー）")</f>
        <v>リンギングを変更する（カンパノロジー）</v>
      </c>
    </row>
    <row r="205" spans="1:4" ht="14" x14ac:dyDescent="0.15">
      <c r="A205" s="1" t="s">
        <v>224</v>
      </c>
      <c r="B205" s="2" t="str">
        <f t="shared" ca="1" si="3"/>
        <v>ハーモニカ</v>
      </c>
      <c r="D205" s="2" t="str">
        <f ca="1">IFERROR(__xludf.DUMMYFUNCTION("googletranslate(A204,""en"",""ja"")"),"ハーモニカ")</f>
        <v>ハーモニカ</v>
      </c>
    </row>
    <row r="206" spans="1:4" ht="14" x14ac:dyDescent="0.15">
      <c r="A206" s="1" t="s">
        <v>225</v>
      </c>
      <c r="B206" s="2" t="str">
        <f t="shared" ca="1" si="3"/>
        <v>アコーディオン</v>
      </c>
      <c r="D206" s="2" t="str">
        <f ca="1">IFERROR(__xludf.DUMMYFUNCTION("googletranslate(A205,""en"",""ja"")"),"アコーディオン")</f>
        <v>アコーディオン</v>
      </c>
    </row>
    <row r="207" spans="1:4" ht="14" x14ac:dyDescent="0.15">
      <c r="A207" s="1" t="s">
        <v>226</v>
      </c>
      <c r="B207" s="2" t="str">
        <f t="shared" ca="1" si="3"/>
        <v>バグパイプ</v>
      </c>
      <c r="D207" s="2" t="str">
        <f ca="1">IFERROR(__xludf.DUMMYFUNCTION("googletranslate(A206,""en"",""ja"")"),"バグパイプ")</f>
        <v>バグパイプ</v>
      </c>
    </row>
    <row r="208" spans="1:4" ht="14" x14ac:dyDescent="0.15">
      <c r="A208" s="1" t="s">
        <v>227</v>
      </c>
      <c r="B208" s="2" t="str">
        <f t="shared" si="3"/>
        <v xml:space="preserve">
ディジュリドゥ（アボリジニの金管楽器）</v>
      </c>
      <c r="C208" s="2" t="s">
        <v>228</v>
      </c>
      <c r="D208" s="2" t="str">
        <f ca="1">IFERROR(__xludf.DUMMYFUNCTION("googletranslate(A207,""en"",""ja"")"),"didgeridoo")</f>
        <v>didgeridoo</v>
      </c>
    </row>
    <row r="209" spans="1:4" ht="14" x14ac:dyDescent="0.15">
      <c r="A209" s="1" t="s">
        <v>229</v>
      </c>
      <c r="B209" s="2" t="str">
        <f t="shared" si="3"/>
        <v>ショファル（角でできた楽器）</v>
      </c>
      <c r="C209" s="2" t="s">
        <v>230</v>
      </c>
      <c r="D209" s="2" t="str">
        <f ca="1">IFERROR(__xludf.DUMMYFUNCTION("googletranslate(A208,""en"",""ja"")"),"Shofar")</f>
        <v>Shofar</v>
      </c>
    </row>
    <row r="210" spans="1:4" ht="14" x14ac:dyDescent="0.15">
      <c r="A210" s="1" t="s">
        <v>231</v>
      </c>
      <c r="B210" s="2" t="str">
        <f t="shared" si="3"/>
        <v>テルミン</v>
      </c>
      <c r="C210" s="2" t="s">
        <v>232</v>
      </c>
      <c r="D210" s="2" t="str">
        <f ca="1">IFERROR(__xludf.DUMMYFUNCTION("googletranslate(A209,""en"",""ja"")"),"テミン")</f>
        <v>テミン</v>
      </c>
    </row>
    <row r="211" spans="1:4" ht="14" x14ac:dyDescent="0.15">
      <c r="A211" s="1" t="s">
        <v>233</v>
      </c>
      <c r="B211" s="2" t="str">
        <f t="shared" ca="1" si="3"/>
        <v>歌うボウル</v>
      </c>
      <c r="D211" s="2" t="str">
        <f ca="1">IFERROR(__xludf.DUMMYFUNCTION("googletranslate(A210,""en"",""ja"")"),"歌うボウル")</f>
        <v>歌うボウル</v>
      </c>
    </row>
    <row r="212" spans="1:4" ht="14" x14ac:dyDescent="0.15">
      <c r="A212" s="1" t="s">
        <v>234</v>
      </c>
      <c r="B212" s="2" t="str">
        <f t="shared" ca="1" si="3"/>
        <v>スクラッチ（パフォーマンステクニック）</v>
      </c>
      <c r="D212" s="2" t="str">
        <f ca="1">IFERROR(__xludf.DUMMYFUNCTION("googletranslate(A211,""en"",""ja"")"),"スクラッチ（パフォーマンステクニック）")</f>
        <v>スクラッチ（パフォーマンステクニック）</v>
      </c>
    </row>
    <row r="213" spans="1:4" ht="14" x14ac:dyDescent="0.15">
      <c r="A213" s="1" t="s">
        <v>235</v>
      </c>
      <c r="B213" s="2" t="str">
        <f t="shared" ca="1" si="3"/>
        <v>ポップ・ミュージック</v>
      </c>
      <c r="D213" s="2" t="str">
        <f ca="1">IFERROR(__xludf.DUMMYFUNCTION("googletranslate(A212,""en"",""ja"")"),"ポップ・ミュージック")</f>
        <v>ポップ・ミュージック</v>
      </c>
    </row>
    <row r="214" spans="1:4" ht="14" x14ac:dyDescent="0.15">
      <c r="A214" s="1" t="s">
        <v>236</v>
      </c>
      <c r="B214" s="2" t="str">
        <f t="shared" ca="1" si="3"/>
        <v>ヒップホップ音楽</v>
      </c>
      <c r="D214" s="2" t="str">
        <f ca="1">IFERROR(__xludf.DUMMYFUNCTION("googletranslate(A213,""en"",""ja"")"),"ヒップホップ音楽")</f>
        <v>ヒップホップ音楽</v>
      </c>
    </row>
    <row r="215" spans="1:4" ht="14" x14ac:dyDescent="0.15">
      <c r="A215" s="1" t="s">
        <v>237</v>
      </c>
      <c r="B215" s="2" t="str">
        <f t="shared" ca="1" si="3"/>
        <v>ビートボックス</v>
      </c>
      <c r="D215" s="2" t="str">
        <f ca="1">IFERROR(__xludf.DUMMYFUNCTION("googletranslate(A214,""en"",""ja"")"),"ビートボックス")</f>
        <v>ビートボックス</v>
      </c>
    </row>
    <row r="216" spans="1:4" ht="14" x14ac:dyDescent="0.15">
      <c r="A216" s="1" t="s">
        <v>238</v>
      </c>
      <c r="B216" s="2" t="str">
        <f t="shared" ca="1" si="3"/>
        <v>ロックミュージック</v>
      </c>
      <c r="D216" s="2" t="str">
        <f ca="1">IFERROR(__xludf.DUMMYFUNCTION("googletranslate(A215,""en"",""ja"")"),"ロックミュージック")</f>
        <v>ロックミュージック</v>
      </c>
    </row>
    <row r="217" spans="1:4" ht="14" x14ac:dyDescent="0.15">
      <c r="A217" s="1" t="s">
        <v>239</v>
      </c>
      <c r="B217" s="2" t="str">
        <f t="shared" ca="1" si="3"/>
        <v>ヘヴィメタル</v>
      </c>
      <c r="D217" s="2" t="str">
        <f ca="1">IFERROR(__xludf.DUMMYFUNCTION("googletranslate(A216,""en"",""ja"")"),"ヘヴィメタル")</f>
        <v>ヘヴィメタル</v>
      </c>
    </row>
    <row r="218" spans="1:4" ht="14" x14ac:dyDescent="0.15">
      <c r="A218" s="1" t="s">
        <v>240</v>
      </c>
      <c r="B218" s="2" t="str">
        <f t="shared" ca="1" si="3"/>
        <v>パンク</v>
      </c>
      <c r="D218" s="2" t="str">
        <f ca="1">IFERROR(__xludf.DUMMYFUNCTION("googletranslate(A217,""en"",""ja"")"),"パンク")</f>
        <v>パンク</v>
      </c>
    </row>
    <row r="219" spans="1:4" ht="14" x14ac:dyDescent="0.15">
      <c r="A219" s="1" t="s">
        <v>241</v>
      </c>
      <c r="B219" s="2" t="str">
        <f t="shared" ca="1" si="3"/>
        <v>グランジ</v>
      </c>
      <c r="D219" s="2" t="str">
        <f ca="1">IFERROR(__xludf.DUMMYFUNCTION("googletranslate(A218,""en"",""ja"")"),"グランジ")</f>
        <v>グランジ</v>
      </c>
    </row>
    <row r="220" spans="1:4" ht="14" x14ac:dyDescent="0.15">
      <c r="A220" s="1" t="s">
        <v>242</v>
      </c>
      <c r="B220" s="2" t="str">
        <f t="shared" ca="1" si="3"/>
        <v>プログレッシブロック</v>
      </c>
      <c r="D220" s="2" t="str">
        <f ca="1">IFERROR(__xludf.DUMMYFUNCTION("googletranslate(A219,""en"",""ja"")"),"プログレッシブロック")</f>
        <v>プログレッシブロック</v>
      </c>
    </row>
    <row r="221" spans="1:4" ht="14" x14ac:dyDescent="0.15">
      <c r="A221" s="1" t="s">
        <v>243</v>
      </c>
      <c r="B221" s="2" t="str">
        <f t="shared" ca="1" si="3"/>
        <v>ロックンロール</v>
      </c>
      <c r="D221" s="2" t="str">
        <f ca="1">IFERROR(__xludf.DUMMYFUNCTION("googletranslate(A220,""en"",""ja"")"),"ロックンロール")</f>
        <v>ロックンロール</v>
      </c>
    </row>
    <row r="222" spans="1:4" ht="14" x14ac:dyDescent="0.15">
      <c r="A222" s="1" t="s">
        <v>244</v>
      </c>
      <c r="B222" s="2" t="str">
        <f t="shared" ca="1" si="3"/>
        <v>サイケデリックロック</v>
      </c>
      <c r="D222" s="2" t="str">
        <f ca="1">IFERROR(__xludf.DUMMYFUNCTION("googletranslate(A221,""en"",""ja"")"),"サイケデリックロック")</f>
        <v>サイケデリックロック</v>
      </c>
    </row>
    <row r="223" spans="1:4" ht="14" x14ac:dyDescent="0.15">
      <c r="A223" s="1" t="s">
        <v>245</v>
      </c>
      <c r="B223" s="2" t="str">
        <f t="shared" ca="1" si="3"/>
        <v>リズムアンドブルース</v>
      </c>
      <c r="D223" s="2" t="str">
        <f ca="1">IFERROR(__xludf.DUMMYFUNCTION("googletranslate(A222,""en"",""ja"")"),"リズムアンドブルース")</f>
        <v>リズムアンドブルース</v>
      </c>
    </row>
    <row r="224" spans="1:4" ht="14" x14ac:dyDescent="0.15">
      <c r="A224" s="1" t="s">
        <v>246</v>
      </c>
      <c r="B224" s="2" t="str">
        <f t="shared" ca="1" si="3"/>
        <v>ソウルミュージック</v>
      </c>
      <c r="D224" s="2" t="str">
        <f ca="1">IFERROR(__xludf.DUMMYFUNCTION("googletranslate(A223,""en"",""ja"")"),"ソウルミュージック")</f>
        <v>ソウルミュージック</v>
      </c>
    </row>
    <row r="225" spans="1:4" ht="14" x14ac:dyDescent="0.15">
      <c r="A225" s="1" t="s">
        <v>247</v>
      </c>
      <c r="B225" s="2" t="str">
        <f t="shared" ca="1" si="3"/>
        <v>レゲエ</v>
      </c>
      <c r="D225" s="2" t="str">
        <f ca="1">IFERROR(__xludf.DUMMYFUNCTION("googletranslate(A224,""en"",""ja"")"),"レゲエ")</f>
        <v>レゲエ</v>
      </c>
    </row>
    <row r="226" spans="1:4" ht="14" x14ac:dyDescent="0.15">
      <c r="A226" s="1" t="s">
        <v>248</v>
      </c>
      <c r="B226" s="2" t="str">
        <f t="shared" ca="1" si="3"/>
        <v>国</v>
      </c>
      <c r="D226" s="2" t="str">
        <f ca="1">IFERROR(__xludf.DUMMYFUNCTION("googletranslate(A225,""en"",""ja"")"),"国")</f>
        <v>国</v>
      </c>
    </row>
    <row r="227" spans="1:4" ht="14" x14ac:dyDescent="0.15">
      <c r="A227" s="1" t="s">
        <v>249</v>
      </c>
      <c r="B227" s="2" t="str">
        <f t="shared" ca="1" si="3"/>
        <v>スイング音楽</v>
      </c>
      <c r="D227" s="2" t="str">
        <f ca="1">IFERROR(__xludf.DUMMYFUNCTION("googletranslate(A226,""en"",""ja"")"),"スイング音楽")</f>
        <v>スイング音楽</v>
      </c>
    </row>
    <row r="228" spans="1:4" ht="14" x14ac:dyDescent="0.15">
      <c r="A228" s="1" t="s">
        <v>250</v>
      </c>
      <c r="B228" s="2" t="str">
        <f t="shared" ca="1" si="3"/>
        <v>ブルーグラス</v>
      </c>
      <c r="D228" s="2" t="str">
        <f ca="1">IFERROR(__xludf.DUMMYFUNCTION("googletranslate(A227,""en"",""ja"")"),"ブルーグラス")</f>
        <v>ブルーグラス</v>
      </c>
    </row>
    <row r="229" spans="1:4" ht="14" x14ac:dyDescent="0.15">
      <c r="A229" s="1" t="s">
        <v>251</v>
      </c>
      <c r="B229" s="2" t="str">
        <f t="shared" ca="1" si="3"/>
        <v>ファンク</v>
      </c>
      <c r="D229" s="2" t="str">
        <f ca="1">IFERROR(__xludf.DUMMYFUNCTION("googletranslate(A228,""en"",""ja"")"),"ファンク")</f>
        <v>ファンク</v>
      </c>
    </row>
    <row r="230" spans="1:4" ht="14" x14ac:dyDescent="0.15">
      <c r="A230" s="1" t="s">
        <v>252</v>
      </c>
      <c r="B230" s="2" t="str">
        <f t="shared" ca="1" si="3"/>
        <v>民族音楽</v>
      </c>
      <c r="D230" s="2" t="str">
        <f ca="1">IFERROR(__xludf.DUMMYFUNCTION("googletranslate(A229,""en"",""ja"")"),"民族音楽")</f>
        <v>民族音楽</v>
      </c>
    </row>
    <row r="231" spans="1:4" ht="14" x14ac:dyDescent="0.15">
      <c r="A231" s="1" t="s">
        <v>253</v>
      </c>
      <c r="B231" s="2" t="str">
        <f t="shared" ca="1" si="3"/>
        <v>中東の音楽</v>
      </c>
      <c r="D231" s="2" t="str">
        <f ca="1">IFERROR(__xludf.DUMMYFUNCTION("googletranslate(A230,""en"",""ja"")"),"中東の音楽")</f>
        <v>中東の音楽</v>
      </c>
    </row>
    <row r="232" spans="1:4" ht="14" x14ac:dyDescent="0.15">
      <c r="A232" s="1" t="s">
        <v>254</v>
      </c>
      <c r="B232" s="2" t="str">
        <f t="shared" ca="1" si="3"/>
        <v>ジャズ</v>
      </c>
      <c r="D232" s="2" t="str">
        <f ca="1">IFERROR(__xludf.DUMMYFUNCTION("googletranslate(A231,""en"",""ja"")"),"ジャズ")</f>
        <v>ジャズ</v>
      </c>
    </row>
    <row r="233" spans="1:4" ht="14" x14ac:dyDescent="0.15">
      <c r="A233" s="1" t="s">
        <v>255</v>
      </c>
      <c r="B233" s="2" t="str">
        <f t="shared" ca="1" si="3"/>
        <v>ディスコ</v>
      </c>
      <c r="D233" s="2" t="str">
        <f ca="1">IFERROR(__xludf.DUMMYFUNCTION("googletranslate(A232,""en"",""ja"")"),"ディスコ")</f>
        <v>ディスコ</v>
      </c>
    </row>
    <row r="234" spans="1:4" ht="14" x14ac:dyDescent="0.15">
      <c r="A234" s="1" t="s">
        <v>256</v>
      </c>
      <c r="B234" s="2" t="str">
        <f t="shared" ca="1" si="3"/>
        <v>クラッシック</v>
      </c>
      <c r="D234" s="2" t="str">
        <f ca="1">IFERROR(__xludf.DUMMYFUNCTION("googletranslate(A233,""en"",""ja"")"),"クラッシック")</f>
        <v>クラッシック</v>
      </c>
    </row>
    <row r="235" spans="1:4" ht="14" x14ac:dyDescent="0.15">
      <c r="A235" s="1" t="s">
        <v>257</v>
      </c>
      <c r="B235" s="2" t="str">
        <f t="shared" ca="1" si="3"/>
        <v>オペラ</v>
      </c>
      <c r="D235" s="2" t="str">
        <f ca="1">IFERROR(__xludf.DUMMYFUNCTION("googletranslate(A234,""en"",""ja"")"),"オペラ")</f>
        <v>オペラ</v>
      </c>
    </row>
    <row r="236" spans="1:4" ht="14" x14ac:dyDescent="0.15">
      <c r="A236" s="1" t="s">
        <v>258</v>
      </c>
      <c r="B236" s="2" t="str">
        <f t="shared" ca="1" si="3"/>
        <v>電子音楽</v>
      </c>
      <c r="D236" s="2" t="str">
        <f ca="1">IFERROR(__xludf.DUMMYFUNCTION("googletranslate(A235,""en"",""ja"")"),"電子音楽")</f>
        <v>電子音楽</v>
      </c>
    </row>
    <row r="237" spans="1:4" ht="14" x14ac:dyDescent="0.15">
      <c r="A237" s="1" t="s">
        <v>259</v>
      </c>
      <c r="B237" s="2" t="str">
        <f t="shared" ca="1" si="3"/>
        <v>ハウスミュージック</v>
      </c>
      <c r="D237" s="2" t="str">
        <f ca="1">IFERROR(__xludf.DUMMYFUNCTION("googletranslate(A236,""en"",""ja"")"),"ハウスミュージック")</f>
        <v>ハウスミュージック</v>
      </c>
    </row>
    <row r="238" spans="1:4" ht="14" x14ac:dyDescent="0.15">
      <c r="A238" s="1" t="s">
        <v>260</v>
      </c>
      <c r="B238" s="2" t="str">
        <f t="shared" ca="1" si="3"/>
        <v>テクノ</v>
      </c>
      <c r="D238" s="2" t="str">
        <f ca="1">IFERROR(__xludf.DUMMYFUNCTION("googletranslate(A237,""en"",""ja"")"),"テクノ")</f>
        <v>テクノ</v>
      </c>
    </row>
    <row r="239" spans="1:4" ht="14" x14ac:dyDescent="0.15">
      <c r="A239" s="1" t="s">
        <v>261</v>
      </c>
      <c r="B239" s="2" t="str">
        <f t="shared" ca="1" si="3"/>
        <v>ダブステップ</v>
      </c>
      <c r="D239" s="2" t="str">
        <f ca="1">IFERROR(__xludf.DUMMYFUNCTION("googletranslate(A238,""en"",""ja"")"),"ダブステップ")</f>
        <v>ダブステップ</v>
      </c>
    </row>
    <row r="240" spans="1:4" ht="14" x14ac:dyDescent="0.15">
      <c r="A240" s="1" t="s">
        <v>262</v>
      </c>
      <c r="B240" s="2" t="str">
        <f t="shared" ca="1" si="3"/>
        <v>ドラムとベース</v>
      </c>
      <c r="D240" s="2" t="str">
        <f ca="1">IFERROR(__xludf.DUMMYFUNCTION("googletranslate(A239,""en"",""ja"")"),"ドラムとベース")</f>
        <v>ドラムとベース</v>
      </c>
    </row>
    <row r="241" spans="1:4" ht="14" x14ac:dyDescent="0.15">
      <c r="A241" s="1" t="s">
        <v>263</v>
      </c>
      <c r="B241" s="2" t="str">
        <f t="shared" ca="1" si="3"/>
        <v>エレクトロニカ</v>
      </c>
      <c r="D241" s="2" t="str">
        <f ca="1">IFERROR(__xludf.DUMMYFUNCTION("googletranslate(A240,""en"",""ja"")"),"エレクトロニカ")</f>
        <v>エレクトロニカ</v>
      </c>
    </row>
    <row r="242" spans="1:4" ht="14" x14ac:dyDescent="0.15">
      <c r="A242" s="1" t="s">
        <v>264</v>
      </c>
      <c r="B242" s="2" t="str">
        <f t="shared" ca="1" si="3"/>
        <v>エレクトロニックダンスミュージック</v>
      </c>
      <c r="D242" s="2" t="str">
        <f ca="1">IFERROR(__xludf.DUMMYFUNCTION("googletranslate(A241,""en"",""ja"")"),"エレクトロニックダンスミュージック")</f>
        <v>エレクトロニックダンスミュージック</v>
      </c>
    </row>
    <row r="243" spans="1:4" ht="14" x14ac:dyDescent="0.15">
      <c r="A243" s="1" t="s">
        <v>265</v>
      </c>
      <c r="B243" s="2" t="str">
        <f t="shared" ca="1" si="3"/>
        <v>アンビエントミュージック</v>
      </c>
      <c r="D243" s="2" t="str">
        <f ca="1">IFERROR(__xludf.DUMMYFUNCTION("googletranslate(A242,""en"",""ja"")"),"アンビエントミュージック")</f>
        <v>アンビエントミュージック</v>
      </c>
    </row>
    <row r="244" spans="1:4" ht="14" x14ac:dyDescent="0.15">
      <c r="A244" s="1" t="s">
        <v>266</v>
      </c>
      <c r="B244" s="2" t="str">
        <f t="shared" ca="1" si="3"/>
        <v>トランスミュージック</v>
      </c>
      <c r="D244" s="2" t="str">
        <f ca="1">IFERROR(__xludf.DUMMYFUNCTION("googletranslate(A243,""en"",""ja"")"),"トランスミュージック")</f>
        <v>トランスミュージック</v>
      </c>
    </row>
    <row r="245" spans="1:4" ht="14" x14ac:dyDescent="0.15">
      <c r="A245" s="1" t="s">
        <v>267</v>
      </c>
      <c r="B245" s="2" t="str">
        <f t="shared" ca="1" si="3"/>
        <v>ラテンアメリカの音楽</v>
      </c>
      <c r="D245" s="2" t="str">
        <f ca="1">IFERROR(__xludf.DUMMYFUNCTION("googletranslate(A244,""en"",""ja"")"),"ラテンアメリカの音楽")</f>
        <v>ラテンアメリカの音楽</v>
      </c>
    </row>
    <row r="246" spans="1:4" ht="14" x14ac:dyDescent="0.15">
      <c r="A246" s="1" t="s">
        <v>268</v>
      </c>
      <c r="B246" s="2" t="str">
        <f t="shared" ca="1" si="3"/>
        <v>サルサ音楽</v>
      </c>
      <c r="D246" s="2" t="str">
        <f ca="1">IFERROR(__xludf.DUMMYFUNCTION("googletranslate(A245,""en"",""ja"")"),"サルサ音楽")</f>
        <v>サルサ音楽</v>
      </c>
    </row>
    <row r="247" spans="1:4" ht="14" x14ac:dyDescent="0.15">
      <c r="A247" s="1" t="s">
        <v>269</v>
      </c>
      <c r="B247" s="2" t="str">
        <f t="shared" ca="1" si="3"/>
        <v>フラメンコ</v>
      </c>
      <c r="D247" s="2" t="str">
        <f ca="1">IFERROR(__xludf.DUMMYFUNCTION("googletranslate(A246,""en"",""ja"")"),"フラメンコ")</f>
        <v>フラメンコ</v>
      </c>
    </row>
    <row r="248" spans="1:4" ht="14" x14ac:dyDescent="0.15">
      <c r="A248" s="1" t="s">
        <v>270</v>
      </c>
      <c r="B248" s="2" t="str">
        <f t="shared" ca="1" si="3"/>
        <v>ブルース</v>
      </c>
      <c r="D248" s="2" t="str">
        <f ca="1">IFERROR(__xludf.DUMMYFUNCTION("googletranslate(A247,""en"",""ja"")"),"ブルース")</f>
        <v>ブルース</v>
      </c>
    </row>
    <row r="249" spans="1:4" ht="14" x14ac:dyDescent="0.15">
      <c r="A249" s="1" t="s">
        <v>271</v>
      </c>
      <c r="B249" s="2" t="str">
        <f t="shared" ca="1" si="3"/>
        <v>子供のための音楽</v>
      </c>
      <c r="D249" s="2" t="str">
        <f ca="1">IFERROR(__xludf.DUMMYFUNCTION("googletranslate(A248,""en"",""ja"")"),"子供のための音楽")</f>
        <v>子供のための音楽</v>
      </c>
    </row>
    <row r="250" spans="1:4" ht="14" x14ac:dyDescent="0.15">
      <c r="A250" s="1" t="s">
        <v>272</v>
      </c>
      <c r="B250" s="2" t="str">
        <f t="shared" ca="1" si="3"/>
        <v>新時代の音楽</v>
      </c>
      <c r="D250" s="2" t="str">
        <f ca="1">IFERROR(__xludf.DUMMYFUNCTION("googletranslate(A249,""en"",""ja"")"),"新時代の音楽")</f>
        <v>新時代の音楽</v>
      </c>
    </row>
    <row r="251" spans="1:4" ht="14" x14ac:dyDescent="0.15">
      <c r="A251" s="1" t="s">
        <v>273</v>
      </c>
      <c r="B251" s="2" t="str">
        <f t="shared" ca="1" si="3"/>
        <v>声楽</v>
      </c>
      <c r="D251" s="2" t="str">
        <f ca="1">IFERROR(__xludf.DUMMYFUNCTION("googletranslate(A250,""en"",""ja"")"),"声楽")</f>
        <v>声楽</v>
      </c>
    </row>
    <row r="252" spans="1:4" ht="14" x14ac:dyDescent="0.15">
      <c r="A252" s="1" t="s">
        <v>274</v>
      </c>
      <c r="B252" s="2" t="str">
        <f t="shared" ca="1" si="3"/>
        <v>アカペラ</v>
      </c>
      <c r="D252" s="2" t="str">
        <f ca="1">IFERROR(__xludf.DUMMYFUNCTION("googletranslate(A251,""en"",""ja"")"),"アカペラ")</f>
        <v>アカペラ</v>
      </c>
    </row>
    <row r="253" spans="1:4" ht="14" x14ac:dyDescent="0.15">
      <c r="A253" s="1" t="s">
        <v>275</v>
      </c>
      <c r="B253" s="2" t="str">
        <f t="shared" ca="1" si="3"/>
        <v>アフリカの音楽</v>
      </c>
      <c r="D253" s="2" t="str">
        <f ca="1">IFERROR(__xludf.DUMMYFUNCTION("googletranslate(A252,""en"",""ja"")"),"アフリカの音楽")</f>
        <v>アフリカの音楽</v>
      </c>
    </row>
    <row r="254" spans="1:4" ht="14" x14ac:dyDescent="0.15">
      <c r="A254" s="1" t="s">
        <v>276</v>
      </c>
      <c r="B254" s="2" t="str">
        <f t="shared" si="3"/>
        <v>アフロビート</v>
      </c>
      <c r="C254" s="2" t="s">
        <v>277</v>
      </c>
      <c r="D254" s="2" t="str">
        <f ca="1">IFERROR(__xludf.DUMMYFUNCTION("googletranslate(A253,""en"",""ja"")"),"afrobeat")</f>
        <v>afrobeat</v>
      </c>
    </row>
    <row r="255" spans="1:4" ht="14" x14ac:dyDescent="0.15">
      <c r="A255" s="1" t="s">
        <v>278</v>
      </c>
      <c r="B255" s="2" t="str">
        <f t="shared" ca="1" si="3"/>
        <v>キリスト教音楽</v>
      </c>
      <c r="D255" s="2" t="str">
        <f ca="1">IFERROR(__xludf.DUMMYFUNCTION("googletranslate(A254,""en"",""ja"")"),"キリスト教音楽")</f>
        <v>キリスト教音楽</v>
      </c>
    </row>
    <row r="256" spans="1:4" ht="14" x14ac:dyDescent="0.15">
      <c r="A256" s="1" t="s">
        <v>279</v>
      </c>
      <c r="B256" s="2" t="str">
        <f t="shared" ca="1" si="3"/>
        <v>ゴスペル音楽</v>
      </c>
      <c r="D256" s="2" t="str">
        <f ca="1">IFERROR(__xludf.DUMMYFUNCTION("googletranslate(A255,""en"",""ja"")"),"ゴスペル音楽")</f>
        <v>ゴスペル音楽</v>
      </c>
    </row>
    <row r="257" spans="1:4" ht="14" x14ac:dyDescent="0.15">
      <c r="A257" s="1" t="s">
        <v>280</v>
      </c>
      <c r="B257" s="2" t="str">
        <f t="shared" ca="1" si="3"/>
        <v>アジアの音楽</v>
      </c>
      <c r="D257" s="2" t="str">
        <f ca="1">IFERROR(__xludf.DUMMYFUNCTION("googletranslate(A256,""en"",""ja"")"),"アジアの音楽")</f>
        <v>アジアの音楽</v>
      </c>
    </row>
    <row r="258" spans="1:4" ht="14" x14ac:dyDescent="0.15">
      <c r="A258" s="1" t="s">
        <v>281</v>
      </c>
      <c r="B258" s="2" t="str">
        <f t="shared" ref="B258:B321" ca="1" si="4">IF(C258="",D258,C258)</f>
        <v>カルナティック音楽</v>
      </c>
      <c r="D258" s="2" t="str">
        <f ca="1">IFERROR(__xludf.DUMMYFUNCTION("googletranslate(A257,""en"",""ja"")"),"カルナティック音楽")</f>
        <v>カルナティック音楽</v>
      </c>
    </row>
    <row r="259" spans="1:4" ht="14" x14ac:dyDescent="0.15">
      <c r="A259" s="1" t="s">
        <v>282</v>
      </c>
      <c r="B259" s="2" t="str">
        <f t="shared" ca="1" si="4"/>
        <v>ボリウッドの音楽</v>
      </c>
      <c r="D259" s="2" t="str">
        <f ca="1">IFERROR(__xludf.DUMMYFUNCTION("googletranslate(A258,""en"",""ja"")"),"ボリウッドの音楽")</f>
        <v>ボリウッドの音楽</v>
      </c>
    </row>
    <row r="260" spans="1:4" ht="14" x14ac:dyDescent="0.15">
      <c r="A260" s="1" t="s">
        <v>283</v>
      </c>
      <c r="B260" s="2" t="str">
        <f t="shared" ca="1" si="4"/>
        <v>スカ</v>
      </c>
      <c r="D260" s="2" t="str">
        <f ca="1">IFERROR(__xludf.DUMMYFUNCTION("googletranslate(A259,""en"",""ja"")"),"スカ")</f>
        <v>スカ</v>
      </c>
    </row>
    <row r="261" spans="1:4" ht="14" x14ac:dyDescent="0.15">
      <c r="A261" s="1" t="s">
        <v>284</v>
      </c>
      <c r="B261" s="2" t="str">
        <f t="shared" ca="1" si="4"/>
        <v>伝統音楽</v>
      </c>
      <c r="D261" s="2" t="str">
        <f ca="1">IFERROR(__xludf.DUMMYFUNCTION("googletranslate(A260,""en"",""ja"")"),"伝統音楽")</f>
        <v>伝統音楽</v>
      </c>
    </row>
    <row r="262" spans="1:4" ht="14" x14ac:dyDescent="0.15">
      <c r="A262" s="1" t="s">
        <v>285</v>
      </c>
      <c r="B262" s="2" t="str">
        <f t="shared" ca="1" si="4"/>
        <v>独立した音楽</v>
      </c>
      <c r="D262" s="2" t="str">
        <f ca="1">IFERROR(__xludf.DUMMYFUNCTION("googletranslate(A261,""en"",""ja"")"),"独立した音楽")</f>
        <v>独立した音楽</v>
      </c>
    </row>
    <row r="263" spans="1:4" ht="14" x14ac:dyDescent="0.15">
      <c r="A263" s="1" t="s">
        <v>286</v>
      </c>
      <c r="B263" s="2" t="str">
        <f t="shared" ca="1" si="4"/>
        <v>歌</v>
      </c>
      <c r="D263" s="2" t="str">
        <f ca="1">IFERROR(__xludf.DUMMYFUNCTION("googletranslate(A262,""en"",""ja"")"),"歌")</f>
        <v>歌</v>
      </c>
    </row>
    <row r="264" spans="1:4" ht="14" x14ac:dyDescent="0.15">
      <c r="A264" s="1" t="s">
        <v>287</v>
      </c>
      <c r="B264" s="2" t="str">
        <f t="shared" ca="1" si="4"/>
        <v>バックグラウンドミュージック</v>
      </c>
      <c r="D264" s="2" t="str">
        <f ca="1">IFERROR(__xludf.DUMMYFUNCTION("googletranslate(A263,""en"",""ja"")"),"バックグラウンドミュージック")</f>
        <v>バックグラウンドミュージック</v>
      </c>
    </row>
    <row r="265" spans="1:4" ht="14" x14ac:dyDescent="0.15">
      <c r="A265" s="1" t="s">
        <v>288</v>
      </c>
      <c r="B265" s="2" t="str">
        <f t="shared" ca="1" si="4"/>
        <v>テーマ音楽</v>
      </c>
      <c r="D265" s="2" t="str">
        <f ca="1">IFERROR(__xludf.DUMMYFUNCTION("googletranslate(A264,""en"",""ja"")"),"テーマ音楽")</f>
        <v>テーマ音楽</v>
      </c>
    </row>
    <row r="266" spans="1:4" ht="14" x14ac:dyDescent="0.15">
      <c r="A266" s="1" t="s">
        <v>289</v>
      </c>
      <c r="B266" s="2" t="str">
        <f t="shared" ca="1" si="4"/>
        <v>ジングル（音楽）</v>
      </c>
      <c r="D266" s="2" t="str">
        <f ca="1">IFERROR(__xludf.DUMMYFUNCTION("googletranslate(A265,""en"",""ja"")"),"ジングル（音楽）")</f>
        <v>ジングル（音楽）</v>
      </c>
    </row>
    <row r="267" spans="1:4" ht="14" x14ac:dyDescent="0.15">
      <c r="A267" s="1" t="s">
        <v>290</v>
      </c>
      <c r="B267" s="2" t="str">
        <f t="shared" ca="1" si="4"/>
        <v>サウンドトラック音楽</v>
      </c>
      <c r="D267" s="2" t="str">
        <f ca="1">IFERROR(__xludf.DUMMYFUNCTION("googletranslate(A266,""en"",""ja"")"),"サウンドトラック音楽")</f>
        <v>サウンドトラック音楽</v>
      </c>
    </row>
    <row r="268" spans="1:4" ht="14" x14ac:dyDescent="0.15">
      <c r="A268" s="1" t="s">
        <v>291</v>
      </c>
      <c r="B268" s="2" t="str">
        <f t="shared" si="4"/>
        <v>子守唄</v>
      </c>
      <c r="C268" s="2" t="s">
        <v>292</v>
      </c>
      <c r="D268" s="2" t="str">
        <f ca="1">IFERROR(__xludf.DUMMYFUNCTION("googletranslate(A267,""en"",""ja"")"),"子守lulaby")</f>
        <v>子守lulaby</v>
      </c>
    </row>
    <row r="269" spans="1:4" ht="14" x14ac:dyDescent="0.15">
      <c r="A269" s="1" t="s">
        <v>293</v>
      </c>
      <c r="B269" s="2" t="str">
        <f t="shared" ca="1" si="4"/>
        <v>ビデオゲーム音楽</v>
      </c>
      <c r="D269" s="2" t="str">
        <f ca="1">IFERROR(__xludf.DUMMYFUNCTION("googletranslate(A268,""en"",""ja"")"),"ビデオゲーム音楽")</f>
        <v>ビデオゲーム音楽</v>
      </c>
    </row>
    <row r="270" spans="1:4" ht="14" x14ac:dyDescent="0.15">
      <c r="A270" s="1" t="s">
        <v>294</v>
      </c>
      <c r="B270" s="2" t="str">
        <f t="shared" ca="1" si="4"/>
        <v>クリスマス音楽</v>
      </c>
      <c r="D270" s="2" t="str">
        <f ca="1">IFERROR(__xludf.DUMMYFUNCTION("googletranslate(A269,""en"",""ja"")"),"クリスマス音楽")</f>
        <v>クリスマス音楽</v>
      </c>
    </row>
    <row r="271" spans="1:4" ht="14" x14ac:dyDescent="0.15">
      <c r="A271" s="1" t="s">
        <v>295</v>
      </c>
      <c r="B271" s="2" t="str">
        <f t="shared" ca="1" si="4"/>
        <v>ダンスミュージック</v>
      </c>
      <c r="D271" s="2" t="str">
        <f ca="1">IFERROR(__xludf.DUMMYFUNCTION("googletranslate(A270,""en"",""ja"")"),"ダンスミュージック")</f>
        <v>ダンスミュージック</v>
      </c>
    </row>
    <row r="272" spans="1:4" ht="14" x14ac:dyDescent="0.15">
      <c r="A272" s="1" t="s">
        <v>296</v>
      </c>
      <c r="B272" s="2" t="str">
        <f t="shared" ca="1" si="4"/>
        <v>結婚式の音楽</v>
      </c>
      <c r="D272" s="2" t="str">
        <f ca="1">IFERROR(__xludf.DUMMYFUNCTION("googletranslate(A271,""en"",""ja"")"),"結婚式の音楽")</f>
        <v>結婚式の音楽</v>
      </c>
    </row>
    <row r="273" spans="1:4" ht="14" x14ac:dyDescent="0.15">
      <c r="A273" s="1" t="s">
        <v>297</v>
      </c>
      <c r="B273" s="2" t="str">
        <f t="shared" ca="1" si="4"/>
        <v>幸せな音楽</v>
      </c>
      <c r="D273" s="2" t="str">
        <f ca="1">IFERROR(__xludf.DUMMYFUNCTION("googletranslate(A272,""en"",""ja"")"),"幸せな音楽")</f>
        <v>幸せな音楽</v>
      </c>
    </row>
    <row r="274" spans="1:4" ht="14" x14ac:dyDescent="0.15">
      <c r="A274" s="1" t="s">
        <v>298</v>
      </c>
      <c r="B274" s="2" t="str">
        <f t="shared" ca="1" si="4"/>
        <v>悲しい音楽</v>
      </c>
      <c r="D274" s="2" t="str">
        <f ca="1">IFERROR(__xludf.DUMMYFUNCTION("googletranslate(A273,""en"",""ja"")"),"悲しい音楽")</f>
        <v>悲しい音楽</v>
      </c>
    </row>
    <row r="275" spans="1:4" ht="14" x14ac:dyDescent="0.15">
      <c r="A275" s="1" t="s">
        <v>299</v>
      </c>
      <c r="B275" s="2" t="str">
        <f t="shared" ca="1" si="4"/>
        <v>柔らかい音楽</v>
      </c>
      <c r="D275" s="2" t="str">
        <f ca="1">IFERROR(__xludf.DUMMYFUNCTION("googletranslate(A274,""en"",""ja"")"),"柔らかい音楽")</f>
        <v>柔らかい音楽</v>
      </c>
    </row>
    <row r="276" spans="1:4" ht="14" x14ac:dyDescent="0.15">
      <c r="A276" s="1" t="s">
        <v>300</v>
      </c>
      <c r="B276" s="2" t="str">
        <f t="shared" ca="1" si="4"/>
        <v>エキサイティングな音楽</v>
      </c>
      <c r="D276" s="2" t="str">
        <f ca="1">IFERROR(__xludf.DUMMYFUNCTION("googletranslate(A275,""en"",""ja"")"),"エキサイティングな音楽")</f>
        <v>エキサイティングな音楽</v>
      </c>
    </row>
    <row r="277" spans="1:4" ht="14" x14ac:dyDescent="0.15">
      <c r="A277" s="1" t="s">
        <v>301</v>
      </c>
      <c r="B277" s="2" t="str">
        <f t="shared" ca="1" si="4"/>
        <v>怒っている音楽</v>
      </c>
      <c r="D277" s="2" t="str">
        <f ca="1">IFERROR(__xludf.DUMMYFUNCTION("googletranslate(A276,""en"",""ja"")"),"怒っている音楽")</f>
        <v>怒っている音楽</v>
      </c>
    </row>
    <row r="278" spans="1:4" ht="14" x14ac:dyDescent="0.15">
      <c r="A278" s="1" t="s">
        <v>302</v>
      </c>
      <c r="B278" s="2" t="str">
        <f t="shared" ca="1" si="4"/>
        <v>怖い音楽</v>
      </c>
      <c r="D278" s="2" t="str">
        <f ca="1">IFERROR(__xludf.DUMMYFUNCTION("googletranslate(A277,""en"",""ja"")"),"怖い音楽")</f>
        <v>怖い音楽</v>
      </c>
    </row>
    <row r="279" spans="1:4" ht="14" x14ac:dyDescent="0.15">
      <c r="A279" s="1" t="s">
        <v>303</v>
      </c>
      <c r="B279" s="2" t="str">
        <f t="shared" ca="1" si="4"/>
        <v>風</v>
      </c>
      <c r="D279" s="2" t="str">
        <f ca="1">IFERROR(__xludf.DUMMYFUNCTION("googletranslate(A278,""en"",""ja"")"),"風")</f>
        <v>風</v>
      </c>
    </row>
    <row r="280" spans="1:4" ht="14" x14ac:dyDescent="0.15">
      <c r="A280" s="1" t="s">
        <v>304</v>
      </c>
      <c r="B280" s="2" t="str">
        <f t="shared" ca="1" si="4"/>
        <v>ガサガサした葉</v>
      </c>
      <c r="D280" s="2" t="str">
        <f ca="1">IFERROR(__xludf.DUMMYFUNCTION("googletranslate(A279,""en"",""ja"")"),"ガサガサした葉")</f>
        <v>ガサガサした葉</v>
      </c>
    </row>
    <row r="281" spans="1:4" ht="14" x14ac:dyDescent="0.15">
      <c r="A281" s="1" t="s">
        <v>305</v>
      </c>
      <c r="B281" s="2" t="str">
        <f t="shared" ca="1" si="4"/>
        <v>風ノイズ（マイク）</v>
      </c>
      <c r="D281" s="2" t="str">
        <f ca="1">IFERROR(__xludf.DUMMYFUNCTION("googletranslate(A280,""en"",""ja"")"),"風ノイズ（マイク）")</f>
        <v>風ノイズ（マイク）</v>
      </c>
    </row>
    <row r="282" spans="1:4" ht="14" x14ac:dyDescent="0.15">
      <c r="A282" s="1" t="s">
        <v>306</v>
      </c>
      <c r="B282" s="2" t="str">
        <f t="shared" ca="1" si="4"/>
        <v>雷雨</v>
      </c>
      <c r="D282" s="2" t="str">
        <f ca="1">IFERROR(__xludf.DUMMYFUNCTION("googletranslate(A281,""en"",""ja"")"),"雷雨")</f>
        <v>雷雨</v>
      </c>
    </row>
    <row r="283" spans="1:4" ht="14" x14ac:dyDescent="0.15">
      <c r="A283" s="1" t="s">
        <v>307</v>
      </c>
      <c r="B283" s="2" t="str">
        <f t="shared" ca="1" si="4"/>
        <v>雷</v>
      </c>
      <c r="D283" s="2" t="str">
        <f ca="1">IFERROR(__xludf.DUMMYFUNCTION("googletranslate(A282,""en"",""ja"")"),"雷")</f>
        <v>雷</v>
      </c>
    </row>
    <row r="284" spans="1:4" ht="14" x14ac:dyDescent="0.15">
      <c r="A284" s="1" t="s">
        <v>308</v>
      </c>
      <c r="B284" s="2" t="str">
        <f t="shared" ca="1" si="4"/>
        <v>水</v>
      </c>
      <c r="D284" s="2" t="str">
        <f ca="1">IFERROR(__xludf.DUMMYFUNCTION("googletranslate(A283,""en"",""ja"")"),"水")</f>
        <v>水</v>
      </c>
    </row>
    <row r="285" spans="1:4" ht="14" x14ac:dyDescent="0.15">
      <c r="A285" s="1" t="s">
        <v>309</v>
      </c>
      <c r="B285" s="2" t="str">
        <f t="shared" ca="1" si="4"/>
        <v>雨</v>
      </c>
      <c r="D285" s="2" t="str">
        <f ca="1">IFERROR(__xludf.DUMMYFUNCTION("googletranslate(A284,""en"",""ja"")"),"雨")</f>
        <v>雨</v>
      </c>
    </row>
    <row r="286" spans="1:4" ht="14" x14ac:dyDescent="0.15">
      <c r="A286" s="1" t="s">
        <v>310</v>
      </c>
      <c r="B286" s="2" t="str">
        <f t="shared" ca="1" si="4"/>
        <v>雨滴</v>
      </c>
      <c r="D286" s="2" t="str">
        <f ca="1">IFERROR(__xludf.DUMMYFUNCTION("googletranslate(A285,""en"",""ja"")"),"雨滴")</f>
        <v>雨滴</v>
      </c>
    </row>
    <row r="287" spans="1:4" ht="14" x14ac:dyDescent="0.15">
      <c r="A287" s="1" t="s">
        <v>311</v>
      </c>
      <c r="B287" s="2" t="str">
        <f t="shared" ca="1" si="4"/>
        <v>表面の雨</v>
      </c>
      <c r="D287" s="2" t="str">
        <f ca="1">IFERROR(__xludf.DUMMYFUNCTION("googletranslate(A286,""en"",""ja"")"),"表面の雨")</f>
        <v>表面の雨</v>
      </c>
    </row>
    <row r="288" spans="1:4" ht="14" x14ac:dyDescent="0.15">
      <c r="A288" s="1" t="s">
        <v>312</v>
      </c>
      <c r="B288" s="2" t="str">
        <f t="shared" ca="1" si="4"/>
        <v>ストリーム</v>
      </c>
      <c r="D288" s="2" t="str">
        <f ca="1">IFERROR(__xludf.DUMMYFUNCTION("googletranslate(A287,""en"",""ja"")"),"ストリーム")</f>
        <v>ストリーム</v>
      </c>
    </row>
    <row r="289" spans="1:4" ht="14" x14ac:dyDescent="0.15">
      <c r="A289" s="1" t="s">
        <v>313</v>
      </c>
      <c r="B289" s="2" t="str">
        <f t="shared" ca="1" si="4"/>
        <v>滝</v>
      </c>
      <c r="D289" s="2" t="str">
        <f ca="1">IFERROR(__xludf.DUMMYFUNCTION("googletranslate(A288,""en"",""ja"")"),"滝")</f>
        <v>滝</v>
      </c>
    </row>
    <row r="290" spans="1:4" ht="14" x14ac:dyDescent="0.15">
      <c r="A290" s="1" t="s">
        <v>314</v>
      </c>
      <c r="B290" s="2" t="str">
        <f t="shared" ca="1" si="4"/>
        <v>海</v>
      </c>
      <c r="D290" s="2" t="str">
        <f ca="1">IFERROR(__xludf.DUMMYFUNCTION("googletranslate(A289,""en"",""ja"")"),"海")</f>
        <v>海</v>
      </c>
    </row>
    <row r="291" spans="1:4" ht="14" x14ac:dyDescent="0.15">
      <c r="A291" s="1" t="s">
        <v>315</v>
      </c>
      <c r="B291" s="2" t="str">
        <f t="shared" ca="1" si="4"/>
        <v>波、サーフィン</v>
      </c>
      <c r="D291" s="2" t="str">
        <f ca="1">IFERROR(__xludf.DUMMYFUNCTION("googletranslate(A290,""en"",""ja"")"),"波、サーフィン")</f>
        <v>波、サーフィン</v>
      </c>
    </row>
    <row r="292" spans="1:4" ht="14" x14ac:dyDescent="0.15">
      <c r="A292" s="1" t="s">
        <v>316</v>
      </c>
      <c r="B292" s="2" t="str">
        <f t="shared" ca="1" si="4"/>
        <v>蒸気</v>
      </c>
      <c r="D292" s="2" t="str">
        <f ca="1">IFERROR(__xludf.DUMMYFUNCTION("googletranslate(A291,""en"",""ja"")"),"蒸気")</f>
        <v>蒸気</v>
      </c>
    </row>
    <row r="293" spans="1:4" ht="14" x14ac:dyDescent="0.15">
      <c r="A293" s="1" t="s">
        <v>317</v>
      </c>
      <c r="B293" s="2" t="str">
        <f t="shared" ca="1" si="4"/>
        <v>ゴロゴロ</v>
      </c>
      <c r="D293" s="2" t="str">
        <f ca="1">IFERROR(__xludf.DUMMYFUNCTION("googletranslate(A292,""en"",""ja"")"),"ゴロゴロ")</f>
        <v>ゴロゴロ</v>
      </c>
    </row>
    <row r="294" spans="1:4" ht="14" x14ac:dyDescent="0.15">
      <c r="A294" s="1" t="s">
        <v>318</v>
      </c>
      <c r="B294" s="2" t="str">
        <f t="shared" ca="1" si="4"/>
        <v>火</v>
      </c>
      <c r="D294" s="2" t="str">
        <f ca="1">IFERROR(__xludf.DUMMYFUNCTION("googletranslate(A293,""en"",""ja"")"),"火")</f>
        <v>火</v>
      </c>
    </row>
    <row r="295" spans="1:4" ht="14" x14ac:dyDescent="0.15">
      <c r="A295" s="1" t="s">
        <v>319</v>
      </c>
      <c r="B295" s="2" t="str">
        <f t="shared" ca="1" si="4"/>
        <v>クラックル</v>
      </c>
      <c r="D295" s="2" t="str">
        <f ca="1">IFERROR(__xludf.DUMMYFUNCTION("googletranslate(A294,""en"",""ja"")"),"クラックル")</f>
        <v>クラックル</v>
      </c>
    </row>
    <row r="296" spans="1:4" ht="14" x14ac:dyDescent="0.15">
      <c r="A296" s="1" t="s">
        <v>320</v>
      </c>
      <c r="B296" s="2" t="str">
        <f t="shared" ca="1" si="4"/>
        <v>車両</v>
      </c>
      <c r="D296" s="2" t="str">
        <f ca="1">IFERROR(__xludf.DUMMYFUNCTION("googletranslate(A295,""en"",""ja"")"),"車両")</f>
        <v>車両</v>
      </c>
    </row>
    <row r="297" spans="1:4" ht="14" x14ac:dyDescent="0.15">
      <c r="A297" s="1" t="s">
        <v>321</v>
      </c>
      <c r="B297" s="2" t="str">
        <f t="shared" ca="1" si="4"/>
        <v>ボート、水乗り</v>
      </c>
      <c r="D297" s="2" t="str">
        <f ca="1">IFERROR(__xludf.DUMMYFUNCTION("googletranslate(A296,""en"",""ja"")"),"ボート、水乗り")</f>
        <v>ボート、水乗り</v>
      </c>
    </row>
    <row r="298" spans="1:4" ht="14" x14ac:dyDescent="0.15">
      <c r="A298" s="1" t="s">
        <v>322</v>
      </c>
      <c r="B298" s="2" t="str">
        <f t="shared" ca="1" si="4"/>
        <v>ヨット、帆船</v>
      </c>
      <c r="D298" s="2" t="str">
        <f ca="1">IFERROR(__xludf.DUMMYFUNCTION("googletranslate(A297,""en"",""ja"")"),"ヨット、帆船")</f>
        <v>ヨット、帆船</v>
      </c>
    </row>
    <row r="299" spans="1:4" ht="14" x14ac:dyDescent="0.15">
      <c r="A299" s="1" t="s">
        <v>323</v>
      </c>
      <c r="B299" s="2" t="str">
        <f t="shared" ca="1" si="4"/>
        <v>手rowぎボート、カヌー、カヤック</v>
      </c>
      <c r="D299" s="2" t="str">
        <f ca="1">IFERROR(__xludf.DUMMYFUNCTION("googletranslate(A298,""en"",""ja"")"),"手rowぎボート、カヌー、カヤック")</f>
        <v>手rowぎボート、カヌー、カヤック</v>
      </c>
    </row>
    <row r="300" spans="1:4" ht="14" x14ac:dyDescent="0.15">
      <c r="A300" s="1" t="s">
        <v>324</v>
      </c>
      <c r="B300" s="2" t="str">
        <f t="shared" ca="1" si="4"/>
        <v>モーターボート、スピードボート</v>
      </c>
      <c r="D300" s="2" t="str">
        <f ca="1">IFERROR(__xludf.DUMMYFUNCTION("googletranslate(A299,""en"",""ja"")"),"モーターボート、スピードボート")</f>
        <v>モーターボート、スピードボート</v>
      </c>
    </row>
    <row r="301" spans="1:4" ht="14" x14ac:dyDescent="0.15">
      <c r="A301" s="1" t="s">
        <v>325</v>
      </c>
      <c r="B301" s="2" t="str">
        <f t="shared" ca="1" si="4"/>
        <v>船</v>
      </c>
      <c r="D301" s="2" t="str">
        <f ca="1">IFERROR(__xludf.DUMMYFUNCTION("googletranslate(A300,""en"",""ja"")"),"船")</f>
        <v>船</v>
      </c>
    </row>
    <row r="302" spans="1:4" ht="14" x14ac:dyDescent="0.15">
      <c r="A302" s="1" t="s">
        <v>326</v>
      </c>
      <c r="B302" s="2" t="str">
        <f t="shared" ca="1" si="4"/>
        <v>自動車（道路）</v>
      </c>
      <c r="D302" s="2" t="str">
        <f ca="1">IFERROR(__xludf.DUMMYFUNCTION("googletranslate(A301,""en"",""ja"")"),"自動車（道路）")</f>
        <v>自動車（道路）</v>
      </c>
    </row>
    <row r="303" spans="1:4" ht="14" x14ac:dyDescent="0.15">
      <c r="A303" s="1" t="s">
        <v>327</v>
      </c>
      <c r="B303" s="2" t="str">
        <f t="shared" ca="1" si="4"/>
        <v>車</v>
      </c>
      <c r="D303" s="2" t="str">
        <f ca="1">IFERROR(__xludf.DUMMYFUNCTION("googletranslate(A302,""en"",""ja"")"),"車")</f>
        <v>車</v>
      </c>
    </row>
    <row r="304" spans="1:4" ht="14" x14ac:dyDescent="0.15">
      <c r="A304" s="1" t="s">
        <v>328</v>
      </c>
      <c r="B304" s="2" t="str">
        <f t="shared" ca="1" si="4"/>
        <v>車両の角、車のホーン、鳴きます</v>
      </c>
      <c r="D304" s="2" t="str">
        <f ca="1">IFERROR(__xludf.DUMMYFUNCTION("googletranslate(A303,""en"",""ja"")"),"車両の角、車のホーン、鳴きます")</f>
        <v>車両の角、車のホーン、鳴きます</v>
      </c>
    </row>
    <row r="305" spans="1:4" ht="14" x14ac:dyDescent="0.15">
      <c r="A305" s="1" t="s">
        <v>329</v>
      </c>
      <c r="B305" s="2" t="str">
        <f t="shared" ca="1" si="4"/>
        <v>トゥート</v>
      </c>
      <c r="D305" s="2" t="str">
        <f ca="1">IFERROR(__xludf.DUMMYFUNCTION("googletranslate(A304,""en"",""ja"")"),"トゥート")</f>
        <v>トゥート</v>
      </c>
    </row>
    <row r="306" spans="1:4" ht="14" x14ac:dyDescent="0.15">
      <c r="A306" s="1" t="s">
        <v>330</v>
      </c>
      <c r="B306" s="2" t="str">
        <f t="shared" ca="1" si="4"/>
        <v>車のアラーム</v>
      </c>
      <c r="D306" s="2" t="str">
        <f ca="1">IFERROR(__xludf.DUMMYFUNCTION("googletranslate(A305,""en"",""ja"")"),"車のアラーム")</f>
        <v>車のアラーム</v>
      </c>
    </row>
    <row r="307" spans="1:4" ht="14" x14ac:dyDescent="0.15">
      <c r="A307" s="1" t="s">
        <v>331</v>
      </c>
      <c r="B307" s="2" t="str">
        <f t="shared" ca="1" si="4"/>
        <v>パワーウィンドウ、電動窓</v>
      </c>
      <c r="D307" s="2" t="str">
        <f ca="1">IFERROR(__xludf.DUMMYFUNCTION("googletranslate(A306,""en"",""ja"")"),"パワーウィンドウ、電動窓")</f>
        <v>パワーウィンドウ、電動窓</v>
      </c>
    </row>
    <row r="308" spans="1:4" ht="14" x14ac:dyDescent="0.15">
      <c r="A308" s="1" t="s">
        <v>332</v>
      </c>
      <c r="B308" s="2" t="str">
        <f t="shared" ca="1" si="4"/>
        <v>スキッド</v>
      </c>
      <c r="D308" s="2" t="str">
        <f ca="1">IFERROR(__xludf.DUMMYFUNCTION("googletranslate(A307,""en"",""ja"")"),"スキッド")</f>
        <v>スキッド</v>
      </c>
    </row>
    <row r="309" spans="1:4" ht="14" x14ac:dyDescent="0.15">
      <c r="A309" s="1" t="s">
        <v>333</v>
      </c>
      <c r="B309" s="2" t="str">
        <f t="shared" ca="1" si="4"/>
        <v>タイヤの鳴き声</v>
      </c>
      <c r="D309" s="2" t="str">
        <f ca="1">IFERROR(__xludf.DUMMYFUNCTION("googletranslate(A308,""en"",""ja"")"),"タイヤの鳴き声")</f>
        <v>タイヤの鳴き声</v>
      </c>
    </row>
    <row r="310" spans="1:4" ht="14" x14ac:dyDescent="0.15">
      <c r="A310" s="1" t="s">
        <v>334</v>
      </c>
      <c r="B310" s="2" t="str">
        <f t="shared" ca="1" si="4"/>
        <v>通り過ぎる車</v>
      </c>
      <c r="D310" s="2" t="str">
        <f ca="1">IFERROR(__xludf.DUMMYFUNCTION("googletranslate(A309,""en"",""ja"")"),"通り過ぎる車")</f>
        <v>通り過ぎる車</v>
      </c>
    </row>
    <row r="311" spans="1:4" ht="14" x14ac:dyDescent="0.15">
      <c r="A311" s="1" t="s">
        <v>335</v>
      </c>
      <c r="B311" s="2" t="str">
        <f t="shared" ca="1" si="4"/>
        <v>レースカー、自動車レース</v>
      </c>
      <c r="D311" s="2" t="str">
        <f ca="1">IFERROR(__xludf.DUMMYFUNCTION("googletranslate(A310,""en"",""ja"")"),"レースカー、自動車レース")</f>
        <v>レースカー、自動車レース</v>
      </c>
    </row>
    <row r="312" spans="1:4" ht="14" x14ac:dyDescent="0.15">
      <c r="A312" s="1" t="s">
        <v>336</v>
      </c>
      <c r="B312" s="2" t="str">
        <f t="shared" ca="1" si="4"/>
        <v>トラック</v>
      </c>
      <c r="D312" s="2" t="str">
        <f ca="1">IFERROR(__xludf.DUMMYFUNCTION("googletranslate(A311,""en"",""ja"")"),"トラック")</f>
        <v>トラック</v>
      </c>
    </row>
    <row r="313" spans="1:4" ht="14" x14ac:dyDescent="0.15">
      <c r="A313" s="1" t="s">
        <v>337</v>
      </c>
      <c r="B313" s="2" t="str">
        <f t="shared" ca="1" si="4"/>
        <v>エアブレーキ</v>
      </c>
      <c r="D313" s="2" t="str">
        <f ca="1">IFERROR(__xludf.DUMMYFUNCTION("googletranslate(A312,""en"",""ja"")"),"エアブレーキ")</f>
        <v>エアブレーキ</v>
      </c>
    </row>
    <row r="314" spans="1:4" ht="14" x14ac:dyDescent="0.15">
      <c r="A314" s="1" t="s">
        <v>338</v>
      </c>
      <c r="B314" s="2" t="str">
        <f t="shared" ca="1" si="4"/>
        <v>エアホーン、トラックホーン</v>
      </c>
      <c r="D314" s="2" t="str">
        <f ca="1">IFERROR(__xludf.DUMMYFUNCTION("googletranslate(A313,""en"",""ja"")"),"エアホーン、トラックホーン")</f>
        <v>エアホーン、トラックホーン</v>
      </c>
    </row>
    <row r="315" spans="1:4" ht="14" x14ac:dyDescent="0.15">
      <c r="A315" s="1" t="s">
        <v>339</v>
      </c>
      <c r="B315" s="2" t="str">
        <f t="shared" ca="1" si="4"/>
        <v>ビープ音の逆</v>
      </c>
      <c r="D315" s="2" t="str">
        <f ca="1">IFERROR(__xludf.DUMMYFUNCTION("googletranslate(A314,""en"",""ja"")"),"ビープ音の逆")</f>
        <v>ビープ音の逆</v>
      </c>
    </row>
    <row r="316" spans="1:4" ht="14" x14ac:dyDescent="0.15">
      <c r="A316" s="1" t="s">
        <v>340</v>
      </c>
      <c r="B316" s="2" t="str">
        <f t="shared" ca="1" si="4"/>
        <v>アイスクリームトラック、アイスクリームバン</v>
      </c>
      <c r="D316" s="2" t="str">
        <f ca="1">IFERROR(__xludf.DUMMYFUNCTION("googletranslate(A315,""en"",""ja"")"),"アイスクリームトラック、アイスクリームバン")</f>
        <v>アイスクリームトラック、アイスクリームバン</v>
      </c>
    </row>
    <row r="317" spans="1:4" ht="14" x14ac:dyDescent="0.15">
      <c r="A317" s="1" t="s">
        <v>341</v>
      </c>
      <c r="B317" s="2" t="str">
        <f t="shared" ca="1" si="4"/>
        <v>バス</v>
      </c>
      <c r="D317" s="2" t="str">
        <f ca="1">IFERROR(__xludf.DUMMYFUNCTION("googletranslate(A316,""en"",""ja"")"),"バス")</f>
        <v>バス</v>
      </c>
    </row>
    <row r="318" spans="1:4" ht="14" x14ac:dyDescent="0.15">
      <c r="A318" s="1" t="s">
        <v>342</v>
      </c>
      <c r="B318" s="2" t="str">
        <f t="shared" ca="1" si="4"/>
        <v>緊急車両</v>
      </c>
      <c r="D318" s="2" t="str">
        <f ca="1">IFERROR(__xludf.DUMMYFUNCTION("googletranslate(A317,""en"",""ja"")"),"緊急車両")</f>
        <v>緊急車両</v>
      </c>
    </row>
    <row r="319" spans="1:4" ht="14" x14ac:dyDescent="0.15">
      <c r="A319" s="1" t="s">
        <v>343</v>
      </c>
      <c r="B319" s="2" t="str">
        <f t="shared" ca="1" si="4"/>
        <v>パトカー（サイレン）</v>
      </c>
      <c r="D319" s="2" t="str">
        <f ca="1">IFERROR(__xludf.DUMMYFUNCTION("googletranslate(A318,""en"",""ja"")"),"パトカー（サイレン）")</f>
        <v>パトカー（サイレン）</v>
      </c>
    </row>
    <row r="320" spans="1:4" ht="14" x14ac:dyDescent="0.15">
      <c r="A320" s="1" t="s">
        <v>344</v>
      </c>
      <c r="B320" s="2" t="str">
        <f t="shared" ca="1" si="4"/>
        <v>救急車（サイレン）</v>
      </c>
      <c r="D320" s="2" t="str">
        <f ca="1">IFERROR(__xludf.DUMMYFUNCTION("googletranslate(A319,""en"",""ja"")"),"救急車（サイレン）")</f>
        <v>救急車（サイレン）</v>
      </c>
    </row>
    <row r="321" spans="1:4" ht="14" x14ac:dyDescent="0.15">
      <c r="A321" s="1" t="s">
        <v>345</v>
      </c>
      <c r="B321" s="2" t="str">
        <f t="shared" ca="1" si="4"/>
        <v>消防車、消防車（サイレン）</v>
      </c>
      <c r="D321" s="2" t="str">
        <f ca="1">IFERROR(__xludf.DUMMYFUNCTION("googletranslate(A320,""en"",""ja"")"),"消防車、消防車（サイレン）")</f>
        <v>消防車、消防車（サイレン）</v>
      </c>
    </row>
    <row r="322" spans="1:4" ht="14" x14ac:dyDescent="0.15">
      <c r="A322" s="1" t="s">
        <v>346</v>
      </c>
      <c r="B322" s="2" t="str">
        <f t="shared" ref="B322:B385" ca="1" si="5">IF(C322="",D322,C322)</f>
        <v>オートバイ</v>
      </c>
      <c r="D322" s="2" t="str">
        <f ca="1">IFERROR(__xludf.DUMMYFUNCTION("googletranslate(A321,""en"",""ja"")"),"オートバイ")</f>
        <v>オートバイ</v>
      </c>
    </row>
    <row r="323" spans="1:4" ht="14" x14ac:dyDescent="0.15">
      <c r="A323" s="1" t="s">
        <v>347</v>
      </c>
      <c r="B323" s="2" t="str">
        <f t="shared" ca="1" si="5"/>
        <v>交通騒音、道路騒音</v>
      </c>
      <c r="D323" s="2" t="str">
        <f ca="1">IFERROR(__xludf.DUMMYFUNCTION("googletranslate(A322,""en"",""ja"")"),"交通騒音、道路騒音")</f>
        <v>交通騒音、道路騒音</v>
      </c>
    </row>
    <row r="324" spans="1:4" ht="14" x14ac:dyDescent="0.15">
      <c r="A324" s="1" t="s">
        <v>348</v>
      </c>
      <c r="B324" s="2" t="str">
        <f t="shared" ca="1" si="5"/>
        <v>鉄道輸送</v>
      </c>
      <c r="D324" s="2" t="str">
        <f ca="1">IFERROR(__xludf.DUMMYFUNCTION("googletranslate(A323,""en"",""ja"")"),"鉄道輸送")</f>
        <v>鉄道輸送</v>
      </c>
    </row>
    <row r="325" spans="1:4" ht="14" x14ac:dyDescent="0.15">
      <c r="A325" s="1" t="s">
        <v>349</v>
      </c>
      <c r="B325" s="2" t="str">
        <f t="shared" ca="1" si="5"/>
        <v>電車</v>
      </c>
      <c r="D325" s="2" t="str">
        <f ca="1">IFERROR(__xludf.DUMMYFUNCTION("googletranslate(A324,""en"",""ja"")"),"電車")</f>
        <v>電車</v>
      </c>
    </row>
    <row r="326" spans="1:4" ht="14" x14ac:dyDescent="0.15">
      <c r="A326" s="1" t="s">
        <v>350</v>
      </c>
      <c r="B326" s="2" t="str">
        <f t="shared" ca="1" si="5"/>
        <v>ホイッスルを訓練します</v>
      </c>
      <c r="D326" s="2" t="str">
        <f ca="1">IFERROR(__xludf.DUMMYFUNCTION("googletranslate(A325,""en"",""ja"")"),"ホイッスルを訓練します")</f>
        <v>ホイッスルを訓練します</v>
      </c>
    </row>
    <row r="327" spans="1:4" ht="14" x14ac:dyDescent="0.15">
      <c r="A327" s="1" t="s">
        <v>351</v>
      </c>
      <c r="B327" s="2" t="str">
        <f t="shared" ca="1" si="5"/>
        <v>ホーンを訓練します</v>
      </c>
      <c r="D327" s="2" t="str">
        <f ca="1">IFERROR(__xludf.DUMMYFUNCTION("googletranslate(A326,""en"",""ja"")"),"ホーンを訓練します")</f>
        <v>ホーンを訓練します</v>
      </c>
    </row>
    <row r="328" spans="1:4" ht="14" x14ac:dyDescent="0.15">
      <c r="A328" s="1" t="s">
        <v>352</v>
      </c>
      <c r="B328" s="2" t="str">
        <f t="shared" ca="1" si="5"/>
        <v>鉄道車両、電車ワゴン</v>
      </c>
      <c r="D328" s="2" t="str">
        <f ca="1">IFERROR(__xludf.DUMMYFUNCTION("googletranslate(A327,""en"",""ja"")"),"鉄道車両、電車ワゴン")</f>
        <v>鉄道車両、電車ワゴン</v>
      </c>
    </row>
    <row r="329" spans="1:4" ht="14" x14ac:dyDescent="0.15">
      <c r="A329" s="1" t="s">
        <v>353</v>
      </c>
      <c r="B329" s="2" t="str">
        <f t="shared" ca="1" si="5"/>
        <v>列車の鳴き声を鳴らす</v>
      </c>
      <c r="D329" s="2" t="str">
        <f ca="1">IFERROR(__xludf.DUMMYFUNCTION("googletranslate(A328,""en"",""ja"")"),"列車の鳴き声を鳴らす")</f>
        <v>列車の鳴き声を鳴らす</v>
      </c>
    </row>
    <row r="330" spans="1:4" ht="14" x14ac:dyDescent="0.15">
      <c r="A330" s="1" t="s">
        <v>354</v>
      </c>
      <c r="B330" s="2" t="str">
        <f t="shared" ca="1" si="5"/>
        <v>地下鉄、地下鉄、地下</v>
      </c>
      <c r="D330" s="2" t="str">
        <f ca="1">IFERROR(__xludf.DUMMYFUNCTION("googletranslate(A329,""en"",""ja"")"),"地下鉄、地下鉄、地下")</f>
        <v>地下鉄、地下鉄、地下</v>
      </c>
    </row>
    <row r="331" spans="1:4" ht="14" x14ac:dyDescent="0.15">
      <c r="A331" s="1" t="s">
        <v>355</v>
      </c>
      <c r="B331" s="2" t="str">
        <f t="shared" ca="1" si="5"/>
        <v>航空機</v>
      </c>
      <c r="D331" s="2" t="str">
        <f ca="1">IFERROR(__xludf.DUMMYFUNCTION("googletranslate(A330,""en"",""ja"")"),"航空機")</f>
        <v>航空機</v>
      </c>
    </row>
    <row r="332" spans="1:4" ht="14" x14ac:dyDescent="0.15">
      <c r="A332" s="1" t="s">
        <v>356</v>
      </c>
      <c r="B332" s="2" t="str">
        <f t="shared" ca="1" si="5"/>
        <v>航空機エンジン</v>
      </c>
      <c r="D332" s="2" t="str">
        <f ca="1">IFERROR(__xludf.DUMMYFUNCTION("googletranslate(A331,""en"",""ja"")"),"航空機エンジン")</f>
        <v>航空機エンジン</v>
      </c>
    </row>
    <row r="333" spans="1:4" ht="14" x14ac:dyDescent="0.15">
      <c r="A333" s="1" t="s">
        <v>357</v>
      </c>
      <c r="B333" s="2" t="str">
        <f t="shared" ca="1" si="5"/>
        <v>ジェットエンジン</v>
      </c>
      <c r="D333" s="2" t="str">
        <f ca="1">IFERROR(__xludf.DUMMYFUNCTION("googletranslate(A332,""en"",""ja"")"),"ジェットエンジン")</f>
        <v>ジェットエンジン</v>
      </c>
    </row>
    <row r="334" spans="1:4" ht="14" x14ac:dyDescent="0.15">
      <c r="A334" s="1" t="s">
        <v>358</v>
      </c>
      <c r="B334" s="2" t="str">
        <f t="shared" ca="1" si="5"/>
        <v>プロペラ、エアスクリュー</v>
      </c>
      <c r="D334" s="2" t="str">
        <f ca="1">IFERROR(__xludf.DUMMYFUNCTION("googletranslate(A333,""en"",""ja"")"),"プロペラ、エアスクリュー")</f>
        <v>プロペラ、エアスクリュー</v>
      </c>
    </row>
    <row r="335" spans="1:4" ht="14" x14ac:dyDescent="0.15">
      <c r="A335" s="1" t="s">
        <v>359</v>
      </c>
      <c r="B335" s="2" t="str">
        <f t="shared" ca="1" si="5"/>
        <v>ヘリコプター</v>
      </c>
      <c r="D335" s="2" t="str">
        <f ca="1">IFERROR(__xludf.DUMMYFUNCTION("googletranslate(A334,""en"",""ja"")"),"ヘリコプター")</f>
        <v>ヘリコプター</v>
      </c>
    </row>
    <row r="336" spans="1:4" ht="14" x14ac:dyDescent="0.15">
      <c r="A336" s="1" t="s">
        <v>360</v>
      </c>
      <c r="B336" s="2" t="str">
        <f t="shared" ca="1" si="5"/>
        <v>固定翼航空機、飛行機</v>
      </c>
      <c r="D336" s="2" t="str">
        <f ca="1">IFERROR(__xludf.DUMMYFUNCTION("googletranslate(A335,""en"",""ja"")"),"固定翼航空機、飛行機")</f>
        <v>固定翼航空機、飛行機</v>
      </c>
    </row>
    <row r="337" spans="1:4" ht="14" x14ac:dyDescent="0.15">
      <c r="A337" s="1" t="s">
        <v>361</v>
      </c>
      <c r="B337" s="2" t="str">
        <f t="shared" ca="1" si="5"/>
        <v>自転車</v>
      </c>
      <c r="D337" s="2" t="str">
        <f ca="1">IFERROR(__xludf.DUMMYFUNCTION("googletranslate(A336,""en"",""ja"")"),"自転車")</f>
        <v>自転車</v>
      </c>
    </row>
    <row r="338" spans="1:4" ht="14" x14ac:dyDescent="0.15">
      <c r="A338" s="1" t="s">
        <v>362</v>
      </c>
      <c r="B338" s="2" t="str">
        <f t="shared" ca="1" si="5"/>
        <v>スケートボード</v>
      </c>
      <c r="D338" s="2" t="str">
        <f ca="1">IFERROR(__xludf.DUMMYFUNCTION("googletranslate(A337,""en"",""ja"")"),"スケートボード")</f>
        <v>スケートボード</v>
      </c>
    </row>
    <row r="339" spans="1:4" ht="14" x14ac:dyDescent="0.15">
      <c r="A339" s="1" t="s">
        <v>363</v>
      </c>
      <c r="B339" s="2" t="str">
        <f t="shared" ca="1" si="5"/>
        <v>エンジン</v>
      </c>
      <c r="D339" s="2" t="str">
        <f ca="1">IFERROR(__xludf.DUMMYFUNCTION("googletranslate(A338,""en"",""ja"")"),"エンジン")</f>
        <v>エンジン</v>
      </c>
    </row>
    <row r="340" spans="1:4" ht="14" x14ac:dyDescent="0.15">
      <c r="A340" s="1" t="s">
        <v>364</v>
      </c>
      <c r="B340" s="2" t="str">
        <f t="shared" ca="1" si="5"/>
        <v>ライトエンジン（高周波）</v>
      </c>
      <c r="D340" s="2" t="str">
        <f ca="1">IFERROR(__xludf.DUMMYFUNCTION("googletranslate(A339,""en"",""ja"")"),"ライトエンジン（高周波）")</f>
        <v>ライトエンジン（高周波）</v>
      </c>
    </row>
    <row r="341" spans="1:4" ht="14" x14ac:dyDescent="0.15">
      <c r="A341" s="1" t="s">
        <v>365</v>
      </c>
      <c r="B341" s="2" t="str">
        <f t="shared" ca="1" si="5"/>
        <v>歯科用ドリル、歯科医のドリル</v>
      </c>
      <c r="D341" s="2" t="str">
        <f ca="1">IFERROR(__xludf.DUMMYFUNCTION("googletranslate(A340,""en"",""ja"")"),"歯科用ドリル、歯科医のドリル")</f>
        <v>歯科用ドリル、歯科医のドリル</v>
      </c>
    </row>
    <row r="342" spans="1:4" ht="14" x14ac:dyDescent="0.15">
      <c r="A342" s="1" t="s">
        <v>366</v>
      </c>
      <c r="B342" s="2" t="str">
        <f t="shared" ca="1" si="5"/>
        <v>芝刈り機</v>
      </c>
      <c r="D342" s="2" t="str">
        <f ca="1">IFERROR(__xludf.DUMMYFUNCTION("googletranslate(A341,""en"",""ja"")"),"芝刈り機")</f>
        <v>芝刈り機</v>
      </c>
    </row>
    <row r="343" spans="1:4" ht="14" x14ac:dyDescent="0.15">
      <c r="A343" s="1" t="s">
        <v>367</v>
      </c>
      <c r="B343" s="2" t="str">
        <f t="shared" ca="1" si="5"/>
        <v>チェーンソー</v>
      </c>
      <c r="D343" s="2" t="str">
        <f ca="1">IFERROR(__xludf.DUMMYFUNCTION("googletranslate(A342,""en"",""ja"")"),"チェーンソー")</f>
        <v>チェーンソー</v>
      </c>
    </row>
    <row r="344" spans="1:4" ht="14" x14ac:dyDescent="0.15">
      <c r="A344" s="1" t="s">
        <v>368</v>
      </c>
      <c r="B344" s="2" t="str">
        <f t="shared" ca="1" si="5"/>
        <v>中程度のエンジン（周波数中期）</v>
      </c>
      <c r="D344" s="2" t="str">
        <f ca="1">IFERROR(__xludf.DUMMYFUNCTION("googletranslate(A343,""en"",""ja"")"),"中程度のエンジン（周波数中期）")</f>
        <v>中程度のエンジン（周波数中期）</v>
      </c>
    </row>
    <row r="345" spans="1:4" ht="14" x14ac:dyDescent="0.15">
      <c r="A345" s="1" t="s">
        <v>369</v>
      </c>
      <c r="B345" s="2" t="str">
        <f t="shared" ca="1" si="5"/>
        <v>重いエンジン（低周波）</v>
      </c>
      <c r="D345" s="2" t="str">
        <f ca="1">IFERROR(__xludf.DUMMYFUNCTION("googletranslate(A344,""en"",""ja"")"),"重いエンジン（低周波）")</f>
        <v>重いエンジン（低周波）</v>
      </c>
    </row>
    <row r="346" spans="1:4" ht="14" x14ac:dyDescent="0.15">
      <c r="A346" s="1" t="s">
        <v>370</v>
      </c>
      <c r="B346" s="2" t="str">
        <f t="shared" ca="1" si="5"/>
        <v>エンジンノック</v>
      </c>
      <c r="D346" s="2" t="str">
        <f ca="1">IFERROR(__xludf.DUMMYFUNCTION("googletranslate(A345,""en"",""ja"")"),"エンジンノック")</f>
        <v>エンジンノック</v>
      </c>
    </row>
    <row r="347" spans="1:4" ht="14" x14ac:dyDescent="0.15">
      <c r="A347" s="1" t="s">
        <v>371</v>
      </c>
      <c r="B347" s="2" t="str">
        <f t="shared" ca="1" si="5"/>
        <v>エンジンの開始</v>
      </c>
      <c r="D347" s="2" t="str">
        <f ca="1">IFERROR(__xludf.DUMMYFUNCTION("googletranslate(A346,""en"",""ja"")"),"エンジンの開始")</f>
        <v>エンジンの開始</v>
      </c>
    </row>
    <row r="348" spans="1:4" ht="14" x14ac:dyDescent="0.15">
      <c r="A348" s="1" t="s">
        <v>372</v>
      </c>
      <c r="B348" s="2" t="str">
        <f t="shared" ca="1" si="5"/>
        <v>アイドリング</v>
      </c>
      <c r="D348" s="2" t="str">
        <f ca="1">IFERROR(__xludf.DUMMYFUNCTION("googletranslate(A347,""en"",""ja"")"),"アイドリング")</f>
        <v>アイドリング</v>
      </c>
    </row>
    <row r="349" spans="1:4" ht="14" x14ac:dyDescent="0.15">
      <c r="A349" s="1" t="s">
        <v>373</v>
      </c>
      <c r="B349" s="2" t="str">
        <f t="shared" si="5"/>
        <v>加速、回転、ブルーン</v>
      </c>
      <c r="C349" s="2" t="s">
        <v>635</v>
      </c>
      <c r="D349" s="2" t="str">
        <f ca="1">IFERROR(__xludf.DUMMYFUNCTION("googletranslate(A348,""en"",""ja"")"),"加速、回転、vroom")</f>
        <v>加速、回転、vroom</v>
      </c>
    </row>
    <row r="350" spans="1:4" ht="14" x14ac:dyDescent="0.15">
      <c r="A350" s="1" t="s">
        <v>374</v>
      </c>
      <c r="B350" s="2" t="str">
        <f t="shared" ca="1" si="5"/>
        <v>ドア</v>
      </c>
      <c r="D350" s="2" t="str">
        <f ca="1">IFERROR(__xludf.DUMMYFUNCTION("googletranslate(A349,""en"",""ja"")"),"ドア")</f>
        <v>ドア</v>
      </c>
    </row>
    <row r="351" spans="1:4" ht="14" x14ac:dyDescent="0.15">
      <c r="A351" s="1" t="s">
        <v>375</v>
      </c>
      <c r="B351" s="2" t="str">
        <f t="shared" ca="1" si="5"/>
        <v>ドアベル</v>
      </c>
      <c r="D351" s="2" t="str">
        <f ca="1">IFERROR(__xludf.DUMMYFUNCTION("googletranslate(A350,""en"",""ja"")"),"ドアベル")</f>
        <v>ドアベル</v>
      </c>
    </row>
    <row r="352" spans="1:4" ht="14" x14ac:dyDescent="0.15">
      <c r="A352" s="1" t="s">
        <v>376</v>
      </c>
      <c r="B352" s="2" t="str">
        <f t="shared" si="5"/>
        <v>キンコン（鐘）</v>
      </c>
      <c r="C352" s="5" t="s">
        <v>634</v>
      </c>
      <c r="D352" s="2" t="str">
        <f ca="1">IFERROR(__xludf.DUMMYFUNCTION("googletranslate(A351,""en"",""ja"")"),"ディンドン")</f>
        <v>ディンドン</v>
      </c>
    </row>
    <row r="353" spans="1:4" ht="14" x14ac:dyDescent="0.15">
      <c r="A353" s="1" t="s">
        <v>377</v>
      </c>
      <c r="B353" s="2" t="str">
        <f t="shared" ca="1" si="5"/>
        <v>引き戸</v>
      </c>
      <c r="D353" s="2" t="str">
        <f ca="1">IFERROR(__xludf.DUMMYFUNCTION("googletranslate(A352,""en"",""ja"")"),"引き戸")</f>
        <v>引き戸</v>
      </c>
    </row>
    <row r="354" spans="1:4" ht="14" x14ac:dyDescent="0.15">
      <c r="A354" s="1" t="s">
        <v>378</v>
      </c>
      <c r="B354" s="2" t="str">
        <f t="shared" si="5"/>
        <v>強く打つ音</v>
      </c>
      <c r="C354" s="5" t="s">
        <v>636</v>
      </c>
      <c r="D354" s="2" t="str">
        <f ca="1">IFERROR(__xludf.DUMMYFUNCTION("googletranslate(A353,""en"",""ja"")"),"スラム")</f>
        <v>スラム</v>
      </c>
    </row>
    <row r="355" spans="1:4" ht="14" x14ac:dyDescent="0.15">
      <c r="A355" s="1" t="s">
        <v>379</v>
      </c>
      <c r="B355" s="2" t="str">
        <f t="shared" ca="1" si="5"/>
        <v>ノック</v>
      </c>
      <c r="D355" s="2" t="str">
        <f ca="1">IFERROR(__xludf.DUMMYFUNCTION("googletranslate(A354,""en"",""ja"")"),"ノック")</f>
        <v>ノック</v>
      </c>
    </row>
    <row r="356" spans="1:4" ht="14" x14ac:dyDescent="0.15">
      <c r="A356" s="1" t="s">
        <v>380</v>
      </c>
      <c r="B356" s="2" t="str">
        <f t="shared" si="5"/>
        <v>タップ音</v>
      </c>
      <c r="C356" s="5" t="s">
        <v>633</v>
      </c>
      <c r="D356" s="2" t="str">
        <f ca="1">IFERROR(__xludf.DUMMYFUNCTION("googletranslate(A355,""en"",""ja"")"),"タップします")</f>
        <v>タップします</v>
      </c>
    </row>
    <row r="357" spans="1:4" ht="14" x14ac:dyDescent="0.15">
      <c r="A357" s="1" t="s">
        <v>381</v>
      </c>
      <c r="B357" s="2" t="str">
        <f t="shared" si="5"/>
        <v>きしみ音</v>
      </c>
      <c r="C357" s="5" t="s">
        <v>632</v>
      </c>
      <c r="D357" s="2" t="str">
        <f ca="1">IFERROR(__xludf.DUMMYFUNCTION("googletranslate(A356,""en"",""ja"")"),"きしむ")</f>
        <v>きしむ</v>
      </c>
    </row>
    <row r="358" spans="1:4" ht="14" x14ac:dyDescent="0.15">
      <c r="A358" s="1" t="s">
        <v>382</v>
      </c>
      <c r="B358" s="2" t="str">
        <f t="shared" si="5"/>
        <v>食器棚の開閉音</v>
      </c>
      <c r="C358" s="5" t="s">
        <v>637</v>
      </c>
      <c r="D358" s="2" t="str">
        <f ca="1">IFERROR(__xludf.DUMMYFUNCTION("googletranslate(A357,""en"",""ja"")"),"カップボードを開閉します")</f>
        <v>カップボードを開閉します</v>
      </c>
    </row>
    <row r="359" spans="1:4" ht="14" x14ac:dyDescent="0.15">
      <c r="A359" s="1" t="s">
        <v>383</v>
      </c>
      <c r="B359" s="2" t="str">
        <f t="shared" si="5"/>
        <v>引き出しの開閉音</v>
      </c>
      <c r="C359" s="5" t="s">
        <v>638</v>
      </c>
      <c r="D359" s="2" t="str">
        <f ca="1">IFERROR(__xludf.DUMMYFUNCTION("googletranslate(A358,""en"",""ja"")"),"引き出しまたは閉じます")</f>
        <v>引き出しまたは閉じます</v>
      </c>
    </row>
    <row r="360" spans="1:4" ht="14" x14ac:dyDescent="0.15">
      <c r="A360" s="1" t="s">
        <v>384</v>
      </c>
      <c r="B360" s="2" t="str">
        <f t="shared" ca="1" si="5"/>
        <v>皿、鍋、フライパン</v>
      </c>
      <c r="D360" s="2" t="str">
        <f ca="1">IFERROR(__xludf.DUMMYFUNCTION("googletranslate(A359,""en"",""ja"")"),"皿、鍋、フライパン")</f>
        <v>皿、鍋、フライパン</v>
      </c>
    </row>
    <row r="361" spans="1:4" ht="14" x14ac:dyDescent="0.15">
      <c r="A361" s="1" t="s">
        <v>385</v>
      </c>
      <c r="B361" s="2" t="str">
        <f t="shared" ca="1" si="5"/>
        <v>カトラリー、銀器</v>
      </c>
      <c r="D361" s="2" t="str">
        <f ca="1">IFERROR(__xludf.DUMMYFUNCTION("googletranslate(A360,""en"",""ja"")"),"カトラリー、銀器")</f>
        <v>カトラリー、銀器</v>
      </c>
    </row>
    <row r="362" spans="1:4" ht="14" x14ac:dyDescent="0.15">
      <c r="A362" s="1" t="s">
        <v>386</v>
      </c>
      <c r="B362" s="2" t="str">
        <f t="shared" si="5"/>
        <v>みじん切り</v>
      </c>
      <c r="C362" s="5" t="s">
        <v>601</v>
      </c>
      <c r="D362" s="2" t="str">
        <f ca="1">IFERROR(__xludf.DUMMYFUNCTION("googletranslate(A361,""en"",""ja"")"),"チョッピング（食べ物）")</f>
        <v>チョッピング（食べ物）</v>
      </c>
    </row>
    <row r="363" spans="1:4" ht="14" x14ac:dyDescent="0.15">
      <c r="A363" s="1" t="s">
        <v>387</v>
      </c>
      <c r="B363" s="2" t="str">
        <f t="shared" ca="1" si="5"/>
        <v>揚げ物（食べ物）</v>
      </c>
      <c r="D363" s="2" t="str">
        <f ca="1">IFERROR(__xludf.DUMMYFUNCTION("googletranslate(A362,""en"",""ja"")"),"揚げ物（食べ物）")</f>
        <v>揚げ物（食べ物）</v>
      </c>
    </row>
    <row r="364" spans="1:4" ht="14" x14ac:dyDescent="0.15">
      <c r="A364" s="1" t="s">
        <v>388</v>
      </c>
      <c r="B364" s="2" t="str">
        <f t="shared" si="5"/>
        <v>電子レンジ</v>
      </c>
      <c r="C364" s="5" t="s">
        <v>602</v>
      </c>
      <c r="D364" s="2" t="str">
        <f ca="1">IFERROR(__xludf.DUMMYFUNCTION("googletranslate(A363,""en"",""ja"")"),"マイクロ波オーブン")</f>
        <v>マイクロ波オーブン</v>
      </c>
    </row>
    <row r="365" spans="1:4" ht="14" x14ac:dyDescent="0.15">
      <c r="A365" s="1" t="s">
        <v>389</v>
      </c>
      <c r="B365" s="2" t="str">
        <f t="shared" si="5"/>
        <v>電気ミキサー</v>
      </c>
      <c r="C365" s="5" t="s">
        <v>639</v>
      </c>
      <c r="D365" s="2" t="str">
        <f ca="1">IFERROR(__xludf.DUMMYFUNCTION("googletranslate(A364,""en"",""ja"")"),"ブレンダー")</f>
        <v>ブレンダー</v>
      </c>
    </row>
    <row r="366" spans="1:4" ht="14" x14ac:dyDescent="0.15">
      <c r="A366" s="1" t="s">
        <v>390</v>
      </c>
      <c r="B366" s="2" t="str">
        <f t="shared" ca="1" si="5"/>
        <v>蛇口、蛇口</v>
      </c>
      <c r="D366" s="2" t="str">
        <f ca="1">IFERROR(__xludf.DUMMYFUNCTION("googletranslate(A365,""en"",""ja"")"),"蛇口、蛇口")</f>
        <v>蛇口、蛇口</v>
      </c>
    </row>
    <row r="367" spans="1:4" ht="14" x14ac:dyDescent="0.15">
      <c r="A367" s="1" t="s">
        <v>391</v>
      </c>
      <c r="B367" s="2" t="str">
        <f t="shared" ca="1" si="5"/>
        <v>シンク（充填または洗浄）</v>
      </c>
      <c r="D367" s="2" t="str">
        <f ca="1">IFERROR(__xludf.DUMMYFUNCTION("googletranslate(A366,""en"",""ja"")"),"シンク（充填または洗浄）")</f>
        <v>シンク（充填または洗浄）</v>
      </c>
    </row>
    <row r="368" spans="1:4" ht="14" x14ac:dyDescent="0.15">
      <c r="A368" s="1" t="s">
        <v>392</v>
      </c>
      <c r="B368" s="2" t="str">
        <f t="shared" ca="1" si="5"/>
        <v>バスタブ（充填または洗浄）</v>
      </c>
      <c r="D368" s="2" t="str">
        <f ca="1">IFERROR(__xludf.DUMMYFUNCTION("googletranslate(A367,""en"",""ja"")"),"バスタブ（充填または洗浄）")</f>
        <v>バスタブ（充填または洗浄）</v>
      </c>
    </row>
    <row r="369" spans="1:4" ht="14" x14ac:dyDescent="0.15">
      <c r="A369" s="1" t="s">
        <v>393</v>
      </c>
      <c r="B369" s="2" t="str">
        <f t="shared" ca="1" si="5"/>
        <v>ヘアドライヤー</v>
      </c>
      <c r="D369" s="2" t="str">
        <f ca="1">IFERROR(__xludf.DUMMYFUNCTION("googletranslate(A368,""en"",""ja"")"),"ヘアドライヤー")</f>
        <v>ヘアドライヤー</v>
      </c>
    </row>
    <row r="370" spans="1:4" ht="14" x14ac:dyDescent="0.15">
      <c r="A370" s="1" t="s">
        <v>394</v>
      </c>
      <c r="B370" s="2" t="str">
        <f t="shared" si="5"/>
        <v>トイレの流す音</v>
      </c>
      <c r="C370" s="5" t="s">
        <v>640</v>
      </c>
      <c r="D370" s="2" t="str">
        <f ca="1">IFERROR(__xludf.DUMMYFUNCTION("googletranslate(A369,""en"",""ja"")"),"トイレフラッシュ")</f>
        <v>トイレフラッシュ</v>
      </c>
    </row>
    <row r="371" spans="1:4" ht="14" x14ac:dyDescent="0.15">
      <c r="A371" s="1" t="s">
        <v>395</v>
      </c>
      <c r="B371" s="2" t="str">
        <f t="shared" ca="1" si="5"/>
        <v>歯ブラシ</v>
      </c>
      <c r="D371" s="2" t="str">
        <f ca="1">IFERROR(__xludf.DUMMYFUNCTION("googletranslate(A370,""en"",""ja"")"),"歯ブラシ")</f>
        <v>歯ブラシ</v>
      </c>
    </row>
    <row r="372" spans="1:4" ht="14" x14ac:dyDescent="0.15">
      <c r="A372" s="1" t="s">
        <v>396</v>
      </c>
      <c r="B372" s="2" t="str">
        <f t="shared" ca="1" si="5"/>
        <v>電動歯ブラシ</v>
      </c>
      <c r="D372" s="2" t="str">
        <f ca="1">IFERROR(__xludf.DUMMYFUNCTION("googletranslate(A371,""en"",""ja"")"),"電動歯ブラシ")</f>
        <v>電動歯ブラシ</v>
      </c>
    </row>
    <row r="373" spans="1:4" ht="14" x14ac:dyDescent="0.15">
      <c r="A373" s="1" t="s">
        <v>397</v>
      </c>
      <c r="B373" s="2" t="str">
        <f t="shared" ca="1" si="5"/>
        <v>掃除機</v>
      </c>
      <c r="D373" s="2" t="str">
        <f ca="1">IFERROR(__xludf.DUMMYFUNCTION("googletranslate(A372,""en"",""ja"")"),"掃除機")</f>
        <v>掃除機</v>
      </c>
    </row>
    <row r="374" spans="1:4" ht="14" x14ac:dyDescent="0.15">
      <c r="A374" s="1" t="s">
        <v>398</v>
      </c>
      <c r="B374" s="2" t="str">
        <f t="shared" ca="1" si="5"/>
        <v>ジッパー（衣類）</v>
      </c>
      <c r="D374" s="2" t="str">
        <f ca="1">IFERROR(__xludf.DUMMYFUNCTION("googletranslate(A373,""en"",""ja"")"),"ジッパー（衣類）")</f>
        <v>ジッパー（衣類）</v>
      </c>
    </row>
    <row r="375" spans="1:4" ht="14" x14ac:dyDescent="0.15">
      <c r="A375" s="1" t="s">
        <v>399</v>
      </c>
      <c r="B375" s="2" t="str">
        <f t="shared" si="5"/>
        <v>鍵のジャラジャラ音</v>
      </c>
      <c r="C375" s="5" t="s">
        <v>631</v>
      </c>
      <c r="D375" s="2" t="str">
        <f ca="1">IFERROR(__xludf.DUMMYFUNCTION("googletranslate(A374,""en"",""ja"")"),"キージャングリング")</f>
        <v>キージャングリング</v>
      </c>
    </row>
    <row r="376" spans="1:4" ht="14" x14ac:dyDescent="0.15">
      <c r="A376" s="1" t="s">
        <v>400</v>
      </c>
      <c r="B376" s="2" t="str">
        <f t="shared" si="5"/>
        <v>コイン落下音</v>
      </c>
      <c r="C376" s="6" t="s">
        <v>600</v>
      </c>
      <c r="D376" s="2" t="str">
        <f ca="1">IFERROR(__xludf.DUMMYFUNCTION("googletranslate(A375,""en"",""ja"")"),"コイン（ドロップ）")</f>
        <v>コイン（ドロップ）</v>
      </c>
    </row>
    <row r="377" spans="1:4" ht="14" x14ac:dyDescent="0.15">
      <c r="A377" s="1" t="s">
        <v>401</v>
      </c>
      <c r="B377" s="2" t="str">
        <f t="shared" ca="1" si="5"/>
        <v>はさみ</v>
      </c>
      <c r="D377" s="2" t="str">
        <f ca="1">IFERROR(__xludf.DUMMYFUNCTION("googletranslate(A376,""en"",""ja"")"),"はさみ")</f>
        <v>はさみ</v>
      </c>
    </row>
    <row r="378" spans="1:4" ht="14" x14ac:dyDescent="0.15">
      <c r="A378" s="1" t="s">
        <v>402</v>
      </c>
      <c r="B378" s="2" t="str">
        <f t="shared" ca="1" si="5"/>
        <v>電気シェーバー、電気かみそり</v>
      </c>
      <c r="D378" s="2" t="str">
        <f ca="1">IFERROR(__xludf.DUMMYFUNCTION("googletranslate(A377,""en"",""ja"")"),"電気シェーバー、電気かみそり")</f>
        <v>電気シェーバー、電気かみそり</v>
      </c>
    </row>
    <row r="379" spans="1:4" ht="14" x14ac:dyDescent="0.15">
      <c r="A379" s="1" t="s">
        <v>403</v>
      </c>
      <c r="B379" s="2" t="str">
        <f t="shared" si="5"/>
        <v>トランプのシャッフル</v>
      </c>
      <c r="C379" s="5" t="s">
        <v>630</v>
      </c>
      <c r="D379" s="2" t="str">
        <f ca="1">IFERROR(__xludf.DUMMYFUNCTION("googletranslate(A378,""en"",""ja"")"),"カードをシャッフルします")</f>
        <v>カードをシャッフルします</v>
      </c>
    </row>
    <row r="380" spans="1:4" ht="14" x14ac:dyDescent="0.15">
      <c r="A380" s="1" t="s">
        <v>404</v>
      </c>
      <c r="B380" s="2" t="str">
        <f t="shared" ca="1" si="5"/>
        <v>タイピング</v>
      </c>
      <c r="D380" s="2" t="str">
        <f ca="1">IFERROR(__xludf.DUMMYFUNCTION("googletranslate(A379,""en"",""ja"")"),"タイピング")</f>
        <v>タイピング</v>
      </c>
    </row>
    <row r="381" spans="1:4" ht="14" x14ac:dyDescent="0.15">
      <c r="A381" s="1" t="s">
        <v>405</v>
      </c>
      <c r="B381" s="2" t="str">
        <f t="shared" ca="1" si="5"/>
        <v>タイプライター</v>
      </c>
      <c r="D381" s="2" t="str">
        <f ca="1">IFERROR(__xludf.DUMMYFUNCTION("googletranslate(A380,""en"",""ja"")"),"タイプライター")</f>
        <v>タイプライター</v>
      </c>
    </row>
    <row r="382" spans="1:4" ht="14" x14ac:dyDescent="0.15">
      <c r="A382" s="1" t="s">
        <v>406</v>
      </c>
      <c r="B382" s="2" t="str">
        <f t="shared" ca="1" si="5"/>
        <v>キーボード</v>
      </c>
      <c r="D382" s="2" t="str">
        <f ca="1">IFERROR(__xludf.DUMMYFUNCTION("googletranslate(A381,""en"",""ja"")"),"キーボード")</f>
        <v>キーボード</v>
      </c>
    </row>
    <row r="383" spans="1:4" ht="14" x14ac:dyDescent="0.15">
      <c r="A383" s="1" t="s">
        <v>407</v>
      </c>
      <c r="B383" s="2" t="str">
        <f t="shared" si="5"/>
        <v>筆記音</v>
      </c>
      <c r="C383" s="5" t="s">
        <v>641</v>
      </c>
      <c r="D383" s="2" t="str">
        <f ca="1">IFERROR(__xludf.DUMMYFUNCTION("googletranslate(A382,""en"",""ja"")"),"書き込み")</f>
        <v>書き込み</v>
      </c>
    </row>
    <row r="384" spans="1:4" ht="14" x14ac:dyDescent="0.15">
      <c r="A384" s="1" t="s">
        <v>408</v>
      </c>
      <c r="B384" s="2" t="str">
        <f t="shared" ca="1" si="5"/>
        <v>警報</v>
      </c>
      <c r="D384" s="2" t="str">
        <f ca="1">IFERROR(__xludf.DUMMYFUNCTION("googletranslate(A383,""en"",""ja"")"),"警報")</f>
        <v>警報</v>
      </c>
    </row>
    <row r="385" spans="1:4" ht="14" x14ac:dyDescent="0.15">
      <c r="A385" s="1" t="s">
        <v>409</v>
      </c>
      <c r="B385" s="2" t="str">
        <f t="shared" ca="1" si="5"/>
        <v>電話</v>
      </c>
      <c r="D385" s="2" t="str">
        <f ca="1">IFERROR(__xludf.DUMMYFUNCTION("googletranslate(A384,""en"",""ja"")"),"電話")</f>
        <v>電話</v>
      </c>
    </row>
    <row r="386" spans="1:4" ht="14" x14ac:dyDescent="0.15">
      <c r="A386" s="1" t="s">
        <v>410</v>
      </c>
      <c r="B386" s="2" t="str">
        <f t="shared" ref="B386:B449" si="6">IF(C386="",D386,C386)</f>
        <v>電話のベルの音</v>
      </c>
      <c r="C386" s="5" t="s">
        <v>642</v>
      </c>
      <c r="D386" s="2" t="str">
        <f ca="1">IFERROR(__xludf.DUMMYFUNCTION("googletranslate(A385,""en"",""ja"")"),"電話ベルリンギング")</f>
        <v>電話ベルリンギング</v>
      </c>
    </row>
    <row r="387" spans="1:4" ht="14" x14ac:dyDescent="0.15">
      <c r="A387" s="1" t="s">
        <v>411</v>
      </c>
      <c r="B387" s="2" t="str">
        <f t="shared" ca="1" si="6"/>
        <v>着信音</v>
      </c>
      <c r="D387" s="2" t="str">
        <f ca="1">IFERROR(__xludf.DUMMYFUNCTION("googletranslate(A386,""en"",""ja"")"),"着信音")</f>
        <v>着信音</v>
      </c>
    </row>
    <row r="388" spans="1:4" ht="14" x14ac:dyDescent="0.15">
      <c r="A388" s="1" t="s">
        <v>412</v>
      </c>
      <c r="B388" s="2" t="str">
        <f t="shared" ca="1" si="6"/>
        <v>電話ダイヤル、DTMF</v>
      </c>
      <c r="D388" s="2" t="str">
        <f ca="1">IFERROR(__xludf.DUMMYFUNCTION("googletranslate(A387,""en"",""ja"")"),"電話ダイヤル、DTMF")</f>
        <v>電話ダイヤル、DTMF</v>
      </c>
    </row>
    <row r="389" spans="1:4" ht="14" x14ac:dyDescent="0.15">
      <c r="A389" s="1" t="s">
        <v>413</v>
      </c>
      <c r="B389" s="2" t="str">
        <f t="shared" ca="1" si="6"/>
        <v>ダイヤルトーン</v>
      </c>
      <c r="D389" s="2" t="str">
        <f ca="1">IFERROR(__xludf.DUMMYFUNCTION("googletranslate(A388,""en"",""ja"")"),"ダイヤルトーン")</f>
        <v>ダイヤルトーン</v>
      </c>
    </row>
    <row r="390" spans="1:4" ht="14" x14ac:dyDescent="0.15">
      <c r="A390" s="1" t="s">
        <v>414</v>
      </c>
      <c r="B390" s="2" t="str">
        <f t="shared" ca="1" si="6"/>
        <v>電話中</v>
      </c>
      <c r="D390" s="2" t="str">
        <f ca="1">IFERROR(__xludf.DUMMYFUNCTION("googletranslate(A389,""en"",""ja"")"),"電話中")</f>
        <v>電話中</v>
      </c>
    </row>
    <row r="391" spans="1:4" ht="14" x14ac:dyDescent="0.15">
      <c r="A391" s="1" t="s">
        <v>415</v>
      </c>
      <c r="B391" s="2" t="str">
        <f t="shared" ca="1" si="6"/>
        <v>目覚まし時計</v>
      </c>
      <c r="D391" s="2" t="str">
        <f ca="1">IFERROR(__xludf.DUMMYFUNCTION("googletranslate(A390,""en"",""ja"")"),"目覚まし時計")</f>
        <v>目覚まし時計</v>
      </c>
    </row>
    <row r="392" spans="1:4" ht="14" x14ac:dyDescent="0.15">
      <c r="A392" s="1" t="s">
        <v>416</v>
      </c>
      <c r="B392" s="2" t="str">
        <f t="shared" ca="1" si="6"/>
        <v>サイレン</v>
      </c>
      <c r="D392" s="2" t="str">
        <f ca="1">IFERROR(__xludf.DUMMYFUNCTION("googletranslate(A391,""en"",""ja"")"),"サイレン")</f>
        <v>サイレン</v>
      </c>
    </row>
    <row r="393" spans="1:4" ht="14" x14ac:dyDescent="0.15">
      <c r="A393" s="1" t="s">
        <v>417</v>
      </c>
      <c r="B393" s="2" t="str">
        <f t="shared" ca="1" si="6"/>
        <v>市民防衛サイレン</v>
      </c>
      <c r="D393" s="2" t="str">
        <f ca="1">IFERROR(__xludf.DUMMYFUNCTION("googletranslate(A392,""en"",""ja"")"),"市民防衛サイレン")</f>
        <v>市民防衛サイレン</v>
      </c>
    </row>
    <row r="394" spans="1:4" ht="14" x14ac:dyDescent="0.15">
      <c r="A394" s="1" t="s">
        <v>418</v>
      </c>
      <c r="B394" s="2" t="str">
        <f t="shared" ca="1" si="6"/>
        <v>ブザー</v>
      </c>
      <c r="D394" s="2" t="str">
        <f ca="1">IFERROR(__xludf.DUMMYFUNCTION("googletranslate(A393,""en"",""ja"")"),"ブザー")</f>
        <v>ブザー</v>
      </c>
    </row>
    <row r="395" spans="1:4" ht="14" x14ac:dyDescent="0.15">
      <c r="A395" s="1" t="s">
        <v>419</v>
      </c>
      <c r="B395" s="2" t="str">
        <f t="shared" ca="1" si="6"/>
        <v>煙探知器、煙警報器</v>
      </c>
      <c r="D395" s="2" t="str">
        <f ca="1">IFERROR(__xludf.DUMMYFUNCTION("googletranslate(A394,""en"",""ja"")"),"煙探知器、煙警報器")</f>
        <v>煙探知器、煙警報器</v>
      </c>
    </row>
    <row r="396" spans="1:4" ht="14" x14ac:dyDescent="0.15">
      <c r="A396" s="1" t="s">
        <v>420</v>
      </c>
      <c r="B396" s="2" t="str">
        <f t="shared" ca="1" si="6"/>
        <v>火災警報</v>
      </c>
      <c r="D396" s="2" t="str">
        <f ca="1">IFERROR(__xludf.DUMMYFUNCTION("googletranslate(A395,""en"",""ja"")"),"火災警報")</f>
        <v>火災警報</v>
      </c>
    </row>
    <row r="397" spans="1:4" ht="14" x14ac:dyDescent="0.15">
      <c r="A397" s="1" t="s">
        <v>421</v>
      </c>
      <c r="B397" s="2" t="str">
        <f t="shared" si="6"/>
        <v>霧笛</v>
      </c>
      <c r="C397" s="5" t="s">
        <v>643</v>
      </c>
      <c r="D397" s="2" t="str">
        <f ca="1">IFERROR(__xludf.DUMMYFUNCTION("googletranslate(A396,""en"",""ja"")"),"フォグホーン")</f>
        <v>フォグホーン</v>
      </c>
    </row>
    <row r="398" spans="1:4" ht="14" x14ac:dyDescent="0.15">
      <c r="A398" s="1" t="s">
        <v>422</v>
      </c>
      <c r="B398" s="2" t="str">
        <f t="shared" ca="1" si="6"/>
        <v>ホイッスル</v>
      </c>
      <c r="D398" s="2" t="str">
        <f ca="1">IFERROR(__xludf.DUMMYFUNCTION("googletranslate(A397,""en"",""ja"")"),"ホイッスル")</f>
        <v>ホイッスル</v>
      </c>
    </row>
    <row r="399" spans="1:4" ht="14" x14ac:dyDescent="0.15">
      <c r="A399" s="1" t="s">
        <v>423</v>
      </c>
      <c r="B399" s="2" t="str">
        <f t="shared" si="6"/>
        <v>汽笛</v>
      </c>
      <c r="C399" s="2" t="s">
        <v>424</v>
      </c>
      <c r="D399" s="2" t="str">
        <f ca="1">IFERROR(__xludf.DUMMYFUNCTION("googletranslate(A398,""en"",""ja"")"),"蒸気のwhi")</f>
        <v>蒸気のwhi</v>
      </c>
    </row>
    <row r="400" spans="1:4" ht="14" x14ac:dyDescent="0.15">
      <c r="A400" s="1" t="s">
        <v>425</v>
      </c>
      <c r="B400" s="2" t="str">
        <f t="shared" si="6"/>
        <v>機械音</v>
      </c>
      <c r="C400" s="5" t="s">
        <v>644</v>
      </c>
      <c r="D400" s="2" t="str">
        <f ca="1">IFERROR(__xludf.DUMMYFUNCTION("googletranslate(A399,""en"",""ja"")"),"メカニズム")</f>
        <v>メカニズム</v>
      </c>
    </row>
    <row r="401" spans="1:4" ht="14" x14ac:dyDescent="0.15">
      <c r="A401" s="1" t="s">
        <v>426</v>
      </c>
      <c r="B401" s="2" t="str">
        <f t="shared" si="6"/>
        <v>つめ車</v>
      </c>
      <c r="C401" s="5" t="s">
        <v>645</v>
      </c>
      <c r="D401" s="2" t="str">
        <f ca="1">IFERROR(__xludf.DUMMYFUNCTION("googletranslate(A400,""en"",""ja"")"),"ラチェット、ポール")</f>
        <v>ラチェット、ポール</v>
      </c>
    </row>
    <row r="402" spans="1:4" ht="14" x14ac:dyDescent="0.15">
      <c r="A402" s="1" t="s">
        <v>427</v>
      </c>
      <c r="B402" s="2" t="str">
        <f t="shared" ca="1" si="6"/>
        <v>時計</v>
      </c>
      <c r="D402" s="2" t="str">
        <f ca="1">IFERROR(__xludf.DUMMYFUNCTION("googletranslate(A401,""en"",""ja"")"),"時計")</f>
        <v>時計</v>
      </c>
    </row>
    <row r="403" spans="1:4" ht="14" x14ac:dyDescent="0.15">
      <c r="A403" s="1" t="s">
        <v>428</v>
      </c>
      <c r="B403" s="2" t="str">
        <f t="shared" ca="1" si="6"/>
        <v>ティック</v>
      </c>
      <c r="D403" s="2" t="str">
        <f ca="1">IFERROR(__xludf.DUMMYFUNCTION("googletranslate(A402,""en"",""ja"")"),"ティック")</f>
        <v>ティック</v>
      </c>
    </row>
    <row r="404" spans="1:4" ht="14" x14ac:dyDescent="0.15">
      <c r="A404" s="1" t="s">
        <v>429</v>
      </c>
      <c r="B404" s="2" t="str">
        <f t="shared" ca="1" si="6"/>
        <v>チクタク</v>
      </c>
      <c r="D404" s="2" t="str">
        <f ca="1">IFERROR(__xludf.DUMMYFUNCTION("googletranslate(A403,""en"",""ja"")"),"チクタク")</f>
        <v>チクタク</v>
      </c>
    </row>
    <row r="405" spans="1:4" ht="14" x14ac:dyDescent="0.15">
      <c r="A405" s="1" t="s">
        <v>430</v>
      </c>
      <c r="B405" s="2" t="str">
        <f t="shared" ca="1" si="6"/>
        <v>ギア</v>
      </c>
      <c r="D405" s="2" t="str">
        <f ca="1">IFERROR(__xludf.DUMMYFUNCTION("googletranslate(A404,""en"",""ja"")"),"ギア")</f>
        <v>ギア</v>
      </c>
    </row>
    <row r="406" spans="1:4" ht="14" x14ac:dyDescent="0.15">
      <c r="A406" s="1" t="s">
        <v>431</v>
      </c>
      <c r="B406" s="2" t="str">
        <f t="shared" ca="1" si="6"/>
        <v>プーリー</v>
      </c>
      <c r="D406" s="2" t="str">
        <f ca="1">IFERROR(__xludf.DUMMYFUNCTION("googletranslate(A405,""en"",""ja"")"),"プーリー")</f>
        <v>プーリー</v>
      </c>
    </row>
    <row r="407" spans="1:4" ht="14" x14ac:dyDescent="0.15">
      <c r="A407" s="1" t="s">
        <v>432</v>
      </c>
      <c r="B407" s="2" t="str">
        <f t="shared" ca="1" si="6"/>
        <v>ミシン</v>
      </c>
      <c r="D407" s="2" t="str">
        <f ca="1">IFERROR(__xludf.DUMMYFUNCTION("googletranslate(A406,""en"",""ja"")"),"ミシン")</f>
        <v>ミシン</v>
      </c>
    </row>
    <row r="408" spans="1:4" ht="14" x14ac:dyDescent="0.15">
      <c r="A408" s="1" t="s">
        <v>433</v>
      </c>
      <c r="B408" s="2" t="str">
        <f t="shared" ca="1" si="6"/>
        <v>機械ファン</v>
      </c>
      <c r="D408" s="2" t="str">
        <f ca="1">IFERROR(__xludf.DUMMYFUNCTION("googletranslate(A407,""en"",""ja"")"),"機械ファン")</f>
        <v>機械ファン</v>
      </c>
    </row>
    <row r="409" spans="1:4" ht="14" x14ac:dyDescent="0.15">
      <c r="A409" s="1" t="s">
        <v>434</v>
      </c>
      <c r="B409" s="2" t="str">
        <f t="shared" si="6"/>
        <v>エアコン</v>
      </c>
      <c r="C409" s="5" t="s">
        <v>629</v>
      </c>
      <c r="D409" s="2" t="str">
        <f ca="1">IFERROR(__xludf.DUMMYFUNCTION("googletranslate(A408,""en"",""ja"")"),"空調")</f>
        <v>空調</v>
      </c>
    </row>
    <row r="410" spans="1:4" ht="14" x14ac:dyDescent="0.15">
      <c r="A410" s="1" t="s">
        <v>435</v>
      </c>
      <c r="B410" s="2" t="str">
        <f t="shared" ca="1" si="6"/>
        <v>レジ</v>
      </c>
      <c r="D410" s="2" t="str">
        <f ca="1">IFERROR(__xludf.DUMMYFUNCTION("googletranslate(A409,""en"",""ja"")"),"レジ")</f>
        <v>レジ</v>
      </c>
    </row>
    <row r="411" spans="1:4" ht="14" x14ac:dyDescent="0.15">
      <c r="A411" s="1" t="s">
        <v>436</v>
      </c>
      <c r="B411" s="2" t="str">
        <f t="shared" ca="1" si="6"/>
        <v>プリンター</v>
      </c>
      <c r="D411" s="2" t="str">
        <f ca="1">IFERROR(__xludf.DUMMYFUNCTION("googletranslate(A410,""en"",""ja"")"),"プリンター")</f>
        <v>プリンター</v>
      </c>
    </row>
    <row r="412" spans="1:4" ht="14" x14ac:dyDescent="0.15">
      <c r="A412" s="1" t="s">
        <v>437</v>
      </c>
      <c r="B412" s="2" t="str">
        <f t="shared" ca="1" si="6"/>
        <v>カメラ</v>
      </c>
      <c r="D412" s="2" t="str">
        <f ca="1">IFERROR(__xludf.DUMMYFUNCTION("googletranslate(A411,""en"",""ja"")"),"カメラ")</f>
        <v>カメラ</v>
      </c>
    </row>
    <row r="413" spans="1:4" ht="14" x14ac:dyDescent="0.15">
      <c r="A413" s="1" t="s">
        <v>438</v>
      </c>
      <c r="B413" s="2" t="str">
        <f t="shared" si="6"/>
        <v>一眼レフカメラ</v>
      </c>
      <c r="C413" s="5" t="s">
        <v>628</v>
      </c>
      <c r="D413" s="2" t="str">
        <f ca="1">IFERROR(__xludf.DUMMYFUNCTION("googletranslate(A412,""en"",""ja"")"),"シングルレンズ反射カメラ")</f>
        <v>シングルレンズ反射カメラ</v>
      </c>
    </row>
    <row r="414" spans="1:4" ht="14" x14ac:dyDescent="0.15">
      <c r="A414" s="1" t="s">
        <v>439</v>
      </c>
      <c r="B414" s="2" t="str">
        <f t="shared" ca="1" si="6"/>
        <v>ツール</v>
      </c>
      <c r="D414" s="2" t="str">
        <f ca="1">IFERROR(__xludf.DUMMYFUNCTION("googletranslate(A413,""en"",""ja"")"),"ツール")</f>
        <v>ツール</v>
      </c>
    </row>
    <row r="415" spans="1:4" ht="14" x14ac:dyDescent="0.15">
      <c r="A415" s="1" t="s">
        <v>440</v>
      </c>
      <c r="B415" s="2" t="str">
        <f t="shared" ca="1" si="6"/>
        <v>ハンマー</v>
      </c>
      <c r="D415" s="2" t="str">
        <f ca="1">IFERROR(__xludf.DUMMYFUNCTION("googletranslate(A414,""en"",""ja"")"),"ハンマー")</f>
        <v>ハンマー</v>
      </c>
    </row>
    <row r="416" spans="1:4" ht="14" x14ac:dyDescent="0.15">
      <c r="A416" s="1" t="s">
        <v>441</v>
      </c>
      <c r="B416" s="2" t="str">
        <f t="shared" ca="1" si="6"/>
        <v>ジャックハンマー</v>
      </c>
      <c r="D416" s="2" t="str">
        <f ca="1">IFERROR(__xludf.DUMMYFUNCTION("googletranslate(A415,""en"",""ja"")"),"ジャックハンマー")</f>
        <v>ジャックハンマー</v>
      </c>
    </row>
    <row r="417" spans="1:4" ht="14" x14ac:dyDescent="0.15">
      <c r="A417" s="1" t="s">
        <v>442</v>
      </c>
      <c r="B417" s="2" t="str">
        <f t="shared" ca="1" si="6"/>
        <v>のこぎり</v>
      </c>
      <c r="D417" s="2" t="str">
        <f ca="1">IFERROR(__xludf.DUMMYFUNCTION("googletranslate(A416,""en"",""ja"")"),"のこぎり")</f>
        <v>のこぎり</v>
      </c>
    </row>
    <row r="418" spans="1:4" ht="14" x14ac:dyDescent="0.15">
      <c r="A418" s="1" t="s">
        <v>443</v>
      </c>
      <c r="B418" s="2" t="str">
        <f t="shared" si="6"/>
        <v>ヤスリ</v>
      </c>
      <c r="C418" s="2" t="s">
        <v>627</v>
      </c>
      <c r="D418" s="2" t="str">
        <f ca="1">IFERROR(__xludf.DUMMYFUNCTION("googletranslate(A417,""en"",""ja"")"),"ファイリング（RASP）")</f>
        <v>ファイリング（RASP）</v>
      </c>
    </row>
    <row r="419" spans="1:4" ht="14" x14ac:dyDescent="0.15">
      <c r="A419" s="1" t="s">
        <v>444</v>
      </c>
      <c r="B419" s="2" t="str">
        <f t="shared" si="6"/>
        <v>ヤスリ研磨</v>
      </c>
      <c r="C419" s="5" t="s">
        <v>626</v>
      </c>
      <c r="D419" s="2" t="str">
        <f ca="1">IFERROR(__xludf.DUMMYFUNCTION("googletranslate(A418,""en"",""ja"")"),"サンディング")</f>
        <v>サンディング</v>
      </c>
    </row>
    <row r="420" spans="1:4" ht="14" x14ac:dyDescent="0.15">
      <c r="A420" s="1" t="s">
        <v>445</v>
      </c>
      <c r="B420" s="2" t="str">
        <f t="shared" ca="1" si="6"/>
        <v>有力な手法</v>
      </c>
      <c r="D420" s="2" t="str">
        <f ca="1">IFERROR(__xludf.DUMMYFUNCTION("googletranslate(A419,""en"",""ja"")"),"有力な手法")</f>
        <v>有力な手法</v>
      </c>
    </row>
    <row r="421" spans="1:4" ht="14" x14ac:dyDescent="0.15">
      <c r="A421" s="1" t="s">
        <v>446</v>
      </c>
      <c r="B421" s="2" t="str">
        <f t="shared" ca="1" si="6"/>
        <v>ドリル</v>
      </c>
      <c r="D421" s="2" t="str">
        <f ca="1">IFERROR(__xludf.DUMMYFUNCTION("googletranslate(A420,""en"",""ja"")"),"ドリル")</f>
        <v>ドリル</v>
      </c>
    </row>
    <row r="422" spans="1:4" ht="14" x14ac:dyDescent="0.15">
      <c r="A422" s="1" t="s">
        <v>447</v>
      </c>
      <c r="B422" s="2" t="str">
        <f t="shared" ca="1" si="6"/>
        <v>爆発</v>
      </c>
      <c r="D422" s="2" t="str">
        <f ca="1">IFERROR(__xludf.DUMMYFUNCTION("googletranslate(A421,""en"",""ja"")"),"爆発")</f>
        <v>爆発</v>
      </c>
    </row>
    <row r="423" spans="1:4" ht="14" x14ac:dyDescent="0.15">
      <c r="A423" s="1" t="s">
        <v>448</v>
      </c>
      <c r="B423" s="2" t="str">
        <f t="shared" ca="1" si="6"/>
        <v>銃声、銃声</v>
      </c>
      <c r="D423" s="2" t="str">
        <f ca="1">IFERROR(__xludf.DUMMYFUNCTION("googletranslate(A422,""en"",""ja"")"),"銃声、銃声")</f>
        <v>銃声、銃声</v>
      </c>
    </row>
    <row r="424" spans="1:4" ht="14" x14ac:dyDescent="0.15">
      <c r="A424" s="1" t="s">
        <v>449</v>
      </c>
      <c r="B424" s="2" t="str">
        <f t="shared" ca="1" si="6"/>
        <v>機関銃</v>
      </c>
      <c r="D424" s="2" t="str">
        <f ca="1">IFERROR(__xludf.DUMMYFUNCTION("googletranslate(A423,""en"",""ja"")"),"機関銃")</f>
        <v>機関銃</v>
      </c>
    </row>
    <row r="425" spans="1:4" ht="14" x14ac:dyDescent="0.15">
      <c r="A425" s="1" t="s">
        <v>450</v>
      </c>
      <c r="B425" s="2" t="str">
        <f t="shared" si="6"/>
        <v>一斉射撃</v>
      </c>
      <c r="C425" s="5" t="s">
        <v>625</v>
      </c>
      <c r="D425" s="2" t="str">
        <f ca="1">IFERROR(__xludf.DUMMYFUNCTION("googletranslate(A424,""en"",""ja"")"),"フジラード")</f>
        <v>フジラード</v>
      </c>
    </row>
    <row r="426" spans="1:4" ht="14" x14ac:dyDescent="0.15">
      <c r="A426" s="1" t="s">
        <v>451</v>
      </c>
      <c r="B426" s="2" t="str">
        <f t="shared" ca="1" si="6"/>
        <v>大砲の火</v>
      </c>
      <c r="D426" s="2" t="str">
        <f ca="1">IFERROR(__xludf.DUMMYFUNCTION("googletranslate(A425,""en"",""ja"")"),"大砲の火")</f>
        <v>大砲の火</v>
      </c>
    </row>
    <row r="427" spans="1:4" ht="14" x14ac:dyDescent="0.15">
      <c r="A427" s="1" t="s">
        <v>452</v>
      </c>
      <c r="B427" s="2" t="str">
        <f t="shared" si="6"/>
        <v>おもちゃの銃</v>
      </c>
      <c r="C427" s="5" t="s">
        <v>624</v>
      </c>
      <c r="D427" s="2" t="str">
        <f ca="1">IFERROR(__xludf.DUMMYFUNCTION("googletranslate(A426,""en"",""ja"")"),"キャップガン")</f>
        <v>キャップガン</v>
      </c>
    </row>
    <row r="428" spans="1:4" ht="14" x14ac:dyDescent="0.15">
      <c r="A428" s="1" t="s">
        <v>453</v>
      </c>
      <c r="B428" s="2" t="str">
        <f t="shared" ca="1" si="6"/>
        <v>花火</v>
      </c>
      <c r="D428" s="2" t="str">
        <f ca="1">IFERROR(__xludf.DUMMYFUNCTION("googletranslate(A427,""en"",""ja"")"),"花火")</f>
        <v>花火</v>
      </c>
    </row>
    <row r="429" spans="1:4" ht="14" x14ac:dyDescent="0.15">
      <c r="A429" s="1" t="s">
        <v>454</v>
      </c>
      <c r="B429" s="2" t="str">
        <f t="shared" ca="1" si="6"/>
        <v>爆竹</v>
      </c>
      <c r="D429" s="2" t="str">
        <f ca="1">IFERROR(__xludf.DUMMYFUNCTION("googletranslate(A428,""en"",""ja"")"),"爆竹")</f>
        <v>爆竹</v>
      </c>
    </row>
    <row r="430" spans="1:4" ht="14" x14ac:dyDescent="0.15">
      <c r="A430" s="1" t="s">
        <v>455</v>
      </c>
      <c r="B430" s="2" t="str">
        <f t="shared" si="6"/>
        <v>ポンッ</v>
      </c>
      <c r="C430" s="5" t="s">
        <v>623</v>
      </c>
      <c r="D430" s="2" t="str">
        <f ca="1">IFERROR(__xludf.DUMMYFUNCTION("googletranslate(A429,""en"",""ja"")"),"バースト、ポップ")</f>
        <v>バースト、ポップ</v>
      </c>
    </row>
    <row r="431" spans="1:4" ht="14" x14ac:dyDescent="0.15">
      <c r="A431" s="1" t="s">
        <v>456</v>
      </c>
      <c r="B431" s="2" t="str">
        <f t="shared" ca="1" si="6"/>
        <v>噴火</v>
      </c>
      <c r="D431" s="2" t="str">
        <f ca="1">IFERROR(__xludf.DUMMYFUNCTION("googletranslate(A430,""en"",""ja"")"),"噴火")</f>
        <v>噴火</v>
      </c>
    </row>
    <row r="432" spans="1:4" ht="14" x14ac:dyDescent="0.15">
      <c r="A432" s="1" t="s">
        <v>457</v>
      </c>
      <c r="B432" s="2" t="str">
        <f t="shared" ca="1" si="6"/>
        <v>ブーム</v>
      </c>
      <c r="D432" s="2" t="str">
        <f ca="1">IFERROR(__xludf.DUMMYFUNCTION("googletranslate(A431,""en"",""ja"")"),"ブーム")</f>
        <v>ブーム</v>
      </c>
    </row>
    <row r="433" spans="1:4" ht="14" x14ac:dyDescent="0.15">
      <c r="A433" s="1" t="s">
        <v>458</v>
      </c>
      <c r="B433" s="2" t="str">
        <f t="shared" ca="1" si="6"/>
        <v>木材</v>
      </c>
      <c r="D433" s="2" t="str">
        <f ca="1">IFERROR(__xludf.DUMMYFUNCTION("googletranslate(A432,""en"",""ja"")"),"木材")</f>
        <v>木材</v>
      </c>
    </row>
    <row r="434" spans="1:4" ht="14" x14ac:dyDescent="0.15">
      <c r="A434" s="1" t="s">
        <v>459</v>
      </c>
      <c r="B434" s="2" t="str">
        <f t="shared" ca="1" si="6"/>
        <v>チョップ</v>
      </c>
      <c r="D434" s="2" t="str">
        <f ca="1">IFERROR(__xludf.DUMMYFUNCTION("googletranslate(A433,""en"",""ja"")"),"チョップ")</f>
        <v>チョップ</v>
      </c>
    </row>
    <row r="435" spans="1:4" ht="14" x14ac:dyDescent="0.15">
      <c r="A435" s="1" t="s">
        <v>460</v>
      </c>
      <c r="B435" s="2" t="str">
        <f t="shared" ca="1" si="6"/>
        <v>破片</v>
      </c>
      <c r="D435" s="2" t="str">
        <f ca="1">IFERROR(__xludf.DUMMYFUNCTION("googletranslate(A434,""en"",""ja"")"),"破片")</f>
        <v>破片</v>
      </c>
    </row>
    <row r="436" spans="1:4" ht="14" x14ac:dyDescent="0.15">
      <c r="A436" s="1" t="s">
        <v>461</v>
      </c>
      <c r="B436" s="2" t="str">
        <f t="shared" ca="1" si="6"/>
        <v>割れ目</v>
      </c>
      <c r="D436" s="2" t="str">
        <f ca="1">IFERROR(__xludf.DUMMYFUNCTION("googletranslate(A435,""en"",""ja"")"),"割れ目")</f>
        <v>割れ目</v>
      </c>
    </row>
    <row r="437" spans="1:4" ht="14" x14ac:dyDescent="0.15">
      <c r="A437" s="1" t="s">
        <v>462</v>
      </c>
      <c r="B437" s="2" t="str">
        <f t="shared" ca="1" si="6"/>
        <v>ガラス</v>
      </c>
      <c r="D437" s="2" t="str">
        <f ca="1">IFERROR(__xludf.DUMMYFUNCTION("googletranslate(A436,""en"",""ja"")"),"ガラス")</f>
        <v>ガラス</v>
      </c>
    </row>
    <row r="438" spans="1:4" ht="14" x14ac:dyDescent="0.15">
      <c r="A438" s="1" t="s">
        <v>463</v>
      </c>
      <c r="B438" s="2" t="str">
        <f t="shared" si="6"/>
        <v>チンチン鳴る</v>
      </c>
      <c r="C438" s="5" t="s">
        <v>622</v>
      </c>
      <c r="D438" s="2" t="str">
        <f ca="1">IFERROR(__xludf.DUMMYFUNCTION("googletranslate(A437,""en"",""ja"")"),"チンク、クリンク")</f>
        <v>チンク、クリンク</v>
      </c>
    </row>
    <row r="439" spans="1:4" ht="14" x14ac:dyDescent="0.15">
      <c r="A439" s="1" t="s">
        <v>464</v>
      </c>
      <c r="B439" s="2" t="str">
        <f t="shared" ca="1" si="6"/>
        <v>粉砕</v>
      </c>
      <c r="D439" s="2" t="str">
        <f ca="1">IFERROR(__xludf.DUMMYFUNCTION("googletranslate(A438,""en"",""ja"")"),"粉砕")</f>
        <v>粉砕</v>
      </c>
    </row>
    <row r="440" spans="1:4" ht="14" x14ac:dyDescent="0.15">
      <c r="A440" s="1" t="s">
        <v>465</v>
      </c>
      <c r="B440" s="2" t="str">
        <f t="shared" ca="1" si="6"/>
        <v>液体</v>
      </c>
      <c r="D440" s="2" t="str">
        <f ca="1">IFERROR(__xludf.DUMMYFUNCTION("googletranslate(A439,""en"",""ja"")"),"液体")</f>
        <v>液体</v>
      </c>
    </row>
    <row r="441" spans="1:4" ht="14" x14ac:dyDescent="0.15">
      <c r="A441" s="1" t="s">
        <v>466</v>
      </c>
      <c r="B441" s="2" t="str">
        <f t="shared" si="6"/>
        <v>バシャーン</v>
      </c>
      <c r="C441" s="5" t="s">
        <v>621</v>
      </c>
      <c r="D441" s="2" t="str">
        <f ca="1">IFERROR(__xludf.DUMMYFUNCTION("googletranslate(A440,""en"",""ja"")"),"スプラッシュ、スプラッタ")</f>
        <v>スプラッシュ、スプラッタ</v>
      </c>
    </row>
    <row r="442" spans="1:4" ht="14" x14ac:dyDescent="0.15">
      <c r="A442" s="1" t="s">
        <v>467</v>
      </c>
      <c r="B442" s="2" t="str">
        <f t="shared" si="6"/>
        <v>バチャバチャ</v>
      </c>
      <c r="C442" s="5" t="s">
        <v>620</v>
      </c>
      <c r="D442" s="2" t="str">
        <f ca="1">IFERROR(__xludf.DUMMYFUNCTION("googletranslate(A441,""en"",""ja"")"),"スロッシュ")</f>
        <v>スロッシュ</v>
      </c>
    </row>
    <row r="443" spans="1:4" ht="14" x14ac:dyDescent="0.15">
      <c r="A443" s="1" t="s">
        <v>468</v>
      </c>
      <c r="B443" s="2" t="str">
        <f t="shared" ca="1" si="6"/>
        <v>ビシャビシャ押しつぶす</v>
      </c>
      <c r="D443" s="2" t="str">
        <f ca="1">IFERROR(__xludf.DUMMYFUNCTION("googletranslate(A442,""en"",""ja"")"),"ビシャビシャ押しつぶす")</f>
        <v>ビシャビシャ押しつぶす</v>
      </c>
    </row>
    <row r="444" spans="1:4" ht="14" x14ac:dyDescent="0.15">
      <c r="A444" s="1" t="s">
        <v>469</v>
      </c>
      <c r="B444" s="2" t="str">
        <f t="shared" ca="1" si="6"/>
        <v>滴下</v>
      </c>
      <c r="D444" s="2" t="str">
        <f ca="1">IFERROR(__xludf.DUMMYFUNCTION("googletranslate(A443,""en"",""ja"")"),"滴下")</f>
        <v>滴下</v>
      </c>
    </row>
    <row r="445" spans="1:4" ht="14" x14ac:dyDescent="0.15">
      <c r="A445" s="1" t="s">
        <v>470</v>
      </c>
      <c r="B445" s="2" t="str">
        <f t="shared" ca="1" si="6"/>
        <v>注ぐ</v>
      </c>
      <c r="D445" s="2" t="str">
        <f ca="1">IFERROR(__xludf.DUMMYFUNCTION("googletranslate(A444,""en"",""ja"")"),"注ぐ")</f>
        <v>注ぐ</v>
      </c>
    </row>
    <row r="446" spans="1:4" ht="14" x14ac:dyDescent="0.15">
      <c r="A446" s="1" t="s">
        <v>471</v>
      </c>
      <c r="B446" s="2" t="str">
        <f t="shared" si="6"/>
        <v>チョロチョロ</v>
      </c>
      <c r="C446" s="5" t="s">
        <v>619</v>
      </c>
      <c r="D446" s="2" t="str">
        <f ca="1">IFERROR(__xludf.DUMMYFUNCTION("googletranslate(A445,""en"",""ja"")"),"トリクル、ドリブル")</f>
        <v>トリクル、ドリブル</v>
      </c>
    </row>
    <row r="447" spans="1:4" ht="14" x14ac:dyDescent="0.15">
      <c r="A447" s="1" t="s">
        <v>472</v>
      </c>
      <c r="B447" s="2" t="str">
        <f t="shared" ca="1" si="6"/>
        <v>噴出</v>
      </c>
      <c r="D447" s="2" t="str">
        <f ca="1">IFERROR(__xludf.DUMMYFUNCTION("googletranslate(A446,""en"",""ja"")"),"噴出")</f>
        <v>噴出</v>
      </c>
    </row>
    <row r="448" spans="1:4" ht="14" x14ac:dyDescent="0.15">
      <c r="A448" s="1" t="s">
        <v>473</v>
      </c>
      <c r="B448" s="2" t="str">
        <f t="shared" ca="1" si="6"/>
        <v>充填（液体で）</v>
      </c>
      <c r="D448" s="2" t="str">
        <f ca="1">IFERROR(__xludf.DUMMYFUNCTION("googletranslate(A447,""en"",""ja"")"),"充填（液体で）")</f>
        <v>充填（液体で）</v>
      </c>
    </row>
    <row r="449" spans="1:4" ht="14" x14ac:dyDescent="0.15">
      <c r="A449" s="1" t="s">
        <v>474</v>
      </c>
      <c r="B449" s="2" t="str">
        <f t="shared" ca="1" si="6"/>
        <v>噴射</v>
      </c>
      <c r="D449" s="2" t="str">
        <f ca="1">IFERROR(__xludf.DUMMYFUNCTION("googletranslate(A448,""en"",""ja"")"),"噴射")</f>
        <v>噴射</v>
      </c>
    </row>
    <row r="450" spans="1:4" ht="14" x14ac:dyDescent="0.15">
      <c r="A450" s="1" t="s">
        <v>475</v>
      </c>
      <c r="B450" s="2" t="str">
        <f t="shared" ref="B450:B513" ca="1" si="7">IF(C450="",D450,C450)</f>
        <v>ポンプ（液体）</v>
      </c>
      <c r="D450" s="2" t="str">
        <f ca="1">IFERROR(__xludf.DUMMYFUNCTION("googletranslate(A449,""en"",""ja"")"),"ポンプ（液体）")</f>
        <v>ポンプ（液体）</v>
      </c>
    </row>
    <row r="451" spans="1:4" ht="14" x14ac:dyDescent="0.15">
      <c r="A451" s="1" t="s">
        <v>476</v>
      </c>
      <c r="B451" s="2" t="str">
        <f t="shared" ca="1" si="7"/>
        <v>かき混ぜる</v>
      </c>
      <c r="D451" s="2" t="str">
        <f ca="1">IFERROR(__xludf.DUMMYFUNCTION("googletranslate(A450,""en"",""ja"")"),"かき混ぜる")</f>
        <v>かき混ぜる</v>
      </c>
    </row>
    <row r="452" spans="1:4" ht="14" x14ac:dyDescent="0.15">
      <c r="A452" s="1" t="s">
        <v>477</v>
      </c>
      <c r="B452" s="2" t="str">
        <f t="shared" ca="1" si="7"/>
        <v>沸騰</v>
      </c>
      <c r="D452" s="2" t="str">
        <f ca="1">IFERROR(__xludf.DUMMYFUNCTION("googletranslate(A451,""en"",""ja"")"),"沸騰")</f>
        <v>沸騰</v>
      </c>
    </row>
    <row r="453" spans="1:4" ht="14" x14ac:dyDescent="0.15">
      <c r="A453" s="1" t="s">
        <v>478</v>
      </c>
      <c r="B453" s="2" t="str">
        <f t="shared" ca="1" si="7"/>
        <v>ソナー</v>
      </c>
      <c r="D453" s="2" t="str">
        <f ca="1">IFERROR(__xludf.DUMMYFUNCTION("googletranslate(A452,""en"",""ja"")"),"ソナー")</f>
        <v>ソナー</v>
      </c>
    </row>
    <row r="454" spans="1:4" ht="14" x14ac:dyDescent="0.15">
      <c r="A454" s="1" t="s">
        <v>479</v>
      </c>
      <c r="B454" s="2" t="str">
        <f t="shared" ca="1" si="7"/>
        <v>矢印</v>
      </c>
      <c r="D454" s="2" t="str">
        <f ca="1">IFERROR(__xludf.DUMMYFUNCTION("googletranslate(A453,""en"",""ja"")"),"矢印")</f>
        <v>矢印</v>
      </c>
    </row>
    <row r="455" spans="1:4" ht="14" x14ac:dyDescent="0.15">
      <c r="A455" s="1" t="s">
        <v>480</v>
      </c>
      <c r="B455" s="2" t="str">
        <f t="shared" si="7"/>
        <v>しゅっ</v>
      </c>
      <c r="C455" s="2" t="s">
        <v>481</v>
      </c>
      <c r="D455" s="2" t="str">
        <f ca="1">IFERROR(__xludf.DUMMYFUNCTION("googletranslate(A454,""en"",""ja"")"),"Hoosh、Swoosh、Swish")</f>
        <v>Hoosh、Swoosh、Swish</v>
      </c>
    </row>
    <row r="456" spans="1:4" ht="14" x14ac:dyDescent="0.15">
      <c r="A456" s="1" t="s">
        <v>482</v>
      </c>
      <c r="B456" s="2" t="str">
        <f t="shared" si="7"/>
        <v>ドスン</v>
      </c>
      <c r="C456" s="2" t="s">
        <v>483</v>
      </c>
      <c r="D456" s="2" t="str">
        <f ca="1">IFERROR(__xludf.DUMMYFUNCTION("googletranslate(A455,""en"",""ja"")"),"Thump、thud")</f>
        <v>Thump、thud</v>
      </c>
    </row>
    <row r="457" spans="1:4" ht="14" x14ac:dyDescent="0.15">
      <c r="A457" s="1" t="s">
        <v>484</v>
      </c>
      <c r="B457" s="2" t="str">
        <f t="shared" si="7"/>
        <v>ズシン</v>
      </c>
      <c r="C457" s="2" t="s">
        <v>485</v>
      </c>
      <c r="D457" s="2" t="str">
        <f ca="1">IFERROR(__xludf.DUMMYFUNCTION("googletranslate(A456,""en"",""ja"")"),"サンク")</f>
        <v>サンク</v>
      </c>
    </row>
    <row r="458" spans="1:4" ht="14" x14ac:dyDescent="0.15">
      <c r="A458" s="1" t="s">
        <v>486</v>
      </c>
      <c r="B458" s="2" t="str">
        <f t="shared" ca="1" si="7"/>
        <v>電子チューナー</v>
      </c>
      <c r="D458" s="2" t="str">
        <f ca="1">IFERROR(__xludf.DUMMYFUNCTION("googletranslate(A457,""en"",""ja"")"),"電子チューナー")</f>
        <v>電子チューナー</v>
      </c>
    </row>
    <row r="459" spans="1:4" ht="14" x14ac:dyDescent="0.15">
      <c r="A459" s="1" t="s">
        <v>487</v>
      </c>
      <c r="B459" s="2" t="str">
        <f t="shared" ca="1" si="7"/>
        <v>エフェクトユニット</v>
      </c>
      <c r="D459" s="2" t="str">
        <f ca="1">IFERROR(__xludf.DUMMYFUNCTION("googletranslate(A458,""en"",""ja"")"),"エフェクトユニット")</f>
        <v>エフェクトユニット</v>
      </c>
    </row>
    <row r="460" spans="1:4" ht="14" x14ac:dyDescent="0.15">
      <c r="A460" s="1" t="s">
        <v>488</v>
      </c>
      <c r="B460" s="2" t="str">
        <f t="shared" ca="1" si="7"/>
        <v>コーラス効果</v>
      </c>
      <c r="D460" s="2" t="str">
        <f ca="1">IFERROR(__xludf.DUMMYFUNCTION("googletranslate(A459,""en"",""ja"")"),"コーラス効果")</f>
        <v>コーラス効果</v>
      </c>
    </row>
    <row r="461" spans="1:4" ht="14" x14ac:dyDescent="0.15">
      <c r="A461" s="1" t="s">
        <v>489</v>
      </c>
      <c r="B461" s="2" t="str">
        <f t="shared" si="7"/>
        <v>バスケットボールが跳ねる音</v>
      </c>
      <c r="C461" s="5" t="s">
        <v>618</v>
      </c>
      <c r="D461" s="2" t="str">
        <f ca="1">IFERROR(__xludf.DUMMYFUNCTION("googletranslate(A460,""en"",""ja"")"),"バスケットボールバウンス")</f>
        <v>バスケットボールバウンス</v>
      </c>
    </row>
    <row r="462" spans="1:4" ht="14" x14ac:dyDescent="0.15">
      <c r="A462" s="1" t="s">
        <v>490</v>
      </c>
      <c r="B462" s="2" t="str">
        <f t="shared" ca="1" si="7"/>
        <v>強打</v>
      </c>
      <c r="D462" s="2" t="str">
        <f ca="1">IFERROR(__xludf.DUMMYFUNCTION("googletranslate(A461,""en"",""ja"")"),"強打")</f>
        <v>強打</v>
      </c>
    </row>
    <row r="463" spans="1:4" ht="14" x14ac:dyDescent="0.15">
      <c r="A463" s="1" t="s">
        <v>491</v>
      </c>
      <c r="B463" s="2" t="str">
        <f t="shared" ca="1" si="7"/>
        <v>スラップ、スマック</v>
      </c>
      <c r="D463" s="2" t="str">
        <f ca="1">IFERROR(__xludf.DUMMYFUNCTION("googletranslate(A462,""en"",""ja"")"),"スラップ、スマック")</f>
        <v>スラップ、スマック</v>
      </c>
    </row>
    <row r="464" spans="1:4" ht="14" x14ac:dyDescent="0.15">
      <c r="A464" s="1" t="s">
        <v>492</v>
      </c>
      <c r="B464" s="2" t="str">
        <f t="shared" ca="1" si="7"/>
        <v>強打、ひどい</v>
      </c>
      <c r="D464" s="2" t="str">
        <f ca="1">IFERROR(__xludf.DUMMYFUNCTION("googletranslate(A463,""en"",""ja"")"),"強打、ひどい")</f>
        <v>強打、ひどい</v>
      </c>
    </row>
    <row r="465" spans="1:4" ht="14" x14ac:dyDescent="0.15">
      <c r="A465" s="1" t="s">
        <v>493</v>
      </c>
      <c r="B465" s="2" t="str">
        <f t="shared" ca="1" si="7"/>
        <v>スマッシュ、クラッシュ</v>
      </c>
      <c r="D465" s="2" t="str">
        <f ca="1">IFERROR(__xludf.DUMMYFUNCTION("googletranslate(A464,""en"",""ja"")"),"スマッシュ、クラッシュ")</f>
        <v>スマッシュ、クラッシュ</v>
      </c>
    </row>
    <row r="466" spans="1:4" ht="14" x14ac:dyDescent="0.15">
      <c r="A466" s="1" t="s">
        <v>494</v>
      </c>
      <c r="B466" s="2" t="str">
        <f t="shared" ca="1" si="7"/>
        <v>速報</v>
      </c>
      <c r="D466" s="2" t="str">
        <f ca="1">IFERROR(__xludf.DUMMYFUNCTION("googletranslate(A465,""en"",""ja"")"),"速報")</f>
        <v>速報</v>
      </c>
    </row>
    <row r="467" spans="1:4" ht="14" x14ac:dyDescent="0.15">
      <c r="A467" s="1" t="s">
        <v>495</v>
      </c>
      <c r="B467" s="2" t="str">
        <f t="shared" ca="1" si="7"/>
        <v>バウンス</v>
      </c>
      <c r="D467" s="2" t="str">
        <f ca="1">IFERROR(__xludf.DUMMYFUNCTION("googletranslate(A466,""en"",""ja"")"),"バウンス")</f>
        <v>バウンス</v>
      </c>
    </row>
    <row r="468" spans="1:4" ht="14" x14ac:dyDescent="0.15">
      <c r="A468" s="1" t="s">
        <v>496</v>
      </c>
      <c r="B468" s="2" t="str">
        <f t="shared" ca="1" si="7"/>
        <v>ホイップ</v>
      </c>
      <c r="D468" s="2" t="str">
        <f ca="1">IFERROR(__xludf.DUMMYFUNCTION("googletranslate(A467,""en"",""ja"")"),"ホイップ")</f>
        <v>ホイップ</v>
      </c>
    </row>
    <row r="469" spans="1:4" ht="14" x14ac:dyDescent="0.15">
      <c r="A469" s="1" t="s">
        <v>497</v>
      </c>
      <c r="B469" s="2" t="str">
        <f t="shared" ca="1" si="7"/>
        <v>フラップ</v>
      </c>
      <c r="D469" s="2" t="str">
        <f ca="1">IFERROR(__xludf.DUMMYFUNCTION("googletranslate(A468,""en"",""ja"")"),"フラップ")</f>
        <v>フラップ</v>
      </c>
    </row>
    <row r="470" spans="1:4" ht="14" x14ac:dyDescent="0.15">
      <c r="A470" s="1" t="s">
        <v>498</v>
      </c>
      <c r="B470" s="2" t="str">
        <f t="shared" ca="1" si="7"/>
        <v>傷</v>
      </c>
      <c r="D470" s="2" t="str">
        <f ca="1">IFERROR(__xludf.DUMMYFUNCTION("googletranslate(A469,""en"",""ja"")"),"傷")</f>
        <v>傷</v>
      </c>
    </row>
    <row r="471" spans="1:4" ht="14" x14ac:dyDescent="0.15">
      <c r="A471" s="1" t="s">
        <v>499</v>
      </c>
      <c r="B471" s="2" t="str">
        <f t="shared" ca="1" si="7"/>
        <v>こすります</v>
      </c>
      <c r="D471" s="2" t="str">
        <f ca="1">IFERROR(__xludf.DUMMYFUNCTION("googletranslate(A470,""en"",""ja"")"),"こすります")</f>
        <v>こすります</v>
      </c>
    </row>
    <row r="472" spans="1:4" ht="14" x14ac:dyDescent="0.15">
      <c r="A472" s="1" t="s">
        <v>500</v>
      </c>
      <c r="B472" s="2" t="str">
        <f t="shared" ca="1" si="7"/>
        <v>こする</v>
      </c>
      <c r="D472" s="2" t="str">
        <f ca="1">IFERROR(__xludf.DUMMYFUNCTION("googletranslate(A471,""en"",""ja"")"),"こする")</f>
        <v>こする</v>
      </c>
    </row>
    <row r="473" spans="1:4" ht="14" x14ac:dyDescent="0.15">
      <c r="A473" s="1" t="s">
        <v>501</v>
      </c>
      <c r="B473" s="2" t="str">
        <f t="shared" ca="1" si="7"/>
        <v>ロール</v>
      </c>
      <c r="D473" s="2" t="str">
        <f ca="1">IFERROR(__xludf.DUMMYFUNCTION("googletranslate(A472,""en"",""ja"")"),"ロール")</f>
        <v>ロール</v>
      </c>
    </row>
    <row r="474" spans="1:4" ht="14" x14ac:dyDescent="0.15">
      <c r="A474" s="1" t="s">
        <v>502</v>
      </c>
      <c r="B474" s="2" t="str">
        <f t="shared" ca="1" si="7"/>
        <v>粉砕</v>
      </c>
      <c r="D474" s="2" t="str">
        <f ca="1">IFERROR(__xludf.DUMMYFUNCTION("googletranslate(A473,""en"",""ja"")"),"粉砕")</f>
        <v>粉砕</v>
      </c>
    </row>
    <row r="475" spans="1:4" ht="14" x14ac:dyDescent="0.15">
      <c r="A475" s="1" t="s">
        <v>503</v>
      </c>
      <c r="B475" s="2" t="str">
        <f t="shared" ca="1" si="7"/>
        <v>くしゃくしゃ、しわ</v>
      </c>
      <c r="D475" s="2" t="str">
        <f ca="1">IFERROR(__xludf.DUMMYFUNCTION("googletranslate(A474,""en"",""ja"")"),"くしゃくしゃ、しわ")</f>
        <v>くしゃくしゃ、しわ</v>
      </c>
    </row>
    <row r="476" spans="1:4" ht="14" x14ac:dyDescent="0.15">
      <c r="A476" s="1" t="s">
        <v>504</v>
      </c>
      <c r="B476" s="2" t="str">
        <f t="shared" ca="1" si="7"/>
        <v>涙</v>
      </c>
      <c r="D476" s="2" t="str">
        <f ca="1">IFERROR(__xludf.DUMMYFUNCTION("googletranslate(A475,""en"",""ja"")"),"涙")</f>
        <v>涙</v>
      </c>
    </row>
    <row r="477" spans="1:4" ht="14" x14ac:dyDescent="0.15">
      <c r="A477" s="1" t="s">
        <v>505</v>
      </c>
      <c r="B477" s="2" t="str">
        <f t="shared" ca="1" si="7"/>
        <v>ビープ音、ブリープ</v>
      </c>
      <c r="D477" s="2" t="str">
        <f ca="1">IFERROR(__xludf.DUMMYFUNCTION("googletranslate(A476,""en"",""ja"")"),"ビープ音、ブリープ")</f>
        <v>ビープ音、ブリープ</v>
      </c>
    </row>
    <row r="478" spans="1:4" ht="14" x14ac:dyDescent="0.15">
      <c r="A478" s="1" t="s">
        <v>506</v>
      </c>
      <c r="B478" s="2" t="str">
        <f t="shared" si="7"/>
        <v>ビシッ</v>
      </c>
      <c r="C478" s="5" t="s">
        <v>603</v>
      </c>
      <c r="D478" s="2" t="str">
        <f ca="1">IFERROR(__xludf.DUMMYFUNCTION("googletranslate(A477,""en"",""ja"")"),"ping")</f>
        <v>ping</v>
      </c>
    </row>
    <row r="479" spans="1:4" ht="14" x14ac:dyDescent="0.15">
      <c r="A479" s="1" t="s">
        <v>507</v>
      </c>
      <c r="B479" s="2" t="str">
        <f t="shared" ca="1" si="7"/>
        <v>ディン</v>
      </c>
      <c r="D479" s="2" t="str">
        <f ca="1">IFERROR(__xludf.DUMMYFUNCTION("googletranslate(A478,""en"",""ja"")"),"ディン")</f>
        <v>ディン</v>
      </c>
    </row>
    <row r="480" spans="1:4" ht="14" x14ac:dyDescent="0.15">
      <c r="A480" s="1" t="s">
        <v>508</v>
      </c>
      <c r="B480" s="2" t="str">
        <f t="shared" ca="1" si="7"/>
        <v>クラン</v>
      </c>
      <c r="D480" s="2" t="str">
        <f ca="1">IFERROR(__xludf.DUMMYFUNCTION("googletranslate(A479,""en"",""ja"")"),"クラン")</f>
        <v>クラン</v>
      </c>
    </row>
    <row r="481" spans="1:4" ht="14" x14ac:dyDescent="0.15">
      <c r="A481" s="1" t="s">
        <v>509</v>
      </c>
      <c r="B481" s="2" t="str">
        <f t="shared" ca="1" si="7"/>
        <v>鳴き声</v>
      </c>
      <c r="D481" s="2" t="str">
        <f ca="1">IFERROR(__xludf.DUMMYFUNCTION("googletranslate(A480,""en"",""ja"")"),"鳴き声")</f>
        <v>鳴き声</v>
      </c>
    </row>
    <row r="482" spans="1:4" ht="14" x14ac:dyDescent="0.15">
      <c r="A482" s="1" t="s">
        <v>510</v>
      </c>
      <c r="B482" s="2" t="str">
        <f t="shared" ca="1" si="7"/>
        <v>クリーク</v>
      </c>
      <c r="D482" s="2" t="str">
        <f ca="1">IFERROR(__xludf.DUMMYFUNCTION("googletranslate(A481,""en"",""ja"")"),"クリーク")</f>
        <v>クリーク</v>
      </c>
    </row>
    <row r="483" spans="1:4" ht="14" x14ac:dyDescent="0.15">
      <c r="A483" s="1" t="s">
        <v>511</v>
      </c>
      <c r="B483" s="2" t="str">
        <f t="shared" ca="1" si="7"/>
        <v>ざわめきます</v>
      </c>
      <c r="D483" s="2" t="str">
        <f ca="1">IFERROR(__xludf.DUMMYFUNCTION("googletranslate(A482,""en"",""ja"")"),"ざわめきます")</f>
        <v>ざわめきます</v>
      </c>
    </row>
    <row r="484" spans="1:4" ht="14" x14ac:dyDescent="0.15">
      <c r="A484" s="1" t="s">
        <v>512</v>
      </c>
      <c r="B484" s="2" t="str">
        <f t="shared" si="7"/>
        <v>ヒュー</v>
      </c>
      <c r="C484" s="2" t="s">
        <v>513</v>
      </c>
      <c r="D484" s="2" t="str">
        <f ca="1">IFERROR(__xludf.DUMMYFUNCTION("googletranslate(A483,""en"",""ja"")"),"whir")</f>
        <v>whir</v>
      </c>
    </row>
    <row r="485" spans="1:4" ht="14" x14ac:dyDescent="0.15">
      <c r="A485" s="1" t="s">
        <v>514</v>
      </c>
      <c r="B485" s="2" t="str">
        <f t="shared" ca="1" si="7"/>
        <v>ガタガタ</v>
      </c>
      <c r="D485" s="2" t="str">
        <f ca="1">IFERROR(__xludf.DUMMYFUNCTION("googletranslate(A484,""en"",""ja"")"),"ガタガタ")</f>
        <v>ガタガタ</v>
      </c>
    </row>
    <row r="486" spans="1:4" ht="14" x14ac:dyDescent="0.15">
      <c r="A486" s="1" t="s">
        <v>515</v>
      </c>
      <c r="B486" s="2" t="str">
        <f t="shared" si="7"/>
        <v>ジュージュー</v>
      </c>
      <c r="C486" s="5" t="s">
        <v>614</v>
      </c>
      <c r="D486" s="2" t="str">
        <f ca="1">IFERROR(__xludf.DUMMYFUNCTION("googletranslate(A485,""en"",""ja"")"),"シズル")</f>
        <v>シズル</v>
      </c>
    </row>
    <row r="487" spans="1:4" ht="14" x14ac:dyDescent="0.15">
      <c r="A487" s="1" t="s">
        <v>516</v>
      </c>
      <c r="B487" s="2" t="str">
        <f t="shared" si="7"/>
        <v>カチカチ</v>
      </c>
      <c r="C487" s="5" t="s">
        <v>615</v>
      </c>
      <c r="D487" s="2" t="str">
        <f ca="1">IFERROR(__xludf.DUMMYFUNCTION("googletranslate(A486,""en"",""ja"")"),"クリック")</f>
        <v>クリック</v>
      </c>
    </row>
    <row r="488" spans="1:4" ht="14" x14ac:dyDescent="0.15">
      <c r="A488" s="1" t="s">
        <v>517</v>
      </c>
      <c r="B488" s="2" t="str">
        <f t="shared" si="7"/>
        <v>ガタンゴトン</v>
      </c>
      <c r="C488" s="5" t="s">
        <v>613</v>
      </c>
      <c r="D488" s="2" t="str">
        <f ca="1">IFERROR(__xludf.DUMMYFUNCTION("googletranslate(A487,""en"",""ja"")"),"クリックタイクラック")</f>
        <v>クリックタイクラック</v>
      </c>
    </row>
    <row r="489" spans="1:4" ht="14" x14ac:dyDescent="0.15">
      <c r="A489" s="1" t="s">
        <v>518</v>
      </c>
      <c r="B489" s="2" t="str">
        <f t="shared" si="7"/>
        <v>ゴロゴロ</v>
      </c>
      <c r="C489" s="5" t="s">
        <v>612</v>
      </c>
      <c r="D489" s="2" t="str">
        <f ca="1">IFERROR(__xludf.DUMMYFUNCTION("googletranslate(A488,""en"",""ja"")"),"ランブル")</f>
        <v>ランブル</v>
      </c>
    </row>
    <row r="490" spans="1:4" ht="14" x14ac:dyDescent="0.15">
      <c r="A490" s="1" t="s">
        <v>519</v>
      </c>
      <c r="B490" s="2" t="str">
        <f t="shared" si="7"/>
        <v>ポチャン</v>
      </c>
      <c r="C490" s="5" t="s">
        <v>611</v>
      </c>
      <c r="D490" s="2" t="str">
        <f ca="1">IFERROR(__xludf.DUMMYFUNCTION("googletranslate(A489,""en"",""ja"")"),"プロップ")</f>
        <v>プロップ</v>
      </c>
    </row>
    <row r="491" spans="1:4" ht="14" x14ac:dyDescent="0.15">
      <c r="A491" s="1" t="s">
        <v>520</v>
      </c>
      <c r="B491" s="2" t="str">
        <f t="shared" si="7"/>
        <v>チリンチリン</v>
      </c>
      <c r="C491" s="5" t="s">
        <v>616</v>
      </c>
      <c r="D491" s="2" t="str">
        <f ca="1">IFERROR(__xludf.DUMMYFUNCTION("googletranslate(A490,""en"",""ja"")"),"ジングル、ティンクル")</f>
        <v>ジングル、ティンクル</v>
      </c>
    </row>
    <row r="492" spans="1:4" ht="14" x14ac:dyDescent="0.15">
      <c r="A492" s="1" t="s">
        <v>521</v>
      </c>
      <c r="B492" s="2" t="str">
        <f t="shared" si="7"/>
        <v>ブーン</v>
      </c>
      <c r="C492" s="2" t="s">
        <v>522</v>
      </c>
      <c r="D492" s="2" t="str">
        <f ca="1">IFERROR(__xludf.DUMMYFUNCTION("googletranslate(A491,""en"",""ja"")"),"ハム")</f>
        <v>ハム</v>
      </c>
    </row>
    <row r="493" spans="1:4" ht="14" x14ac:dyDescent="0.15">
      <c r="A493" s="1" t="s">
        <v>523</v>
      </c>
      <c r="B493" s="2" t="str">
        <f t="shared" si="7"/>
        <v>ヒュッ</v>
      </c>
      <c r="C493" s="2" t="s">
        <v>524</v>
      </c>
      <c r="D493" s="2" t="str">
        <f ca="1">IFERROR(__xludf.DUMMYFUNCTION("googletranslate(A492,""en"",""ja"")"),"zing")</f>
        <v>zing</v>
      </c>
    </row>
    <row r="494" spans="1:4" ht="14" x14ac:dyDescent="0.15">
      <c r="A494" s="1" t="s">
        <v>525</v>
      </c>
      <c r="B494" s="2" t="str">
        <f t="shared" si="7"/>
        <v>ボヨンボヨン</v>
      </c>
      <c r="C494" s="5" t="s">
        <v>604</v>
      </c>
      <c r="D494" s="2" t="str">
        <f ca="1">IFERROR(__xludf.DUMMYFUNCTION("googletranslate(A493,""en"",""ja"")"),"ボーイング")</f>
        <v>ボーイング</v>
      </c>
    </row>
    <row r="495" spans="1:4" ht="14" x14ac:dyDescent="0.15">
      <c r="A495" s="1" t="s">
        <v>526</v>
      </c>
      <c r="B495" s="2" t="str">
        <f t="shared" ca="1" si="7"/>
        <v>噛み砕く</v>
      </c>
      <c r="D495" s="2" t="str">
        <f ca="1">IFERROR(__xludf.DUMMYFUNCTION("googletranslate(A494,""en"",""ja"")"),"噛み砕く")</f>
        <v>噛み砕く</v>
      </c>
    </row>
    <row r="496" spans="1:4" ht="14" x14ac:dyDescent="0.15">
      <c r="A496" s="1" t="s">
        <v>527</v>
      </c>
      <c r="B496" s="2" t="str">
        <f t="shared" si="7"/>
        <v>無音</v>
      </c>
      <c r="C496" s="5" t="s">
        <v>617</v>
      </c>
      <c r="D496" s="2" t="str">
        <f ca="1">IFERROR(__xludf.DUMMYFUNCTION("googletranslate(A495,""en"",""ja"")"),"沈黙")</f>
        <v>沈黙</v>
      </c>
    </row>
    <row r="497" spans="1:4" ht="14" x14ac:dyDescent="0.15">
      <c r="A497" s="1" t="s">
        <v>528</v>
      </c>
      <c r="B497" s="2" t="str">
        <f t="shared" ca="1" si="7"/>
        <v>正弦波</v>
      </c>
      <c r="D497" s="2" t="str">
        <f ca="1">IFERROR(__xludf.DUMMYFUNCTION("googletranslate(A496,""en"",""ja"")"),"正弦波")</f>
        <v>正弦波</v>
      </c>
    </row>
    <row r="498" spans="1:4" ht="14" x14ac:dyDescent="0.15">
      <c r="A498" s="1" t="s">
        <v>529</v>
      </c>
      <c r="B498" s="2" t="str">
        <f t="shared" ca="1" si="7"/>
        <v>高調波</v>
      </c>
      <c r="D498" s="2" t="str">
        <f ca="1">IFERROR(__xludf.DUMMYFUNCTION("googletranslate(A497,""en"",""ja"")"),"高調波")</f>
        <v>高調波</v>
      </c>
    </row>
    <row r="499" spans="1:4" ht="14" x14ac:dyDescent="0.15">
      <c r="A499" s="1" t="s">
        <v>530</v>
      </c>
      <c r="B499" s="2" t="str">
        <f t="shared" si="7"/>
        <v>チャープ音</v>
      </c>
      <c r="C499" s="2" t="s">
        <v>531</v>
      </c>
      <c r="D499" s="2" t="str">
        <f ca="1">IFERROR(__xludf.DUMMYFUNCTION("googletranslate(A498,""en"",""ja"")"),"チャープトーン")</f>
        <v>チャープトーン</v>
      </c>
    </row>
    <row r="500" spans="1:4" ht="14" x14ac:dyDescent="0.15">
      <c r="A500" s="1" t="s">
        <v>532</v>
      </c>
      <c r="B500" s="2" t="str">
        <f t="shared" ca="1" si="7"/>
        <v>サウンドエフェクト</v>
      </c>
      <c r="D500" s="2" t="str">
        <f ca="1">IFERROR(__xludf.DUMMYFUNCTION("googletranslate(A499,""en"",""ja"")"),"サウンドエフェクト")</f>
        <v>サウンドエフェクト</v>
      </c>
    </row>
    <row r="501" spans="1:4" ht="14" x14ac:dyDescent="0.15">
      <c r="A501" s="1" t="s">
        <v>533</v>
      </c>
      <c r="B501" s="2" t="str">
        <f t="shared" ca="1" si="7"/>
        <v>脈</v>
      </c>
      <c r="D501" s="2" t="str">
        <f ca="1">IFERROR(__xludf.DUMMYFUNCTION("googletranslate(A500,""en"",""ja"")"),"脈")</f>
        <v>脈</v>
      </c>
    </row>
    <row r="502" spans="1:4" ht="14" x14ac:dyDescent="0.15">
      <c r="A502" s="1" t="s">
        <v>534</v>
      </c>
      <c r="B502" s="2" t="str">
        <f t="shared" ca="1" si="7"/>
        <v>内部、小さな部屋</v>
      </c>
      <c r="D502" s="2" t="str">
        <f ca="1">IFERROR(__xludf.DUMMYFUNCTION("googletranslate(A501,""en"",""ja"")"),"内部、小さな部屋")</f>
        <v>内部、小さな部屋</v>
      </c>
    </row>
    <row r="503" spans="1:4" ht="14" x14ac:dyDescent="0.15">
      <c r="A503" s="1" t="s">
        <v>535</v>
      </c>
      <c r="B503" s="2" t="str">
        <f t="shared" ca="1" si="7"/>
        <v>内部、大きな部屋またはホール</v>
      </c>
      <c r="D503" s="2" t="str">
        <f ca="1">IFERROR(__xludf.DUMMYFUNCTION("googletranslate(A502,""en"",""ja"")"),"内部、大きな部屋またはホール")</f>
        <v>内部、大きな部屋またはホール</v>
      </c>
    </row>
    <row r="504" spans="1:4" ht="14" x14ac:dyDescent="0.15">
      <c r="A504" s="1" t="s">
        <v>536</v>
      </c>
      <c r="B504" s="2" t="str">
        <f t="shared" ca="1" si="7"/>
        <v>内部、公共スペース</v>
      </c>
      <c r="D504" s="2" t="str">
        <f ca="1">IFERROR(__xludf.DUMMYFUNCTION("googletranslate(A503,""en"",""ja"")"),"内部、公共スペース")</f>
        <v>内部、公共スペース</v>
      </c>
    </row>
    <row r="505" spans="1:4" ht="14" x14ac:dyDescent="0.15">
      <c r="A505" s="1" t="s">
        <v>537</v>
      </c>
      <c r="B505" s="2" t="str">
        <f t="shared" ca="1" si="7"/>
        <v>外、都市または人工</v>
      </c>
      <c r="D505" s="2" t="str">
        <f ca="1">IFERROR(__xludf.DUMMYFUNCTION("googletranslate(A504,""en"",""ja"")"),"外、都市または人工")</f>
        <v>外、都市または人工</v>
      </c>
    </row>
    <row r="506" spans="1:4" ht="14" x14ac:dyDescent="0.15">
      <c r="A506" s="1" t="s">
        <v>538</v>
      </c>
      <c r="B506" s="2" t="str">
        <f t="shared" ca="1" si="7"/>
        <v>外、田舎または自然</v>
      </c>
      <c r="D506" s="2" t="str">
        <f ca="1">IFERROR(__xludf.DUMMYFUNCTION("googletranslate(A505,""en"",""ja"")"),"外、田舎または自然")</f>
        <v>外、田舎または自然</v>
      </c>
    </row>
    <row r="507" spans="1:4" ht="14" x14ac:dyDescent="0.15">
      <c r="A507" s="1" t="s">
        <v>539</v>
      </c>
      <c r="B507" s="2" t="str">
        <f t="shared" ca="1" si="7"/>
        <v>残響</v>
      </c>
      <c r="D507" s="2" t="str">
        <f ca="1">IFERROR(__xludf.DUMMYFUNCTION("googletranslate(A506,""en"",""ja"")"),"残響")</f>
        <v>残響</v>
      </c>
    </row>
    <row r="508" spans="1:4" ht="14" x14ac:dyDescent="0.15">
      <c r="A508" s="1" t="s">
        <v>540</v>
      </c>
      <c r="B508" s="2" t="str">
        <f t="shared" ca="1" si="7"/>
        <v>エコー</v>
      </c>
      <c r="D508" s="2" t="str">
        <f ca="1">IFERROR(__xludf.DUMMYFUNCTION("googletranslate(A507,""en"",""ja"")"),"エコー")</f>
        <v>エコー</v>
      </c>
    </row>
    <row r="509" spans="1:4" ht="14" x14ac:dyDescent="0.15">
      <c r="A509" s="1" t="s">
        <v>541</v>
      </c>
      <c r="B509" s="2" t="str">
        <f t="shared" ca="1" si="7"/>
        <v>ノイズ</v>
      </c>
      <c r="D509" s="2" t="str">
        <f ca="1">IFERROR(__xludf.DUMMYFUNCTION("googletranslate(A508,""en"",""ja"")"),"ノイズ")</f>
        <v>ノイズ</v>
      </c>
    </row>
    <row r="510" spans="1:4" ht="14" x14ac:dyDescent="0.15">
      <c r="A510" s="1" t="s">
        <v>542</v>
      </c>
      <c r="B510" s="2" t="str">
        <f t="shared" ca="1" si="7"/>
        <v>環境ノイズ</v>
      </c>
      <c r="D510" s="2" t="str">
        <f ca="1">IFERROR(__xludf.DUMMYFUNCTION("googletranslate(A509,""en"",""ja"")"),"環境ノイズ")</f>
        <v>環境ノイズ</v>
      </c>
    </row>
    <row r="511" spans="1:4" ht="14" x14ac:dyDescent="0.15">
      <c r="A511" s="1" t="s">
        <v>543</v>
      </c>
      <c r="B511" s="2" t="str">
        <f t="shared" ca="1" si="7"/>
        <v>静的</v>
      </c>
      <c r="D511" s="2" t="str">
        <f ca="1">IFERROR(__xludf.DUMMYFUNCTION("googletranslate(A510,""en"",""ja"")"),"静的")</f>
        <v>静的</v>
      </c>
    </row>
    <row r="512" spans="1:4" ht="14" x14ac:dyDescent="0.15">
      <c r="A512" s="1" t="s">
        <v>544</v>
      </c>
      <c r="B512" s="2" t="str">
        <f t="shared" si="7"/>
        <v>ハムノイズ</v>
      </c>
      <c r="C512" s="5" t="s">
        <v>609</v>
      </c>
      <c r="D512" s="2" t="str">
        <f ca="1">IFERROR(__xludf.DUMMYFUNCTION("googletranslate(A511,""en"",""ja"")"),"メインハム")</f>
        <v>メインハム</v>
      </c>
    </row>
    <row r="513" spans="1:4" ht="14" x14ac:dyDescent="0.15">
      <c r="A513" s="1" t="s">
        <v>545</v>
      </c>
      <c r="B513" s="2" t="str">
        <f t="shared" si="7"/>
        <v>ひずみ音</v>
      </c>
      <c r="C513" s="5" t="s">
        <v>610</v>
      </c>
      <c r="D513" s="2" t="str">
        <f ca="1">IFERROR(__xludf.DUMMYFUNCTION("googletranslate(A512,""en"",""ja"")"),"ねじれ")</f>
        <v>ねじれ</v>
      </c>
    </row>
    <row r="514" spans="1:4" ht="14" x14ac:dyDescent="0.15">
      <c r="A514" s="1" t="s">
        <v>546</v>
      </c>
      <c r="B514" s="2" t="str">
        <f t="shared" ref="B514:B577" si="8">IF(C514="",D514,C514)</f>
        <v>側音</v>
      </c>
      <c r="C514" s="5" t="s">
        <v>608</v>
      </c>
      <c r="D514" s="2" t="str">
        <f ca="1">IFERROR(__xludf.DUMMYFUNCTION("googletranslate(A513,""en"",""ja"")"),"サイドトーン")</f>
        <v>サイドトーン</v>
      </c>
    </row>
    <row r="515" spans="1:4" ht="14" x14ac:dyDescent="0.15">
      <c r="A515" s="1" t="s">
        <v>547</v>
      </c>
      <c r="B515" s="2" t="str">
        <f t="shared" ca="1" si="8"/>
        <v>不協和音</v>
      </c>
      <c r="D515" s="2" t="str">
        <f ca="1">IFERROR(__xludf.DUMMYFUNCTION("googletranslate(A514,""en"",""ja"")"),"不協和音")</f>
        <v>不協和音</v>
      </c>
    </row>
    <row r="516" spans="1:4" ht="14" x14ac:dyDescent="0.15">
      <c r="A516" s="1" t="s">
        <v>548</v>
      </c>
      <c r="B516" s="2" t="str">
        <f t="shared" ca="1" si="8"/>
        <v>白色雑音</v>
      </c>
      <c r="D516" s="2" t="str">
        <f ca="1">IFERROR(__xludf.DUMMYFUNCTION("googletranslate(A515,""en"",""ja"")"),"白色雑音")</f>
        <v>白色雑音</v>
      </c>
    </row>
    <row r="517" spans="1:4" ht="14" x14ac:dyDescent="0.15">
      <c r="A517" s="1" t="s">
        <v>549</v>
      </c>
      <c r="B517" s="2" t="str">
        <f t="shared" si="8"/>
        <v>ピンクノイズ</v>
      </c>
      <c r="C517" s="5" t="s">
        <v>607</v>
      </c>
      <c r="D517" s="2" t="str">
        <f ca="1">IFERROR(__xludf.DUMMYFUNCTION("googletranslate(A516,""en"",""ja"")"),"ピンクのノイズ")</f>
        <v>ピンクのノイズ</v>
      </c>
    </row>
    <row r="518" spans="1:4" ht="14" x14ac:dyDescent="0.15">
      <c r="A518" s="1" t="s">
        <v>550</v>
      </c>
      <c r="B518" s="2" t="str">
        <f t="shared" ca="1" si="8"/>
        <v>ドキドキ</v>
      </c>
      <c r="D518" s="2" t="str">
        <f ca="1">IFERROR(__xludf.DUMMYFUNCTION("googletranslate(A517,""en"",""ja"")"),"ドキドキ")</f>
        <v>ドキドキ</v>
      </c>
    </row>
    <row r="519" spans="1:4" ht="14" x14ac:dyDescent="0.15">
      <c r="A519" s="1" t="s">
        <v>551</v>
      </c>
      <c r="B519" s="2" t="str">
        <f t="shared" ca="1" si="8"/>
        <v>振動</v>
      </c>
      <c r="D519" s="2" t="str">
        <f ca="1">IFERROR(__xludf.DUMMYFUNCTION("googletranslate(A518,""en"",""ja"")"),"振動")</f>
        <v>振動</v>
      </c>
    </row>
    <row r="520" spans="1:4" ht="14" x14ac:dyDescent="0.15">
      <c r="A520" s="1" t="s">
        <v>552</v>
      </c>
      <c r="B520" s="2" t="str">
        <f t="shared" ca="1" si="8"/>
        <v>テレビ</v>
      </c>
      <c r="D520" s="2" t="str">
        <f ca="1">IFERROR(__xludf.DUMMYFUNCTION("googletranslate(A519,""en"",""ja"")"),"テレビ")</f>
        <v>テレビ</v>
      </c>
    </row>
    <row r="521" spans="1:4" ht="14" x14ac:dyDescent="0.15">
      <c r="A521" s="1" t="s">
        <v>553</v>
      </c>
      <c r="B521" s="2" t="str">
        <f t="shared" si="8"/>
        <v>ラジオ</v>
      </c>
      <c r="C521" s="5" t="s">
        <v>606</v>
      </c>
      <c r="D521" s="2" t="str">
        <f ca="1">IFERROR(__xludf.DUMMYFUNCTION("googletranslate(A520,""en"",""ja"")"),"無線")</f>
        <v>無線</v>
      </c>
    </row>
    <row r="522" spans="1:4" ht="14" x14ac:dyDescent="0.15">
      <c r="A522" s="1" t="s">
        <v>554</v>
      </c>
      <c r="B522" s="2" t="str">
        <f t="shared" si="8"/>
        <v>フィールドレコーディング</v>
      </c>
      <c r="C522" s="5" t="s">
        <v>605</v>
      </c>
      <c r="D522" s="2" t="str">
        <f ca="1">IFERROR(__xludf.DUMMYFUNCTION("googletranslate(A521,""en"",""ja"")"),"フィールド記録")</f>
        <v>フィールド記録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yammnet_label_org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泰介 福野</cp:lastModifiedBy>
  <dcterms:created xsi:type="dcterms:W3CDTF">2023-12-16T22:51:33Z</dcterms:created>
  <dcterms:modified xsi:type="dcterms:W3CDTF">2023-12-17T00:08:40Z</dcterms:modified>
</cp:coreProperties>
</file>