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THOMAS\Documents\"/>
    </mc:Choice>
  </mc:AlternateContent>
  <xr:revisionPtr revIDLastSave="0" documentId="13_ncr:1_{6434A454-1736-453E-B91F-29DA1ED2BC6A}" xr6:coauthVersionLast="46" xr6:coauthVersionMax="46" xr10:uidLastSave="{00000000-0000-0000-0000-000000000000}"/>
  <bookViews>
    <workbookView xWindow="-120" yWindow="-120" windowWidth="29040" windowHeight="16440" tabRatio="842" activeTab="1" xr2:uid="{53F28072-B357-4399-9693-F3FB91F74532}"/>
  </bookViews>
  <sheets>
    <sheet name="Summary Per Category per KPI" sheetId="20" r:id="rId1"/>
    <sheet name="Credit Note Approval Form" sheetId="13" r:id="rId2"/>
    <sheet name="Workings" sheetId="7" r:id="rId3"/>
    <sheet name="&gt;&gt;&gt;EXTRACTIONS" sheetId="17" r:id="rId4"/>
    <sheet name="Navision sales Dump" sheetId="1" r:id="rId5"/>
    <sheet name="Bouclage EG Cust Cons_Decons" sheetId="16" r:id="rId6"/>
    <sheet name="TT Around time" sheetId="18" r:id="rId7"/>
    <sheet name="Customer Num Distr." sheetId="19" r:id="rId8"/>
    <sheet name="Customer Budget Per Category" sheetId="14" r:id="rId9"/>
    <sheet name="Discount Scheme Target" sheetId="3" r:id="rId10"/>
    <sheet name="Lists" sheetId="9" state="hidden" r:id="rId11"/>
    <sheet name="Dashboard" sheetId="21" state="hidden" r:id="rId12"/>
  </sheets>
  <definedNames>
    <definedName name="_xlnm._FilterDatabase" localSheetId="5" hidden="1">'Bouclage EG Cust Cons_Decons'!$A$1:$I$44</definedName>
    <definedName name="_xlnm._FilterDatabase" localSheetId="1" hidden="1">'Credit Note Approval Form'!$B$7:$Q$53</definedName>
    <definedName name="_xlnm._FilterDatabase" localSheetId="7" hidden="1">'Customer Num Distr.'!$A$1:$E$46</definedName>
    <definedName name="_xlnm._FilterDatabase" localSheetId="4" hidden="1">'Navision sales Dump'!$A$1:$K$2565</definedName>
    <definedName name="_xlnm._FilterDatabase" localSheetId="6" hidden="1">'TT Around time'!$A$1:$I$46</definedName>
    <definedName name="_xlnm._FilterDatabase" localSheetId="2" hidden="1">Workings!$A$1:$N$496</definedName>
    <definedName name="Alcomix">Lists!$U$3:$U$8</definedName>
    <definedName name="All_categories">Lists!$B$3:$B$118</definedName>
    <definedName name="Cans">Lists!$AK$3:$AK$27</definedName>
    <definedName name="Castel_Beer_KK">Lists!$S$3:$S$5</definedName>
    <definedName name="CSD_PET">Lists!$AE$3:$AE$15</definedName>
    <definedName name="CSD_RGB">Lists!$AC$3:$AC$10</definedName>
    <definedName name="Discount_Scheme_Target">'Discount Scheme Target'!$B$3:$I$16</definedName>
    <definedName name="_xlnm.Print_Area" localSheetId="1">'Credit Note Approval Form'!$A$1:$T$67</definedName>
    <definedName name="_xlnm.Print_Titles" localSheetId="1">'Credit Note Approval Form'!$1:$7</definedName>
    <definedName name="Spirits">Lists!$W$3:$W$15</definedName>
    <definedName name="Squash">Lists!$AG$3:$AG$7</definedName>
    <definedName name="Water">Lists!$AI$3:$AI$5</definedName>
    <definedName name="Wines">Lists!$AM$3:$AM$26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9" i="14" l="1"/>
  <c r="S46" i="14"/>
  <c r="G367" i="7"/>
  <c r="G369" i="7"/>
  <c r="G365" i="7"/>
  <c r="G372" i="7"/>
  <c r="S50" i="13"/>
  <c r="S52" i="13"/>
  <c r="K46" i="18" s="1"/>
  <c r="L493" i="7"/>
  <c r="H43" i="18"/>
  <c r="H45" i="18"/>
  <c r="H46" i="18"/>
  <c r="I46" i="18" s="1"/>
  <c r="K496" i="7"/>
  <c r="J496" i="7"/>
  <c r="H496" i="7"/>
  <c r="G496" i="7"/>
  <c r="F496" i="7"/>
  <c r="K495" i="7"/>
  <c r="J495" i="7"/>
  <c r="H495" i="7"/>
  <c r="G495" i="7"/>
  <c r="F495" i="7"/>
  <c r="K494" i="7"/>
  <c r="J494" i="7"/>
  <c r="H494" i="7"/>
  <c r="G494" i="7"/>
  <c r="F494" i="7"/>
  <c r="K493" i="7"/>
  <c r="J493" i="7"/>
  <c r="H493" i="7"/>
  <c r="G493" i="7"/>
  <c r="F493" i="7"/>
  <c r="K492" i="7"/>
  <c r="J492" i="7"/>
  <c r="H492" i="7"/>
  <c r="G492" i="7"/>
  <c r="F492" i="7"/>
  <c r="K491" i="7"/>
  <c r="J491" i="7"/>
  <c r="H491" i="7"/>
  <c r="G491" i="7"/>
  <c r="F491" i="7"/>
  <c r="K490" i="7"/>
  <c r="J490" i="7"/>
  <c r="H490" i="7"/>
  <c r="G490" i="7"/>
  <c r="F490" i="7"/>
  <c r="K489" i="7"/>
  <c r="J489" i="7"/>
  <c r="H489" i="7"/>
  <c r="G489" i="7"/>
  <c r="F489" i="7"/>
  <c r="K488" i="7"/>
  <c r="J488" i="7"/>
  <c r="H488" i="7"/>
  <c r="G488" i="7"/>
  <c r="F488" i="7"/>
  <c r="K487" i="7"/>
  <c r="J487" i="7"/>
  <c r="H487" i="7"/>
  <c r="G487" i="7"/>
  <c r="F487" i="7"/>
  <c r="K486" i="7"/>
  <c r="J486" i="7"/>
  <c r="H486" i="7"/>
  <c r="G486" i="7"/>
  <c r="F486" i="7"/>
  <c r="F46" i="18"/>
  <c r="L492" i="7" s="1"/>
  <c r="I490" i="7" l="1"/>
  <c r="I491" i="7"/>
  <c r="I489" i="7"/>
  <c r="I492" i="7"/>
  <c r="M492" i="7" s="1"/>
  <c r="N492" i="7" s="1"/>
  <c r="L52" i="13" s="1"/>
  <c r="I486" i="7"/>
  <c r="I494" i="7"/>
  <c r="I488" i="7"/>
  <c r="I496" i="7"/>
  <c r="I493" i="7"/>
  <c r="M493" i="7" s="1"/>
  <c r="N493" i="7" s="1"/>
  <c r="M52" i="13" s="1"/>
  <c r="L486" i="7"/>
  <c r="L494" i="7"/>
  <c r="L487" i="7"/>
  <c r="L495" i="7"/>
  <c r="L488" i="7"/>
  <c r="L496" i="7"/>
  <c r="L489" i="7"/>
  <c r="L490" i="7"/>
  <c r="L491" i="7"/>
  <c r="I495" i="7"/>
  <c r="I487" i="7"/>
  <c r="M490" i="7" l="1"/>
  <c r="N490" i="7" s="1"/>
  <c r="J52" i="13" s="1"/>
  <c r="M491" i="7"/>
  <c r="N491" i="7" s="1"/>
  <c r="K52" i="13" s="1"/>
  <c r="M488" i="7"/>
  <c r="N488" i="7" s="1"/>
  <c r="H52" i="13" s="1"/>
  <c r="M486" i="7"/>
  <c r="N486" i="7" s="1"/>
  <c r="F52" i="13" s="1"/>
  <c r="M487" i="7"/>
  <c r="N487" i="7" s="1"/>
  <c r="G52" i="13" s="1"/>
  <c r="M489" i="7"/>
  <c r="N489" i="7" s="1"/>
  <c r="I52" i="13" s="1"/>
  <c r="M496" i="7"/>
  <c r="N496" i="7" s="1"/>
  <c r="P52" i="13" s="1"/>
  <c r="M495" i="7"/>
  <c r="N495" i="7" s="1"/>
  <c r="O52" i="13" s="1"/>
  <c r="M494" i="7"/>
  <c r="N494" i="7" s="1"/>
  <c r="N52" i="13" s="1"/>
  <c r="V493" i="7"/>
  <c r="W489" i="7"/>
  <c r="V492" i="7"/>
  <c r="W493" i="7"/>
  <c r="W488" i="7"/>
  <c r="U492" i="7"/>
  <c r="W487" i="7"/>
  <c r="W496" i="7"/>
  <c r="W486" i="7"/>
  <c r="V490" i="7"/>
  <c r="W495" i="7"/>
  <c r="W494" i="7"/>
  <c r="U490" i="7"/>
  <c r="V491" i="7"/>
  <c r="W492" i="7"/>
  <c r="U489" i="7"/>
  <c r="W491" i="7"/>
  <c r="U491" i="7"/>
  <c r="U488" i="7"/>
  <c r="V489" i="7"/>
  <c r="W490" i="7"/>
  <c r="U496" i="7"/>
  <c r="T486" i="7"/>
  <c r="U495" i="7"/>
  <c r="V496" i="7"/>
  <c r="U487" i="7"/>
  <c r="V488" i="7"/>
  <c r="U494" i="7"/>
  <c r="V495" i="7"/>
  <c r="U493" i="7"/>
  <c r="V494" i="7"/>
  <c r="U486" i="7"/>
  <c r="V487" i="7"/>
  <c r="V486" i="7"/>
  <c r="K386" i="7"/>
  <c r="J386" i="7"/>
  <c r="F386" i="7"/>
  <c r="K385" i="7"/>
  <c r="J385" i="7"/>
  <c r="F385" i="7"/>
  <c r="K384" i="7"/>
  <c r="J384" i="7"/>
  <c r="F384" i="7"/>
  <c r="K383" i="7"/>
  <c r="J383" i="7"/>
  <c r="F383" i="7"/>
  <c r="K382" i="7"/>
  <c r="J382" i="7"/>
  <c r="F382" i="7"/>
  <c r="K381" i="7"/>
  <c r="J381" i="7"/>
  <c r="F381" i="7"/>
  <c r="K380" i="7"/>
  <c r="J380" i="7"/>
  <c r="F380" i="7"/>
  <c r="K379" i="7"/>
  <c r="J379" i="7"/>
  <c r="F379" i="7"/>
  <c r="K378" i="7"/>
  <c r="J378" i="7"/>
  <c r="F378" i="7"/>
  <c r="K377" i="7"/>
  <c r="J377" i="7"/>
  <c r="F377" i="7"/>
  <c r="K376" i="7"/>
  <c r="J376" i="7"/>
  <c r="F376" i="7"/>
  <c r="K188" i="7"/>
  <c r="J188" i="7"/>
  <c r="F188" i="7"/>
  <c r="K187" i="7"/>
  <c r="J187" i="7"/>
  <c r="F187" i="7"/>
  <c r="K186" i="7"/>
  <c r="J186" i="7"/>
  <c r="F186" i="7"/>
  <c r="K185" i="7"/>
  <c r="J185" i="7"/>
  <c r="F185" i="7"/>
  <c r="K184" i="7"/>
  <c r="J184" i="7"/>
  <c r="F184" i="7"/>
  <c r="K183" i="7"/>
  <c r="J183" i="7"/>
  <c r="F183" i="7"/>
  <c r="K182" i="7"/>
  <c r="J182" i="7"/>
  <c r="F182" i="7"/>
  <c r="K181" i="7"/>
  <c r="J181" i="7"/>
  <c r="F181" i="7"/>
  <c r="K180" i="7"/>
  <c r="J180" i="7"/>
  <c r="F180" i="7"/>
  <c r="K179" i="7"/>
  <c r="J179" i="7"/>
  <c r="F179" i="7"/>
  <c r="K178" i="7"/>
  <c r="J178" i="7"/>
  <c r="F178" i="7"/>
  <c r="K177" i="7"/>
  <c r="J177" i="7"/>
  <c r="F177" i="7"/>
  <c r="K176" i="7"/>
  <c r="J176" i="7"/>
  <c r="F176" i="7"/>
  <c r="K175" i="7"/>
  <c r="J175" i="7"/>
  <c r="F175" i="7"/>
  <c r="K174" i="7"/>
  <c r="J174" i="7"/>
  <c r="F174" i="7"/>
  <c r="K173" i="7"/>
  <c r="J173" i="7"/>
  <c r="F173" i="7"/>
  <c r="K172" i="7"/>
  <c r="J172" i="7"/>
  <c r="F172" i="7"/>
  <c r="K171" i="7"/>
  <c r="J171" i="7"/>
  <c r="F171" i="7"/>
  <c r="K170" i="7"/>
  <c r="J170" i="7"/>
  <c r="F170" i="7"/>
  <c r="K169" i="7"/>
  <c r="J169" i="7"/>
  <c r="F169" i="7"/>
  <c r="K168" i="7"/>
  <c r="J168" i="7"/>
  <c r="F168" i="7"/>
  <c r="K167" i="7"/>
  <c r="J167" i="7"/>
  <c r="F167" i="7"/>
  <c r="K166" i="7"/>
  <c r="J166" i="7"/>
  <c r="F166" i="7"/>
  <c r="K165" i="7"/>
  <c r="J165" i="7"/>
  <c r="F165" i="7"/>
  <c r="K164" i="7"/>
  <c r="J164" i="7"/>
  <c r="F164" i="7"/>
  <c r="K163" i="7"/>
  <c r="J163" i="7"/>
  <c r="F163" i="7"/>
  <c r="K162" i="7"/>
  <c r="J162" i="7"/>
  <c r="F162" i="7"/>
  <c r="K161" i="7"/>
  <c r="J161" i="7"/>
  <c r="F161" i="7"/>
  <c r="K160" i="7"/>
  <c r="J160" i="7"/>
  <c r="F160" i="7"/>
  <c r="K159" i="7"/>
  <c r="J159" i="7"/>
  <c r="F159" i="7"/>
  <c r="K158" i="7"/>
  <c r="J158" i="7"/>
  <c r="F158" i="7"/>
  <c r="K157" i="7"/>
  <c r="J157" i="7"/>
  <c r="F157" i="7"/>
  <c r="K156" i="7"/>
  <c r="J156" i="7"/>
  <c r="F156" i="7"/>
  <c r="S42" i="13"/>
  <c r="S24" i="13"/>
  <c r="K18" i="18" s="1"/>
  <c r="S23" i="13"/>
  <c r="S22" i="13"/>
  <c r="I36" i="18"/>
  <c r="I18" i="18"/>
  <c r="I17" i="18"/>
  <c r="I16" i="18"/>
  <c r="F36" i="18"/>
  <c r="F18" i="18"/>
  <c r="F17" i="18"/>
  <c r="F16" i="18"/>
  <c r="G49" i="14"/>
  <c r="H49" i="14"/>
  <c r="I49" i="14"/>
  <c r="J49" i="14"/>
  <c r="K49" i="14"/>
  <c r="F49" i="14"/>
  <c r="P36" i="14"/>
  <c r="S36" i="14" s="1"/>
  <c r="S49" i="13"/>
  <c r="S18" i="13"/>
  <c r="S17" i="13"/>
  <c r="Q52" i="13" l="1"/>
  <c r="T52" i="13" s="1"/>
  <c r="K36" i="18"/>
  <c r="K16" i="18"/>
  <c r="K17" i="18"/>
  <c r="L383" i="7"/>
  <c r="L382" i="7"/>
  <c r="L381" i="7"/>
  <c r="L384" i="7"/>
  <c r="L380" i="7"/>
  <c r="L379" i="7"/>
  <c r="L376" i="7"/>
  <c r="L386" i="7"/>
  <c r="L378" i="7"/>
  <c r="L385" i="7"/>
  <c r="L377" i="7"/>
  <c r="L160" i="7"/>
  <c r="L159" i="7"/>
  <c r="L166" i="7"/>
  <c r="L158" i="7"/>
  <c r="L161" i="7"/>
  <c r="L165" i="7"/>
  <c r="L157" i="7"/>
  <c r="L164" i="7"/>
  <c r="L156" i="7"/>
  <c r="L163" i="7"/>
  <c r="L162" i="7"/>
  <c r="L176" i="7"/>
  <c r="L168" i="7"/>
  <c r="L175" i="7"/>
  <c r="L167" i="7"/>
  <c r="L174" i="7"/>
  <c r="L173" i="7"/>
  <c r="L172" i="7"/>
  <c r="L177" i="7"/>
  <c r="L171" i="7"/>
  <c r="L170" i="7"/>
  <c r="L169" i="7"/>
  <c r="L184" i="7"/>
  <c r="L185" i="7"/>
  <c r="L183" i="7"/>
  <c r="L182" i="7"/>
  <c r="L181" i="7"/>
  <c r="L188" i="7"/>
  <c r="L180" i="7"/>
  <c r="L187" i="7"/>
  <c r="L179" i="7"/>
  <c r="L186" i="7"/>
  <c r="L178" i="7"/>
  <c r="T492" i="7"/>
  <c r="X492" i="7" s="1"/>
  <c r="Y492" i="7" s="1"/>
  <c r="T493" i="7"/>
  <c r="X493" i="7" s="1"/>
  <c r="Y493" i="7" s="1"/>
  <c r="T487" i="7"/>
  <c r="X487" i="7" s="1"/>
  <c r="Y487" i="7" s="1"/>
  <c r="T494" i="7"/>
  <c r="X494" i="7" s="1"/>
  <c r="Y494" i="7" s="1"/>
  <c r="T495" i="7"/>
  <c r="X495" i="7" s="1"/>
  <c r="Y495" i="7" s="1"/>
  <c r="T496" i="7"/>
  <c r="X496" i="7" s="1"/>
  <c r="Y496" i="7" s="1"/>
  <c r="T491" i="7"/>
  <c r="X491" i="7" s="1"/>
  <c r="Y491" i="7" s="1"/>
  <c r="X486" i="7"/>
  <c r="Y486" i="7" s="1"/>
  <c r="T488" i="7"/>
  <c r="X488" i="7" s="1"/>
  <c r="Y488" i="7" s="1"/>
  <c r="T490" i="7"/>
  <c r="X490" i="7" s="1"/>
  <c r="Y490" i="7" s="1"/>
  <c r="T489" i="7"/>
  <c r="X489" i="7" s="1"/>
  <c r="Y489" i="7" s="1"/>
  <c r="P18" i="14"/>
  <c r="S18" i="14" s="1"/>
  <c r="P16" i="14"/>
  <c r="S16" i="14" s="1"/>
  <c r="M49" i="14"/>
  <c r="P17" i="14"/>
  <c r="S17" i="14" s="1"/>
  <c r="I31" i="21"/>
  <c r="H31" i="21"/>
  <c r="G31" i="21"/>
  <c r="F31" i="21"/>
  <c r="E31" i="21"/>
  <c r="D31" i="21"/>
  <c r="B1" i="13"/>
  <c r="K31" i="21" l="1"/>
  <c r="L49" i="14"/>
  <c r="N49" i="14"/>
  <c r="O49" i="14"/>
  <c r="E49" i="14"/>
  <c r="K2350" i="1" l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1894" i="1" l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S37" i="13" l="1"/>
  <c r="S31" i="13" l="1"/>
  <c r="S25" i="13"/>
  <c r="K2" i="7" l="1"/>
  <c r="S51" i="13" l="1"/>
  <c r="S48" i="13"/>
  <c r="S47" i="13"/>
  <c r="S46" i="13"/>
  <c r="S45" i="13"/>
  <c r="S44" i="13"/>
  <c r="S43" i="13"/>
  <c r="S41" i="13"/>
  <c r="S40" i="13"/>
  <c r="S39" i="13"/>
  <c r="S38" i="13"/>
  <c r="S36" i="13"/>
  <c r="S35" i="13"/>
  <c r="S34" i="13"/>
  <c r="S33" i="13"/>
  <c r="S32" i="13"/>
  <c r="S30" i="13"/>
  <c r="S29" i="13"/>
  <c r="S27" i="13"/>
  <c r="S26" i="13"/>
  <c r="S21" i="13"/>
  <c r="S20" i="13"/>
  <c r="S19" i="13"/>
  <c r="S15" i="13"/>
  <c r="S14" i="13"/>
  <c r="S13" i="13"/>
  <c r="S12" i="13"/>
  <c r="S11" i="13"/>
  <c r="S10" i="13"/>
  <c r="S9" i="13"/>
  <c r="S8" i="13"/>
  <c r="H2" i="18"/>
  <c r="I2" i="18" s="1"/>
  <c r="K2" i="18" l="1"/>
  <c r="H4" i="18"/>
  <c r="I4" i="18" s="1"/>
  <c r="K4" i="18" s="1"/>
  <c r="H3" i="18"/>
  <c r="I3" i="18" s="1"/>
  <c r="K3" i="18" s="1"/>
  <c r="F4" i="18"/>
  <c r="F3" i="18"/>
  <c r="F2" i="18"/>
  <c r="L30" i="7" l="1"/>
  <c r="L29" i="7"/>
  <c r="L28" i="7"/>
  <c r="L27" i="7"/>
  <c r="L25" i="7"/>
  <c r="L34" i="7"/>
  <c r="L26" i="7"/>
  <c r="L33" i="7"/>
  <c r="L32" i="7"/>
  <c r="L24" i="7"/>
  <c r="L31" i="7"/>
  <c r="L22" i="7"/>
  <c r="L14" i="7"/>
  <c r="L21" i="7"/>
  <c r="L13" i="7"/>
  <c r="L20" i="7"/>
  <c r="L19" i="7"/>
  <c r="L18" i="7"/>
  <c r="L17" i="7"/>
  <c r="L16" i="7"/>
  <c r="L23" i="7"/>
  <c r="L15" i="7"/>
  <c r="L12" i="7"/>
  <c r="L4" i="7"/>
  <c r="L11" i="7"/>
  <c r="L3" i="7"/>
  <c r="L10" i="7"/>
  <c r="L2" i="7"/>
  <c r="L9" i="7"/>
  <c r="L8" i="7"/>
  <c r="L7" i="7"/>
  <c r="L6" i="7"/>
  <c r="L5" i="7"/>
  <c r="H5" i="18"/>
  <c r="I5" i="18" s="1"/>
  <c r="K5" i="18" s="1"/>
  <c r="F5" i="18"/>
  <c r="F135" i="7"/>
  <c r="F476" i="7"/>
  <c r="F465" i="7"/>
  <c r="F454" i="7"/>
  <c r="F443" i="7"/>
  <c r="F432" i="7"/>
  <c r="F421" i="7"/>
  <c r="F410" i="7"/>
  <c r="F399" i="7"/>
  <c r="F388" i="7"/>
  <c r="F366" i="7"/>
  <c r="F355" i="7"/>
  <c r="F344" i="7"/>
  <c r="F333" i="7"/>
  <c r="F322" i="7"/>
  <c r="F311" i="7"/>
  <c r="F300" i="7"/>
  <c r="F289" i="7"/>
  <c r="F278" i="7"/>
  <c r="F267" i="7"/>
  <c r="F256" i="7"/>
  <c r="F245" i="7"/>
  <c r="F234" i="7"/>
  <c r="F223" i="7"/>
  <c r="F212" i="7"/>
  <c r="F201" i="7"/>
  <c r="F190" i="7"/>
  <c r="F146" i="7"/>
  <c r="F124" i="7"/>
  <c r="F113" i="7"/>
  <c r="F102" i="7"/>
  <c r="F91" i="7"/>
  <c r="F80" i="7"/>
  <c r="F69" i="7"/>
  <c r="F58" i="7"/>
  <c r="F47" i="7"/>
  <c r="F36" i="7"/>
  <c r="F25" i="7"/>
  <c r="F14" i="7"/>
  <c r="F3" i="7"/>
  <c r="J81" i="9"/>
  <c r="K81" i="9"/>
  <c r="L81" i="9"/>
  <c r="M81" i="9"/>
  <c r="F81" i="9"/>
  <c r="L38" i="7" l="1"/>
  <c r="L37" i="7"/>
  <c r="L45" i="7"/>
  <c r="L44" i="7"/>
  <c r="L36" i="7"/>
  <c r="L43" i="7"/>
  <c r="L35" i="7"/>
  <c r="L41" i="7"/>
  <c r="L42" i="7"/>
  <c r="L40" i="7"/>
  <c r="L39" i="7"/>
  <c r="F51" i="14"/>
  <c r="F52" i="14" s="1"/>
  <c r="H6" i="18"/>
  <c r="I6" i="18" s="1"/>
  <c r="K6" i="18" s="1"/>
  <c r="F6" i="18"/>
  <c r="P38" i="14"/>
  <c r="S38" i="14" s="1"/>
  <c r="P31" i="14"/>
  <c r="S31" i="14" s="1"/>
  <c r="P25" i="14"/>
  <c r="S25" i="14" s="1"/>
  <c r="P14" i="14"/>
  <c r="S14" i="14" s="1"/>
  <c r="P8" i="14"/>
  <c r="S8" i="14" s="1"/>
  <c r="P7" i="14"/>
  <c r="S7" i="14" s="1"/>
  <c r="P4" i="14"/>
  <c r="S4" i="14" s="1"/>
  <c r="P2" i="14"/>
  <c r="S2" i="14" s="1"/>
  <c r="P45" i="14"/>
  <c r="S45" i="14" s="1"/>
  <c r="P44" i="14"/>
  <c r="S44" i="14" s="1"/>
  <c r="P43" i="14"/>
  <c r="S43" i="14" s="1"/>
  <c r="P42" i="14"/>
  <c r="S42" i="14" s="1"/>
  <c r="P41" i="14"/>
  <c r="S41" i="14" s="1"/>
  <c r="P40" i="14"/>
  <c r="P39" i="14"/>
  <c r="S39" i="14" s="1"/>
  <c r="P37" i="14"/>
  <c r="S37" i="14" s="1"/>
  <c r="P35" i="14"/>
  <c r="P34" i="14"/>
  <c r="S34" i="14" s="1"/>
  <c r="P33" i="14"/>
  <c r="S33" i="14" s="1"/>
  <c r="P32" i="14"/>
  <c r="S32" i="14" s="1"/>
  <c r="P30" i="14"/>
  <c r="S30" i="14" s="1"/>
  <c r="P29" i="14"/>
  <c r="S29" i="14" s="1"/>
  <c r="P28" i="14"/>
  <c r="S28" i="14" s="1"/>
  <c r="P27" i="14"/>
  <c r="S27" i="14" s="1"/>
  <c r="P26" i="14"/>
  <c r="S26" i="14" s="1"/>
  <c r="P24" i="14"/>
  <c r="S24" i="14" s="1"/>
  <c r="P23" i="14"/>
  <c r="S23" i="14" s="1"/>
  <c r="P22" i="14"/>
  <c r="S22" i="14" s="1"/>
  <c r="P21" i="14"/>
  <c r="S21" i="14" s="1"/>
  <c r="P20" i="14"/>
  <c r="S20" i="14" s="1"/>
  <c r="P19" i="14"/>
  <c r="S19" i="14" s="1"/>
  <c r="P15" i="14"/>
  <c r="S15" i="14" s="1"/>
  <c r="P13" i="14"/>
  <c r="S13" i="14" s="1"/>
  <c r="P12" i="14"/>
  <c r="S12" i="14" s="1"/>
  <c r="P11" i="14"/>
  <c r="S11" i="14" s="1"/>
  <c r="P10" i="14"/>
  <c r="S10" i="14" s="1"/>
  <c r="P9" i="14"/>
  <c r="S9" i="14" s="1"/>
  <c r="P6" i="14"/>
  <c r="S6" i="14" s="1"/>
  <c r="P5" i="14"/>
  <c r="S5" i="14" s="1"/>
  <c r="P3" i="14"/>
  <c r="S3" i="14" s="1"/>
  <c r="S40" i="14"/>
  <c r="L54" i="7" l="1"/>
  <c r="L46" i="7"/>
  <c r="L53" i="7"/>
  <c r="L52" i="7"/>
  <c r="L49" i="7"/>
  <c r="L51" i="7"/>
  <c r="L50" i="7"/>
  <c r="L56" i="7"/>
  <c r="L48" i="7"/>
  <c r="L55" i="7"/>
  <c r="L47" i="7"/>
  <c r="H7" i="18"/>
  <c r="I7" i="18" s="1"/>
  <c r="K7" i="18" s="1"/>
  <c r="F7" i="18"/>
  <c r="S35" i="14"/>
  <c r="L62" i="7" l="1"/>
  <c r="L61" i="7"/>
  <c r="L60" i="7"/>
  <c r="L59" i="7"/>
  <c r="L67" i="7"/>
  <c r="L66" i="7"/>
  <c r="L58" i="7"/>
  <c r="L65" i="7"/>
  <c r="L57" i="7"/>
  <c r="L64" i="7"/>
  <c r="L63" i="7"/>
  <c r="H8" i="18"/>
  <c r="I8" i="18" s="1"/>
  <c r="K8" i="18" s="1"/>
  <c r="F8" i="18"/>
  <c r="L78" i="7" l="1"/>
  <c r="L70" i="7"/>
  <c r="L77" i="7"/>
  <c r="L69" i="7"/>
  <c r="L76" i="7"/>
  <c r="L68" i="7"/>
  <c r="L75" i="7"/>
  <c r="L73" i="7"/>
  <c r="L74" i="7"/>
  <c r="L72" i="7"/>
  <c r="L71" i="7"/>
  <c r="H9" i="18"/>
  <c r="I9" i="18" s="1"/>
  <c r="K9" i="18" s="1"/>
  <c r="F9" i="18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13" i="7"/>
  <c r="J9" i="7"/>
  <c r="J8" i="7"/>
  <c r="J7" i="7"/>
  <c r="J6" i="7"/>
  <c r="J5" i="7"/>
  <c r="J4" i="7"/>
  <c r="J3" i="7"/>
  <c r="J2" i="7"/>
  <c r="L86" i="7" l="1"/>
  <c r="L85" i="7"/>
  <c r="L84" i="7"/>
  <c r="L81" i="7"/>
  <c r="L83" i="7"/>
  <c r="L82" i="7"/>
  <c r="L89" i="7"/>
  <c r="L88" i="7"/>
  <c r="L80" i="7"/>
  <c r="L87" i="7"/>
  <c r="L79" i="7"/>
  <c r="H10" i="18"/>
  <c r="I10" i="18" s="1"/>
  <c r="K10" i="18" s="1"/>
  <c r="F10" i="18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13" i="7"/>
  <c r="K9" i="7"/>
  <c r="K8" i="7"/>
  <c r="K7" i="7"/>
  <c r="K6" i="7"/>
  <c r="K5" i="7"/>
  <c r="K4" i="7"/>
  <c r="K3" i="7"/>
  <c r="L94" i="7" l="1"/>
  <c r="L93" i="7"/>
  <c r="L100" i="7"/>
  <c r="L92" i="7"/>
  <c r="L91" i="7"/>
  <c r="L99" i="7"/>
  <c r="L98" i="7"/>
  <c r="L90" i="7"/>
  <c r="L97" i="7"/>
  <c r="L96" i="7"/>
  <c r="L95" i="7"/>
  <c r="H11" i="18"/>
  <c r="I11" i="18" s="1"/>
  <c r="K11" i="18" s="1"/>
  <c r="F11" i="18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L110" i="7" l="1"/>
  <c r="L102" i="7"/>
  <c r="L109" i="7"/>
  <c r="L101" i="7"/>
  <c r="L108" i="7"/>
  <c r="L107" i="7"/>
  <c r="L105" i="7"/>
  <c r="L106" i="7"/>
  <c r="L104" i="7"/>
  <c r="L103" i="7"/>
  <c r="L111" i="7"/>
  <c r="H12" i="18"/>
  <c r="I12" i="18" s="1"/>
  <c r="K12" i="18" s="1"/>
  <c r="F12" i="18"/>
  <c r="F79" i="7"/>
  <c r="F81" i="7"/>
  <c r="F82" i="7"/>
  <c r="F83" i="7"/>
  <c r="F84" i="7"/>
  <c r="F85" i="7"/>
  <c r="F86" i="7"/>
  <c r="F87" i="7"/>
  <c r="F88" i="7"/>
  <c r="F89" i="7"/>
  <c r="F90" i="7"/>
  <c r="F92" i="7"/>
  <c r="F93" i="7"/>
  <c r="F94" i="7"/>
  <c r="F95" i="7"/>
  <c r="F96" i="7"/>
  <c r="F97" i="7"/>
  <c r="F98" i="7"/>
  <c r="F99" i="7"/>
  <c r="F100" i="7"/>
  <c r="F101" i="7"/>
  <c r="F103" i="7"/>
  <c r="F104" i="7"/>
  <c r="F105" i="7"/>
  <c r="F106" i="7"/>
  <c r="F107" i="7"/>
  <c r="F108" i="7"/>
  <c r="F109" i="7"/>
  <c r="F110" i="7"/>
  <c r="F111" i="7"/>
  <c r="F112" i="7"/>
  <c r="F114" i="7"/>
  <c r="F115" i="7"/>
  <c r="F116" i="7"/>
  <c r="F117" i="7"/>
  <c r="F118" i="7"/>
  <c r="F119" i="7"/>
  <c r="F120" i="7"/>
  <c r="F121" i="7"/>
  <c r="F122" i="7"/>
  <c r="F123" i="7"/>
  <c r="F125" i="7"/>
  <c r="F126" i="7"/>
  <c r="F127" i="7"/>
  <c r="F128" i="7"/>
  <c r="F129" i="7"/>
  <c r="F130" i="7"/>
  <c r="F131" i="7"/>
  <c r="F132" i="7"/>
  <c r="F133" i="7"/>
  <c r="F134" i="7"/>
  <c r="F136" i="7"/>
  <c r="F137" i="7"/>
  <c r="F138" i="7"/>
  <c r="F139" i="7"/>
  <c r="F140" i="7"/>
  <c r="F141" i="7"/>
  <c r="F142" i="7"/>
  <c r="F143" i="7"/>
  <c r="F144" i="7"/>
  <c r="F145" i="7"/>
  <c r="F147" i="7"/>
  <c r="F148" i="7"/>
  <c r="F149" i="7"/>
  <c r="F150" i="7"/>
  <c r="F151" i="7"/>
  <c r="F152" i="7"/>
  <c r="F153" i="7"/>
  <c r="F154" i="7"/>
  <c r="F155" i="7"/>
  <c r="F189" i="7"/>
  <c r="F191" i="7"/>
  <c r="F192" i="7"/>
  <c r="F193" i="7"/>
  <c r="F194" i="7"/>
  <c r="F195" i="7"/>
  <c r="F196" i="7"/>
  <c r="F197" i="7"/>
  <c r="F198" i="7"/>
  <c r="F199" i="7"/>
  <c r="F200" i="7"/>
  <c r="F202" i="7"/>
  <c r="F203" i="7"/>
  <c r="F204" i="7"/>
  <c r="F205" i="7"/>
  <c r="F206" i="7"/>
  <c r="F207" i="7"/>
  <c r="F208" i="7"/>
  <c r="F209" i="7"/>
  <c r="F210" i="7"/>
  <c r="F211" i="7"/>
  <c r="F213" i="7"/>
  <c r="F214" i="7"/>
  <c r="F215" i="7"/>
  <c r="F216" i="7"/>
  <c r="F217" i="7"/>
  <c r="F218" i="7"/>
  <c r="F219" i="7"/>
  <c r="F220" i="7"/>
  <c r="F221" i="7"/>
  <c r="F222" i="7"/>
  <c r="F224" i="7"/>
  <c r="F225" i="7"/>
  <c r="F226" i="7"/>
  <c r="F227" i="7"/>
  <c r="F228" i="7"/>
  <c r="F229" i="7"/>
  <c r="F230" i="7"/>
  <c r="F231" i="7"/>
  <c r="F232" i="7"/>
  <c r="F233" i="7"/>
  <c r="F235" i="7"/>
  <c r="F236" i="7"/>
  <c r="F237" i="7"/>
  <c r="F238" i="7"/>
  <c r="F239" i="7"/>
  <c r="F240" i="7"/>
  <c r="F241" i="7"/>
  <c r="F242" i="7"/>
  <c r="F243" i="7"/>
  <c r="F244" i="7"/>
  <c r="F246" i="7"/>
  <c r="F247" i="7"/>
  <c r="F248" i="7"/>
  <c r="F249" i="7"/>
  <c r="F250" i="7"/>
  <c r="F251" i="7"/>
  <c r="F252" i="7"/>
  <c r="F253" i="7"/>
  <c r="F254" i="7"/>
  <c r="F255" i="7"/>
  <c r="F257" i="7"/>
  <c r="F258" i="7"/>
  <c r="F259" i="7"/>
  <c r="F260" i="7"/>
  <c r="F261" i="7"/>
  <c r="F262" i="7"/>
  <c r="F263" i="7"/>
  <c r="F264" i="7"/>
  <c r="F265" i="7"/>
  <c r="F266" i="7"/>
  <c r="F268" i="7"/>
  <c r="F269" i="7"/>
  <c r="F270" i="7"/>
  <c r="F271" i="7"/>
  <c r="F272" i="7"/>
  <c r="F273" i="7"/>
  <c r="F274" i="7"/>
  <c r="F275" i="7"/>
  <c r="F276" i="7"/>
  <c r="F277" i="7"/>
  <c r="F279" i="7"/>
  <c r="F280" i="7"/>
  <c r="F281" i="7"/>
  <c r="F282" i="7"/>
  <c r="F283" i="7"/>
  <c r="F284" i="7"/>
  <c r="F285" i="7"/>
  <c r="F286" i="7"/>
  <c r="F287" i="7"/>
  <c r="F288" i="7"/>
  <c r="F290" i="7"/>
  <c r="F291" i="7"/>
  <c r="F292" i="7"/>
  <c r="F293" i="7"/>
  <c r="F294" i="7"/>
  <c r="F295" i="7"/>
  <c r="F296" i="7"/>
  <c r="F297" i="7"/>
  <c r="F298" i="7"/>
  <c r="F299" i="7"/>
  <c r="F301" i="7"/>
  <c r="F302" i="7"/>
  <c r="F303" i="7"/>
  <c r="F304" i="7"/>
  <c r="F305" i="7"/>
  <c r="F306" i="7"/>
  <c r="F307" i="7"/>
  <c r="F308" i="7"/>
  <c r="F309" i="7"/>
  <c r="F310" i="7"/>
  <c r="F312" i="7"/>
  <c r="F313" i="7"/>
  <c r="F314" i="7"/>
  <c r="F315" i="7"/>
  <c r="F316" i="7"/>
  <c r="F317" i="7"/>
  <c r="F318" i="7"/>
  <c r="F319" i="7"/>
  <c r="F320" i="7"/>
  <c r="F321" i="7"/>
  <c r="F323" i="7"/>
  <c r="F324" i="7"/>
  <c r="F325" i="7"/>
  <c r="F326" i="7"/>
  <c r="F327" i="7"/>
  <c r="F328" i="7"/>
  <c r="F329" i="7"/>
  <c r="F330" i="7"/>
  <c r="F331" i="7"/>
  <c r="F332" i="7"/>
  <c r="F334" i="7"/>
  <c r="F335" i="7"/>
  <c r="F336" i="7"/>
  <c r="F337" i="7"/>
  <c r="F338" i="7"/>
  <c r="F339" i="7"/>
  <c r="F340" i="7"/>
  <c r="F341" i="7"/>
  <c r="F342" i="7"/>
  <c r="F343" i="7"/>
  <c r="F345" i="7"/>
  <c r="F346" i="7"/>
  <c r="F347" i="7"/>
  <c r="F348" i="7"/>
  <c r="F349" i="7"/>
  <c r="F350" i="7"/>
  <c r="F351" i="7"/>
  <c r="F352" i="7"/>
  <c r="F353" i="7"/>
  <c r="F354" i="7"/>
  <c r="F356" i="7"/>
  <c r="F357" i="7"/>
  <c r="F358" i="7"/>
  <c r="F359" i="7"/>
  <c r="F360" i="7"/>
  <c r="F361" i="7"/>
  <c r="F362" i="7"/>
  <c r="F363" i="7"/>
  <c r="F364" i="7"/>
  <c r="F365" i="7"/>
  <c r="F367" i="7"/>
  <c r="F368" i="7"/>
  <c r="F369" i="7"/>
  <c r="F370" i="7"/>
  <c r="F371" i="7"/>
  <c r="F372" i="7"/>
  <c r="F373" i="7"/>
  <c r="F374" i="7"/>
  <c r="F375" i="7"/>
  <c r="F387" i="7"/>
  <c r="F389" i="7"/>
  <c r="F390" i="7"/>
  <c r="F391" i="7"/>
  <c r="F392" i="7"/>
  <c r="F393" i="7"/>
  <c r="F394" i="7"/>
  <c r="F395" i="7"/>
  <c r="F396" i="7"/>
  <c r="F397" i="7"/>
  <c r="F398" i="7"/>
  <c r="F400" i="7"/>
  <c r="F401" i="7"/>
  <c r="F402" i="7"/>
  <c r="F403" i="7"/>
  <c r="F404" i="7"/>
  <c r="F405" i="7"/>
  <c r="F406" i="7"/>
  <c r="F407" i="7"/>
  <c r="F408" i="7"/>
  <c r="F409" i="7"/>
  <c r="F411" i="7"/>
  <c r="F412" i="7"/>
  <c r="F413" i="7"/>
  <c r="F414" i="7"/>
  <c r="F415" i="7"/>
  <c r="F416" i="7"/>
  <c r="F417" i="7"/>
  <c r="F418" i="7"/>
  <c r="F419" i="7"/>
  <c r="F420" i="7"/>
  <c r="F422" i="7"/>
  <c r="F423" i="7"/>
  <c r="F424" i="7"/>
  <c r="F425" i="7"/>
  <c r="F426" i="7"/>
  <c r="F427" i="7"/>
  <c r="F428" i="7"/>
  <c r="F429" i="7"/>
  <c r="F430" i="7"/>
  <c r="F431" i="7"/>
  <c r="F433" i="7"/>
  <c r="F434" i="7"/>
  <c r="F435" i="7"/>
  <c r="F436" i="7"/>
  <c r="F437" i="7"/>
  <c r="F438" i="7"/>
  <c r="F439" i="7"/>
  <c r="F440" i="7"/>
  <c r="F441" i="7"/>
  <c r="F442" i="7"/>
  <c r="F444" i="7"/>
  <c r="F445" i="7"/>
  <c r="F446" i="7"/>
  <c r="F447" i="7"/>
  <c r="F448" i="7"/>
  <c r="F449" i="7"/>
  <c r="F450" i="7"/>
  <c r="F451" i="7"/>
  <c r="F452" i="7"/>
  <c r="F453" i="7"/>
  <c r="F455" i="7"/>
  <c r="F456" i="7"/>
  <c r="F457" i="7"/>
  <c r="F458" i="7"/>
  <c r="F459" i="7"/>
  <c r="F460" i="7"/>
  <c r="F461" i="7"/>
  <c r="F462" i="7"/>
  <c r="F463" i="7"/>
  <c r="F464" i="7"/>
  <c r="F466" i="7"/>
  <c r="F467" i="7"/>
  <c r="F468" i="7"/>
  <c r="F469" i="7"/>
  <c r="F470" i="7"/>
  <c r="F471" i="7"/>
  <c r="F472" i="7"/>
  <c r="F473" i="7"/>
  <c r="F474" i="7"/>
  <c r="F475" i="7"/>
  <c r="F477" i="7"/>
  <c r="F478" i="7"/>
  <c r="F479" i="7"/>
  <c r="F480" i="7"/>
  <c r="F481" i="7"/>
  <c r="F482" i="7"/>
  <c r="F483" i="7"/>
  <c r="F484" i="7"/>
  <c r="F485" i="7"/>
  <c r="F78" i="7"/>
  <c r="F77" i="7"/>
  <c r="F76" i="7"/>
  <c r="F75" i="7"/>
  <c r="F74" i="7"/>
  <c r="F73" i="7"/>
  <c r="F72" i="7"/>
  <c r="F71" i="7"/>
  <c r="F70" i="7"/>
  <c r="F68" i="7"/>
  <c r="F67" i="7"/>
  <c r="F66" i="7"/>
  <c r="F65" i="7"/>
  <c r="F64" i="7"/>
  <c r="F63" i="7"/>
  <c r="F62" i="7"/>
  <c r="F61" i="7"/>
  <c r="F60" i="7"/>
  <c r="F59" i="7"/>
  <c r="F57" i="7"/>
  <c r="L118" i="7" l="1"/>
  <c r="L117" i="7"/>
  <c r="L116" i="7"/>
  <c r="L115" i="7"/>
  <c r="L113" i="7"/>
  <c r="L122" i="7"/>
  <c r="L114" i="7"/>
  <c r="L121" i="7"/>
  <c r="L120" i="7"/>
  <c r="L112" i="7"/>
  <c r="L119" i="7"/>
  <c r="F56" i="7"/>
  <c r="F55" i="7"/>
  <c r="F54" i="7"/>
  <c r="F53" i="7"/>
  <c r="F52" i="7"/>
  <c r="F51" i="7"/>
  <c r="F50" i="7"/>
  <c r="F49" i="7"/>
  <c r="F48" i="7"/>
  <c r="F46" i="7"/>
  <c r="F45" i="7"/>
  <c r="F44" i="7"/>
  <c r="F43" i="7"/>
  <c r="F42" i="7"/>
  <c r="F41" i="7"/>
  <c r="F40" i="7"/>
  <c r="F39" i="7"/>
  <c r="F38" i="7"/>
  <c r="F37" i="7"/>
  <c r="F35" i="7"/>
  <c r="F34" i="7"/>
  <c r="F33" i="7"/>
  <c r="F32" i="7"/>
  <c r="F31" i="7"/>
  <c r="F30" i="7"/>
  <c r="F29" i="7"/>
  <c r="F28" i="7"/>
  <c r="F27" i="7"/>
  <c r="F26" i="7"/>
  <c r="F24" i="7"/>
  <c r="F13" i="7"/>
  <c r="F9" i="7"/>
  <c r="F8" i="7"/>
  <c r="F7" i="7"/>
  <c r="F6" i="7"/>
  <c r="F5" i="7"/>
  <c r="F2" i="7"/>
  <c r="F4" i="7"/>
  <c r="E51" i="14" l="1"/>
  <c r="E52" i="14" s="1"/>
  <c r="H13" i="18"/>
  <c r="I13" i="18" s="1"/>
  <c r="K13" i="18" s="1"/>
  <c r="F13" i="18"/>
  <c r="J10" i="7"/>
  <c r="J14" i="7"/>
  <c r="L131" i="7" l="1"/>
  <c r="L123" i="7"/>
  <c r="L130" i="7"/>
  <c r="L129" i="7"/>
  <c r="L128" i="7"/>
  <c r="L127" i="7"/>
  <c r="L132" i="7"/>
  <c r="L126" i="7"/>
  <c r="L133" i="7"/>
  <c r="L125" i="7"/>
  <c r="L124" i="7"/>
  <c r="H14" i="18"/>
  <c r="I14" i="18" s="1"/>
  <c r="K14" i="18" s="1"/>
  <c r="F14" i="18"/>
  <c r="K14" i="7"/>
  <c r="J11" i="7"/>
  <c r="K10" i="7"/>
  <c r="F10" i="7"/>
  <c r="J15" i="7"/>
  <c r="L139" i="7" l="1"/>
  <c r="L138" i="7"/>
  <c r="L137" i="7"/>
  <c r="L144" i="7"/>
  <c r="L136" i="7"/>
  <c r="L143" i="7"/>
  <c r="L135" i="7"/>
  <c r="L142" i="7"/>
  <c r="L134" i="7"/>
  <c r="L140" i="7"/>
  <c r="L141" i="7"/>
  <c r="J12" i="7"/>
  <c r="K15" i="7"/>
  <c r="K11" i="7"/>
  <c r="F11" i="7"/>
  <c r="F15" i="7"/>
  <c r="G51" i="14" s="1"/>
  <c r="G52" i="14" s="1"/>
  <c r="J16" i="7"/>
  <c r="H15" i="18" l="1"/>
  <c r="I15" i="18" s="1"/>
  <c r="K15" i="18" s="1"/>
  <c r="F15" i="18"/>
  <c r="F12" i="7"/>
  <c r="K12" i="7"/>
  <c r="K16" i="7"/>
  <c r="F16" i="7"/>
  <c r="H51" i="14" s="1"/>
  <c r="H52" i="14" s="1"/>
  <c r="J17" i="7"/>
  <c r="L152" i="7" l="1"/>
  <c r="L145" i="7"/>
  <c r="L151" i="7"/>
  <c r="L150" i="7"/>
  <c r="L149" i="7"/>
  <c r="L153" i="7"/>
  <c r="L148" i="7"/>
  <c r="L155" i="7"/>
  <c r="L147" i="7"/>
  <c r="L154" i="7"/>
  <c r="L146" i="7"/>
  <c r="H19" i="18"/>
  <c r="I19" i="18" s="1"/>
  <c r="K19" i="18" s="1"/>
  <c r="F19" i="18"/>
  <c r="K17" i="7"/>
  <c r="F17" i="7"/>
  <c r="I51" i="14" s="1"/>
  <c r="I52" i="14" s="1"/>
  <c r="J18" i="7"/>
  <c r="L192" i="7" l="1"/>
  <c r="L199" i="7"/>
  <c r="L191" i="7"/>
  <c r="L193" i="7"/>
  <c r="L198" i="7"/>
  <c r="L190" i="7"/>
  <c r="L197" i="7"/>
  <c r="L189" i="7"/>
  <c r="L196" i="7"/>
  <c r="L195" i="7"/>
  <c r="L194" i="7"/>
  <c r="H20" i="18"/>
  <c r="I20" i="18" s="1"/>
  <c r="K20" i="18" s="1"/>
  <c r="F20" i="18"/>
  <c r="K18" i="7"/>
  <c r="F18" i="7"/>
  <c r="J51" i="14" s="1"/>
  <c r="J52" i="14" s="1"/>
  <c r="J19" i="7"/>
  <c r="L208" i="7" l="1"/>
  <c r="L200" i="7"/>
  <c r="L207" i="7"/>
  <c r="L206" i="7"/>
  <c r="L205" i="7"/>
  <c r="L209" i="7"/>
  <c r="L204" i="7"/>
  <c r="L203" i="7"/>
  <c r="L201" i="7"/>
  <c r="L210" i="7"/>
  <c r="L202" i="7"/>
  <c r="H21" i="18"/>
  <c r="I21" i="18" s="1"/>
  <c r="K21" i="18" s="1"/>
  <c r="F21" i="18"/>
  <c r="K19" i="7"/>
  <c r="J20" i="7"/>
  <c r="F19" i="7"/>
  <c r="K51" i="14" s="1"/>
  <c r="K52" i="14" s="1"/>
  <c r="K2" i="1"/>
  <c r="J5" i="9"/>
  <c r="K5" i="9"/>
  <c r="L5" i="9"/>
  <c r="M5" i="9"/>
  <c r="J6" i="9"/>
  <c r="K6" i="9"/>
  <c r="L6" i="9"/>
  <c r="M6" i="9"/>
  <c r="J7" i="9"/>
  <c r="K7" i="9"/>
  <c r="L7" i="9"/>
  <c r="M7" i="9"/>
  <c r="J8" i="9"/>
  <c r="K8" i="9"/>
  <c r="L8" i="9"/>
  <c r="M8" i="9"/>
  <c r="J9" i="9"/>
  <c r="K9" i="9"/>
  <c r="L9" i="9"/>
  <c r="M9" i="9"/>
  <c r="J10" i="9"/>
  <c r="K10" i="9"/>
  <c r="L10" i="9"/>
  <c r="M10" i="9"/>
  <c r="J11" i="9"/>
  <c r="K11" i="9"/>
  <c r="L11" i="9"/>
  <c r="M11" i="9"/>
  <c r="J12" i="9"/>
  <c r="K12" i="9"/>
  <c r="L12" i="9"/>
  <c r="M12" i="9"/>
  <c r="J13" i="9"/>
  <c r="K13" i="9"/>
  <c r="L13" i="9"/>
  <c r="M13" i="9"/>
  <c r="J14" i="9"/>
  <c r="K14" i="9"/>
  <c r="L14" i="9"/>
  <c r="M14" i="9"/>
  <c r="J15" i="9"/>
  <c r="K15" i="9"/>
  <c r="L15" i="9"/>
  <c r="M15" i="9"/>
  <c r="J16" i="9"/>
  <c r="K16" i="9"/>
  <c r="L16" i="9"/>
  <c r="M16" i="9"/>
  <c r="J17" i="9"/>
  <c r="K17" i="9"/>
  <c r="L17" i="9"/>
  <c r="M17" i="9"/>
  <c r="J18" i="9"/>
  <c r="K18" i="9"/>
  <c r="L18" i="9"/>
  <c r="M18" i="9"/>
  <c r="J19" i="9"/>
  <c r="K19" i="9"/>
  <c r="L19" i="9"/>
  <c r="M19" i="9"/>
  <c r="J20" i="9"/>
  <c r="K20" i="9"/>
  <c r="L20" i="9"/>
  <c r="M20" i="9"/>
  <c r="J21" i="9"/>
  <c r="K21" i="9"/>
  <c r="L21" i="9"/>
  <c r="M21" i="9"/>
  <c r="J22" i="9"/>
  <c r="K22" i="9"/>
  <c r="L22" i="9"/>
  <c r="M22" i="9"/>
  <c r="J23" i="9"/>
  <c r="K23" i="9"/>
  <c r="L23" i="9"/>
  <c r="M23" i="9"/>
  <c r="J24" i="9"/>
  <c r="K24" i="9"/>
  <c r="L24" i="9"/>
  <c r="M24" i="9"/>
  <c r="J25" i="9"/>
  <c r="K25" i="9"/>
  <c r="L25" i="9"/>
  <c r="M25" i="9"/>
  <c r="J26" i="9"/>
  <c r="K26" i="9"/>
  <c r="L26" i="9"/>
  <c r="M26" i="9"/>
  <c r="J27" i="9"/>
  <c r="K27" i="9"/>
  <c r="L27" i="9"/>
  <c r="M27" i="9"/>
  <c r="J28" i="9"/>
  <c r="K28" i="9"/>
  <c r="L28" i="9"/>
  <c r="M28" i="9"/>
  <c r="J29" i="9"/>
  <c r="K29" i="9"/>
  <c r="L29" i="9"/>
  <c r="M29" i="9"/>
  <c r="J30" i="9"/>
  <c r="K30" i="9"/>
  <c r="L30" i="9"/>
  <c r="M30" i="9"/>
  <c r="J31" i="9"/>
  <c r="K31" i="9"/>
  <c r="L31" i="9"/>
  <c r="M31" i="9"/>
  <c r="J32" i="9"/>
  <c r="K32" i="9"/>
  <c r="L32" i="9"/>
  <c r="M32" i="9"/>
  <c r="J33" i="9"/>
  <c r="K33" i="9"/>
  <c r="L33" i="9"/>
  <c r="M33" i="9"/>
  <c r="J34" i="9"/>
  <c r="K34" i="9"/>
  <c r="L34" i="9"/>
  <c r="M34" i="9"/>
  <c r="J35" i="9"/>
  <c r="K35" i="9"/>
  <c r="L35" i="9"/>
  <c r="M35" i="9"/>
  <c r="J36" i="9"/>
  <c r="K36" i="9"/>
  <c r="L36" i="9"/>
  <c r="M36" i="9"/>
  <c r="J37" i="9"/>
  <c r="K37" i="9"/>
  <c r="L37" i="9"/>
  <c r="M37" i="9"/>
  <c r="J38" i="9"/>
  <c r="K38" i="9"/>
  <c r="L38" i="9"/>
  <c r="M38" i="9"/>
  <c r="J39" i="9"/>
  <c r="K39" i="9"/>
  <c r="L39" i="9"/>
  <c r="M39" i="9"/>
  <c r="J40" i="9"/>
  <c r="K40" i="9"/>
  <c r="L40" i="9"/>
  <c r="M40" i="9"/>
  <c r="J41" i="9"/>
  <c r="K41" i="9"/>
  <c r="L41" i="9"/>
  <c r="M41" i="9"/>
  <c r="J42" i="9"/>
  <c r="K42" i="9"/>
  <c r="L42" i="9"/>
  <c r="M42" i="9"/>
  <c r="J43" i="9"/>
  <c r="K43" i="9"/>
  <c r="L43" i="9"/>
  <c r="M43" i="9"/>
  <c r="J44" i="9"/>
  <c r="K44" i="9"/>
  <c r="L44" i="9"/>
  <c r="M44" i="9"/>
  <c r="J45" i="9"/>
  <c r="K45" i="9"/>
  <c r="L45" i="9"/>
  <c r="M45" i="9"/>
  <c r="J46" i="9"/>
  <c r="K46" i="9"/>
  <c r="L46" i="9"/>
  <c r="M46" i="9"/>
  <c r="J47" i="9"/>
  <c r="K47" i="9"/>
  <c r="L47" i="9"/>
  <c r="M47" i="9"/>
  <c r="J48" i="9"/>
  <c r="K48" i="9"/>
  <c r="L48" i="9"/>
  <c r="M48" i="9"/>
  <c r="J49" i="9"/>
  <c r="K49" i="9"/>
  <c r="L49" i="9"/>
  <c r="M49" i="9"/>
  <c r="J50" i="9"/>
  <c r="K50" i="9"/>
  <c r="L50" i="9"/>
  <c r="M50" i="9"/>
  <c r="J51" i="9"/>
  <c r="K51" i="9"/>
  <c r="L51" i="9"/>
  <c r="M51" i="9"/>
  <c r="J52" i="9"/>
  <c r="K52" i="9"/>
  <c r="L52" i="9"/>
  <c r="M52" i="9"/>
  <c r="J53" i="9"/>
  <c r="K53" i="9"/>
  <c r="L53" i="9"/>
  <c r="M53" i="9"/>
  <c r="J54" i="9"/>
  <c r="K54" i="9"/>
  <c r="L54" i="9"/>
  <c r="M54" i="9"/>
  <c r="J55" i="9"/>
  <c r="K55" i="9"/>
  <c r="L55" i="9"/>
  <c r="M55" i="9"/>
  <c r="J56" i="9"/>
  <c r="K56" i="9"/>
  <c r="L56" i="9"/>
  <c r="M56" i="9"/>
  <c r="J57" i="9"/>
  <c r="K57" i="9"/>
  <c r="L57" i="9"/>
  <c r="M57" i="9"/>
  <c r="J58" i="9"/>
  <c r="K58" i="9"/>
  <c r="L58" i="9"/>
  <c r="M58" i="9"/>
  <c r="J59" i="9"/>
  <c r="K59" i="9"/>
  <c r="L59" i="9"/>
  <c r="M59" i="9"/>
  <c r="J60" i="9"/>
  <c r="K60" i="9"/>
  <c r="L60" i="9"/>
  <c r="M60" i="9"/>
  <c r="J61" i="9"/>
  <c r="K61" i="9"/>
  <c r="L61" i="9"/>
  <c r="M61" i="9"/>
  <c r="J62" i="9"/>
  <c r="K62" i="9"/>
  <c r="L62" i="9"/>
  <c r="M62" i="9"/>
  <c r="J63" i="9"/>
  <c r="K63" i="9"/>
  <c r="L63" i="9"/>
  <c r="M63" i="9"/>
  <c r="J65" i="9"/>
  <c r="K65" i="9"/>
  <c r="L65" i="9"/>
  <c r="M65" i="9"/>
  <c r="J66" i="9"/>
  <c r="K66" i="9"/>
  <c r="L66" i="9"/>
  <c r="M66" i="9"/>
  <c r="J67" i="9"/>
  <c r="K67" i="9"/>
  <c r="L67" i="9"/>
  <c r="M67" i="9"/>
  <c r="J68" i="9"/>
  <c r="K68" i="9"/>
  <c r="L68" i="9"/>
  <c r="M68" i="9"/>
  <c r="J69" i="9"/>
  <c r="K69" i="9"/>
  <c r="L69" i="9"/>
  <c r="M69" i="9"/>
  <c r="J70" i="9"/>
  <c r="K70" i="9"/>
  <c r="L70" i="9"/>
  <c r="M70" i="9"/>
  <c r="J71" i="9"/>
  <c r="K71" i="9"/>
  <c r="L71" i="9"/>
  <c r="M71" i="9"/>
  <c r="J72" i="9"/>
  <c r="K72" i="9"/>
  <c r="L72" i="9"/>
  <c r="M72" i="9"/>
  <c r="J73" i="9"/>
  <c r="K73" i="9"/>
  <c r="L73" i="9"/>
  <c r="M73" i="9"/>
  <c r="J74" i="9"/>
  <c r="K74" i="9"/>
  <c r="L74" i="9"/>
  <c r="M74" i="9"/>
  <c r="J75" i="9"/>
  <c r="K75" i="9"/>
  <c r="L75" i="9"/>
  <c r="M75" i="9"/>
  <c r="J76" i="9"/>
  <c r="K76" i="9"/>
  <c r="L76" i="9"/>
  <c r="M76" i="9"/>
  <c r="J77" i="9"/>
  <c r="K77" i="9"/>
  <c r="L77" i="9"/>
  <c r="M77" i="9"/>
  <c r="J78" i="9"/>
  <c r="K78" i="9"/>
  <c r="L78" i="9"/>
  <c r="M78" i="9"/>
  <c r="J79" i="9"/>
  <c r="K79" i="9"/>
  <c r="L79" i="9"/>
  <c r="M79" i="9"/>
  <c r="J80" i="9"/>
  <c r="K80" i="9"/>
  <c r="L80" i="9"/>
  <c r="M80" i="9"/>
  <c r="J82" i="9"/>
  <c r="K82" i="9"/>
  <c r="L82" i="9"/>
  <c r="M82" i="9"/>
  <c r="J83" i="9"/>
  <c r="K83" i="9"/>
  <c r="L83" i="9"/>
  <c r="M83" i="9"/>
  <c r="J84" i="9"/>
  <c r="K84" i="9"/>
  <c r="L84" i="9"/>
  <c r="M84" i="9"/>
  <c r="J85" i="9"/>
  <c r="K85" i="9"/>
  <c r="L85" i="9"/>
  <c r="M85" i="9"/>
  <c r="J86" i="9"/>
  <c r="K86" i="9"/>
  <c r="L86" i="9"/>
  <c r="M86" i="9"/>
  <c r="J87" i="9"/>
  <c r="K87" i="9"/>
  <c r="L87" i="9"/>
  <c r="M87" i="9"/>
  <c r="J88" i="9"/>
  <c r="K88" i="9"/>
  <c r="L88" i="9"/>
  <c r="M88" i="9"/>
  <c r="J89" i="9"/>
  <c r="K89" i="9"/>
  <c r="L89" i="9"/>
  <c r="M89" i="9"/>
  <c r="J90" i="9"/>
  <c r="K90" i="9"/>
  <c r="L90" i="9"/>
  <c r="M90" i="9"/>
  <c r="J91" i="9"/>
  <c r="K91" i="9"/>
  <c r="L91" i="9"/>
  <c r="M91" i="9"/>
  <c r="J92" i="9"/>
  <c r="K92" i="9"/>
  <c r="L92" i="9"/>
  <c r="M92" i="9"/>
  <c r="J93" i="9"/>
  <c r="K93" i="9"/>
  <c r="L93" i="9"/>
  <c r="M93" i="9"/>
  <c r="J94" i="9"/>
  <c r="K94" i="9"/>
  <c r="L94" i="9"/>
  <c r="M94" i="9"/>
  <c r="J95" i="9"/>
  <c r="K95" i="9"/>
  <c r="L95" i="9"/>
  <c r="M95" i="9"/>
  <c r="J96" i="9"/>
  <c r="K96" i="9"/>
  <c r="L96" i="9"/>
  <c r="M96" i="9"/>
  <c r="J97" i="9"/>
  <c r="K97" i="9"/>
  <c r="L97" i="9"/>
  <c r="M97" i="9"/>
  <c r="J98" i="9"/>
  <c r="K98" i="9"/>
  <c r="L98" i="9"/>
  <c r="M98" i="9"/>
  <c r="J99" i="9"/>
  <c r="K99" i="9"/>
  <c r="L99" i="9"/>
  <c r="M99" i="9"/>
  <c r="J100" i="9"/>
  <c r="K100" i="9"/>
  <c r="L100" i="9"/>
  <c r="M100" i="9"/>
  <c r="J101" i="9"/>
  <c r="K101" i="9"/>
  <c r="L101" i="9"/>
  <c r="M101" i="9"/>
  <c r="J102" i="9"/>
  <c r="K102" i="9"/>
  <c r="L102" i="9"/>
  <c r="M102" i="9"/>
  <c r="J103" i="9"/>
  <c r="K103" i="9"/>
  <c r="L103" i="9"/>
  <c r="M103" i="9"/>
  <c r="J104" i="9"/>
  <c r="K104" i="9"/>
  <c r="L104" i="9"/>
  <c r="M104" i="9"/>
  <c r="J105" i="9"/>
  <c r="K105" i="9"/>
  <c r="L105" i="9"/>
  <c r="M105" i="9"/>
  <c r="J106" i="9"/>
  <c r="K106" i="9"/>
  <c r="L106" i="9"/>
  <c r="M106" i="9"/>
  <c r="J107" i="9"/>
  <c r="K107" i="9"/>
  <c r="L107" i="9"/>
  <c r="M107" i="9"/>
  <c r="J108" i="9"/>
  <c r="K108" i="9"/>
  <c r="L108" i="9"/>
  <c r="M108" i="9"/>
  <c r="J109" i="9"/>
  <c r="K109" i="9"/>
  <c r="L109" i="9"/>
  <c r="M109" i="9"/>
  <c r="J110" i="9"/>
  <c r="K110" i="9"/>
  <c r="L110" i="9"/>
  <c r="M110" i="9"/>
  <c r="J111" i="9"/>
  <c r="K111" i="9"/>
  <c r="L111" i="9"/>
  <c r="M111" i="9"/>
  <c r="J112" i="9"/>
  <c r="K112" i="9"/>
  <c r="L112" i="9"/>
  <c r="M112" i="9"/>
  <c r="J113" i="9"/>
  <c r="K113" i="9"/>
  <c r="L113" i="9"/>
  <c r="M113" i="9"/>
  <c r="J114" i="9"/>
  <c r="K114" i="9"/>
  <c r="L114" i="9"/>
  <c r="M114" i="9"/>
  <c r="J115" i="9"/>
  <c r="K115" i="9"/>
  <c r="L115" i="9"/>
  <c r="M115" i="9"/>
  <c r="J116" i="9"/>
  <c r="K116" i="9"/>
  <c r="L116" i="9"/>
  <c r="M116" i="9"/>
  <c r="J117" i="9"/>
  <c r="K117" i="9"/>
  <c r="L117" i="9"/>
  <c r="M117" i="9"/>
  <c r="J118" i="9"/>
  <c r="K118" i="9"/>
  <c r="L118" i="9"/>
  <c r="M118" i="9"/>
  <c r="M4" i="9"/>
  <c r="L4" i="9"/>
  <c r="K4" i="9"/>
  <c r="J4" i="9"/>
  <c r="L216" i="7" l="1"/>
  <c r="L215" i="7"/>
  <c r="L214" i="7"/>
  <c r="L217" i="7"/>
  <c r="L221" i="7"/>
  <c r="L213" i="7"/>
  <c r="L220" i="7"/>
  <c r="L212" i="7"/>
  <c r="L219" i="7"/>
  <c r="L211" i="7"/>
  <c r="L218" i="7"/>
  <c r="G384" i="7"/>
  <c r="I384" i="7" s="1"/>
  <c r="M384" i="7" s="1"/>
  <c r="G380" i="7"/>
  <c r="I380" i="7" s="1"/>
  <c r="M380" i="7" s="1"/>
  <c r="G376" i="7"/>
  <c r="I376" i="7" s="1"/>
  <c r="M376" i="7" s="1"/>
  <c r="G185" i="7"/>
  <c r="I185" i="7" s="1"/>
  <c r="M185" i="7" s="1"/>
  <c r="G181" i="7"/>
  <c r="I181" i="7" s="1"/>
  <c r="M181" i="7" s="1"/>
  <c r="G177" i="7"/>
  <c r="I177" i="7" s="1"/>
  <c r="M177" i="7" s="1"/>
  <c r="G173" i="7"/>
  <c r="I173" i="7" s="1"/>
  <c r="M173" i="7" s="1"/>
  <c r="G169" i="7"/>
  <c r="I169" i="7" s="1"/>
  <c r="M169" i="7" s="1"/>
  <c r="G165" i="7"/>
  <c r="I165" i="7" s="1"/>
  <c r="M165" i="7" s="1"/>
  <c r="G161" i="7"/>
  <c r="I161" i="7" s="1"/>
  <c r="M161" i="7" s="1"/>
  <c r="G157" i="7"/>
  <c r="I157" i="7" s="1"/>
  <c r="M157" i="7" s="1"/>
  <c r="G183" i="7"/>
  <c r="I183" i="7" s="1"/>
  <c r="M183" i="7" s="1"/>
  <c r="H385" i="7"/>
  <c r="H381" i="7"/>
  <c r="H377" i="7"/>
  <c r="H186" i="7"/>
  <c r="H182" i="7"/>
  <c r="H178" i="7"/>
  <c r="H174" i="7"/>
  <c r="H170" i="7"/>
  <c r="H166" i="7"/>
  <c r="H162" i="7"/>
  <c r="H158" i="7"/>
  <c r="G159" i="7"/>
  <c r="I159" i="7" s="1"/>
  <c r="M159" i="7" s="1"/>
  <c r="G385" i="7"/>
  <c r="I385" i="7" s="1"/>
  <c r="M385" i="7" s="1"/>
  <c r="G381" i="7"/>
  <c r="I381" i="7" s="1"/>
  <c r="M381" i="7" s="1"/>
  <c r="N381" i="7" s="1"/>
  <c r="K42" i="13" s="1"/>
  <c r="G377" i="7"/>
  <c r="I377" i="7" s="1"/>
  <c r="M377" i="7" s="1"/>
  <c r="G186" i="7"/>
  <c r="I186" i="7" s="1"/>
  <c r="M186" i="7" s="1"/>
  <c r="G182" i="7"/>
  <c r="I182" i="7" s="1"/>
  <c r="M182" i="7" s="1"/>
  <c r="G178" i="7"/>
  <c r="I178" i="7" s="1"/>
  <c r="M178" i="7" s="1"/>
  <c r="G174" i="7"/>
  <c r="I174" i="7" s="1"/>
  <c r="M174" i="7" s="1"/>
  <c r="G170" i="7"/>
  <c r="I170" i="7" s="1"/>
  <c r="M170" i="7" s="1"/>
  <c r="G166" i="7"/>
  <c r="I166" i="7" s="1"/>
  <c r="M166" i="7" s="1"/>
  <c r="G162" i="7"/>
  <c r="I162" i="7" s="1"/>
  <c r="M162" i="7" s="1"/>
  <c r="G158" i="7"/>
  <c r="I158" i="7" s="1"/>
  <c r="M158" i="7" s="1"/>
  <c r="N158" i="7" s="1"/>
  <c r="H22" i="13" s="1"/>
  <c r="F3" i="21" s="1"/>
  <c r="G167" i="7"/>
  <c r="I167" i="7" s="1"/>
  <c r="M167" i="7" s="1"/>
  <c r="H386" i="7"/>
  <c r="H382" i="7"/>
  <c r="H378" i="7"/>
  <c r="H187" i="7"/>
  <c r="H183" i="7"/>
  <c r="H179" i="7"/>
  <c r="H175" i="7"/>
  <c r="H171" i="7"/>
  <c r="H167" i="7"/>
  <c r="H163" i="7"/>
  <c r="H159" i="7"/>
  <c r="G179" i="7"/>
  <c r="I179" i="7" s="1"/>
  <c r="G386" i="7"/>
  <c r="I386" i="7" s="1"/>
  <c r="M386" i="7" s="1"/>
  <c r="G382" i="7"/>
  <c r="I382" i="7" s="1"/>
  <c r="M382" i="7" s="1"/>
  <c r="G378" i="7"/>
  <c r="I378" i="7" s="1"/>
  <c r="M378" i="7" s="1"/>
  <c r="N378" i="7" s="1"/>
  <c r="H42" i="13" s="1"/>
  <c r="F14" i="21" s="1"/>
  <c r="G187" i="7"/>
  <c r="I187" i="7" s="1"/>
  <c r="M187" i="7" s="1"/>
  <c r="G163" i="7"/>
  <c r="I163" i="7" s="1"/>
  <c r="M163" i="7" s="1"/>
  <c r="H383" i="7"/>
  <c r="H379" i="7"/>
  <c r="H188" i="7"/>
  <c r="H184" i="7"/>
  <c r="H180" i="7"/>
  <c r="H176" i="7"/>
  <c r="H172" i="7"/>
  <c r="H168" i="7"/>
  <c r="H164" i="7"/>
  <c r="H160" i="7"/>
  <c r="H156" i="7"/>
  <c r="G383" i="7"/>
  <c r="I383" i="7" s="1"/>
  <c r="M383" i="7" s="1"/>
  <c r="G379" i="7"/>
  <c r="I379" i="7" s="1"/>
  <c r="M379" i="7" s="1"/>
  <c r="G188" i="7"/>
  <c r="I188" i="7" s="1"/>
  <c r="M188" i="7" s="1"/>
  <c r="G184" i="7"/>
  <c r="I184" i="7" s="1"/>
  <c r="M184" i="7" s="1"/>
  <c r="G180" i="7"/>
  <c r="I180" i="7" s="1"/>
  <c r="M180" i="7" s="1"/>
  <c r="G176" i="7"/>
  <c r="I176" i="7" s="1"/>
  <c r="M176" i="7" s="1"/>
  <c r="G172" i="7"/>
  <c r="I172" i="7" s="1"/>
  <c r="M172" i="7" s="1"/>
  <c r="G168" i="7"/>
  <c r="I168" i="7" s="1"/>
  <c r="M168" i="7" s="1"/>
  <c r="G164" i="7"/>
  <c r="I164" i="7" s="1"/>
  <c r="M164" i="7" s="1"/>
  <c r="G160" i="7"/>
  <c r="I160" i="7" s="1"/>
  <c r="M160" i="7" s="1"/>
  <c r="G156" i="7"/>
  <c r="I156" i="7" s="1"/>
  <c r="M156" i="7" s="1"/>
  <c r="G175" i="7"/>
  <c r="I175" i="7" s="1"/>
  <c r="M175" i="7" s="1"/>
  <c r="H384" i="7"/>
  <c r="H380" i="7"/>
  <c r="H376" i="7"/>
  <c r="H185" i="7"/>
  <c r="H181" i="7"/>
  <c r="H177" i="7"/>
  <c r="H173" i="7"/>
  <c r="H169" i="7"/>
  <c r="H165" i="7"/>
  <c r="H161" i="7"/>
  <c r="H157" i="7"/>
  <c r="G171" i="7"/>
  <c r="I171" i="7" s="1"/>
  <c r="M171" i="7" s="1"/>
  <c r="H22" i="18"/>
  <c r="I22" i="18" s="1"/>
  <c r="K22" i="18" s="1"/>
  <c r="F22" i="18"/>
  <c r="K20" i="7"/>
  <c r="G19" i="7"/>
  <c r="I19" i="7" s="1"/>
  <c r="M19" i="7" s="1"/>
  <c r="G81" i="7"/>
  <c r="I81" i="7" s="1"/>
  <c r="M81" i="7" s="1"/>
  <c r="H82" i="7"/>
  <c r="G86" i="7"/>
  <c r="I86" i="7" s="1"/>
  <c r="M86" i="7" s="1"/>
  <c r="H87" i="7"/>
  <c r="H88" i="7"/>
  <c r="H89" i="7"/>
  <c r="G93" i="7"/>
  <c r="I93" i="7" s="1"/>
  <c r="M93" i="7" s="1"/>
  <c r="H94" i="7"/>
  <c r="G98" i="7"/>
  <c r="I98" i="7" s="1"/>
  <c r="M98" i="7" s="1"/>
  <c r="H99" i="7"/>
  <c r="H100" i="7"/>
  <c r="G103" i="7"/>
  <c r="I103" i="7" s="1"/>
  <c r="M103" i="7" s="1"/>
  <c r="G104" i="7"/>
  <c r="I104" i="7" s="1"/>
  <c r="M104" i="7" s="1"/>
  <c r="H105" i="7"/>
  <c r="G109" i="7"/>
  <c r="I109" i="7" s="1"/>
  <c r="M109" i="7" s="1"/>
  <c r="H110" i="7"/>
  <c r="G114" i="7"/>
  <c r="I114" i="7" s="1"/>
  <c r="M114" i="7" s="1"/>
  <c r="H115" i="7"/>
  <c r="H116" i="7"/>
  <c r="G119" i="7"/>
  <c r="I119" i="7" s="1"/>
  <c r="M119" i="7" s="1"/>
  <c r="G120" i="7"/>
  <c r="I120" i="7" s="1"/>
  <c r="M120" i="7" s="1"/>
  <c r="H121" i="7"/>
  <c r="G124" i="7"/>
  <c r="I124" i="7" s="1"/>
  <c r="M124" i="7" s="1"/>
  <c r="G125" i="7"/>
  <c r="I125" i="7" s="1"/>
  <c r="M125" i="7" s="1"/>
  <c r="H126" i="7"/>
  <c r="G130" i="7"/>
  <c r="I130" i="7" s="1"/>
  <c r="M130" i="7" s="1"/>
  <c r="H131" i="7"/>
  <c r="G135" i="7"/>
  <c r="I135" i="7" s="1"/>
  <c r="M135" i="7" s="1"/>
  <c r="H136" i="7"/>
  <c r="H137" i="7"/>
  <c r="G140" i="7"/>
  <c r="I140" i="7" s="1"/>
  <c r="M140" i="7" s="1"/>
  <c r="G141" i="7"/>
  <c r="I141" i="7" s="1"/>
  <c r="M141" i="7" s="1"/>
  <c r="H142" i="7"/>
  <c r="G145" i="7"/>
  <c r="I145" i="7" s="1"/>
  <c r="M145" i="7" s="1"/>
  <c r="G146" i="7"/>
  <c r="I146" i="7" s="1"/>
  <c r="M146" i="7" s="1"/>
  <c r="H147" i="7"/>
  <c r="G151" i="7"/>
  <c r="I151" i="7" s="1"/>
  <c r="M151" i="7" s="1"/>
  <c r="H152" i="7"/>
  <c r="G189" i="7"/>
  <c r="I189" i="7" s="1"/>
  <c r="M189" i="7" s="1"/>
  <c r="H190" i="7"/>
  <c r="H191" i="7"/>
  <c r="G194" i="7"/>
  <c r="I194" i="7" s="1"/>
  <c r="M194" i="7" s="1"/>
  <c r="G195" i="7"/>
  <c r="I195" i="7" s="1"/>
  <c r="M195" i="7" s="1"/>
  <c r="H196" i="7"/>
  <c r="G200" i="7"/>
  <c r="I200" i="7" s="1"/>
  <c r="M200" i="7" s="1"/>
  <c r="H201" i="7"/>
  <c r="G205" i="7"/>
  <c r="I205" i="7" s="1"/>
  <c r="M205" i="7" s="1"/>
  <c r="H206" i="7"/>
  <c r="H207" i="7"/>
  <c r="G210" i="7"/>
  <c r="I210" i="7" s="1"/>
  <c r="M210" i="7" s="1"/>
  <c r="G211" i="7"/>
  <c r="I211" i="7" s="1"/>
  <c r="H212" i="7"/>
  <c r="G216" i="7"/>
  <c r="I216" i="7" s="1"/>
  <c r="H217" i="7"/>
  <c r="G79" i="7"/>
  <c r="I79" i="7" s="1"/>
  <c r="M79" i="7" s="1"/>
  <c r="G80" i="7"/>
  <c r="I80" i="7" s="1"/>
  <c r="M80" i="7" s="1"/>
  <c r="H81" i="7"/>
  <c r="G85" i="7"/>
  <c r="I85" i="7" s="1"/>
  <c r="M85" i="7" s="1"/>
  <c r="H86" i="7"/>
  <c r="G91" i="7"/>
  <c r="I91" i="7" s="1"/>
  <c r="M91" i="7" s="1"/>
  <c r="G92" i="7"/>
  <c r="I92" i="7" s="1"/>
  <c r="M92" i="7" s="1"/>
  <c r="H93" i="7"/>
  <c r="G97" i="7"/>
  <c r="I97" i="7" s="1"/>
  <c r="M97" i="7" s="1"/>
  <c r="H98" i="7"/>
  <c r="G102" i="7"/>
  <c r="I102" i="7" s="1"/>
  <c r="M102" i="7" s="1"/>
  <c r="H103" i="7"/>
  <c r="H104" i="7"/>
  <c r="G107" i="7"/>
  <c r="I107" i="7" s="1"/>
  <c r="M107" i="7" s="1"/>
  <c r="G108" i="7"/>
  <c r="I108" i="7" s="1"/>
  <c r="M108" i="7" s="1"/>
  <c r="H109" i="7"/>
  <c r="G113" i="7"/>
  <c r="I113" i="7" s="1"/>
  <c r="M113" i="7" s="1"/>
  <c r="H114" i="7"/>
  <c r="G118" i="7"/>
  <c r="I118" i="7" s="1"/>
  <c r="M118" i="7" s="1"/>
  <c r="H119" i="7"/>
  <c r="H120" i="7"/>
  <c r="G123" i="7"/>
  <c r="I123" i="7" s="1"/>
  <c r="M123" i="7" s="1"/>
  <c r="H124" i="7"/>
  <c r="H125" i="7"/>
  <c r="G128" i="7"/>
  <c r="I128" i="7" s="1"/>
  <c r="M128" i="7" s="1"/>
  <c r="G129" i="7"/>
  <c r="I129" i="7" s="1"/>
  <c r="M129" i="7" s="1"/>
  <c r="H130" i="7"/>
  <c r="G134" i="7"/>
  <c r="I134" i="7" s="1"/>
  <c r="M134" i="7" s="1"/>
  <c r="H135" i="7"/>
  <c r="G139" i="7"/>
  <c r="I139" i="7" s="1"/>
  <c r="M139" i="7" s="1"/>
  <c r="H140" i="7"/>
  <c r="H141" i="7"/>
  <c r="G144" i="7"/>
  <c r="I144" i="7" s="1"/>
  <c r="M144" i="7" s="1"/>
  <c r="H145" i="7"/>
  <c r="H146" i="7"/>
  <c r="G149" i="7"/>
  <c r="I149" i="7" s="1"/>
  <c r="M149" i="7" s="1"/>
  <c r="G150" i="7"/>
  <c r="I150" i="7" s="1"/>
  <c r="M150" i="7" s="1"/>
  <c r="H151" i="7"/>
  <c r="G155" i="7"/>
  <c r="I155" i="7" s="1"/>
  <c r="M155" i="7" s="1"/>
  <c r="H189" i="7"/>
  <c r="G193" i="7"/>
  <c r="I193" i="7" s="1"/>
  <c r="M193" i="7" s="1"/>
  <c r="H194" i="7"/>
  <c r="H195" i="7"/>
  <c r="G198" i="7"/>
  <c r="I198" i="7" s="1"/>
  <c r="M198" i="7" s="1"/>
  <c r="G199" i="7"/>
  <c r="I199" i="7" s="1"/>
  <c r="M199" i="7" s="1"/>
  <c r="H200" i="7"/>
  <c r="G204" i="7"/>
  <c r="I204" i="7" s="1"/>
  <c r="M204" i="7" s="1"/>
  <c r="H205" i="7"/>
  <c r="G209" i="7"/>
  <c r="I209" i="7" s="1"/>
  <c r="M209" i="7" s="1"/>
  <c r="H210" i="7"/>
  <c r="H211" i="7"/>
  <c r="G214" i="7"/>
  <c r="I214" i="7" s="1"/>
  <c r="G215" i="7"/>
  <c r="I215" i="7" s="1"/>
  <c r="H216" i="7"/>
  <c r="G220" i="7"/>
  <c r="I220" i="7" s="1"/>
  <c r="H79" i="7"/>
  <c r="H80" i="7"/>
  <c r="G83" i="7"/>
  <c r="I83" i="7" s="1"/>
  <c r="M83" i="7" s="1"/>
  <c r="G84" i="7"/>
  <c r="I84" i="7" s="1"/>
  <c r="M84" i="7" s="1"/>
  <c r="H85" i="7"/>
  <c r="G90" i="7"/>
  <c r="I90" i="7" s="1"/>
  <c r="M90" i="7" s="1"/>
  <c r="H91" i="7"/>
  <c r="H92" i="7"/>
  <c r="G95" i="7"/>
  <c r="I95" i="7" s="1"/>
  <c r="M95" i="7" s="1"/>
  <c r="G96" i="7"/>
  <c r="I96" i="7" s="1"/>
  <c r="M96" i="7" s="1"/>
  <c r="H97" i="7"/>
  <c r="G101" i="7"/>
  <c r="I101" i="7" s="1"/>
  <c r="M101" i="7" s="1"/>
  <c r="H102" i="7"/>
  <c r="G106" i="7"/>
  <c r="I106" i="7" s="1"/>
  <c r="M106" i="7" s="1"/>
  <c r="H107" i="7"/>
  <c r="H108" i="7"/>
  <c r="G111" i="7"/>
  <c r="I111" i="7" s="1"/>
  <c r="M111" i="7" s="1"/>
  <c r="G112" i="7"/>
  <c r="I112" i="7" s="1"/>
  <c r="M112" i="7" s="1"/>
  <c r="H113" i="7"/>
  <c r="G117" i="7"/>
  <c r="I117" i="7" s="1"/>
  <c r="M117" i="7" s="1"/>
  <c r="H118" i="7"/>
  <c r="G122" i="7"/>
  <c r="I122" i="7" s="1"/>
  <c r="M122" i="7" s="1"/>
  <c r="H123" i="7"/>
  <c r="G127" i="7"/>
  <c r="I127" i="7" s="1"/>
  <c r="M127" i="7" s="1"/>
  <c r="H128" i="7"/>
  <c r="H129" i="7"/>
  <c r="G132" i="7"/>
  <c r="I132" i="7" s="1"/>
  <c r="M132" i="7" s="1"/>
  <c r="G133" i="7"/>
  <c r="I133" i="7" s="1"/>
  <c r="M133" i="7" s="1"/>
  <c r="H134" i="7"/>
  <c r="G138" i="7"/>
  <c r="I138" i="7" s="1"/>
  <c r="M138" i="7" s="1"/>
  <c r="H139" i="7"/>
  <c r="G143" i="7"/>
  <c r="I143" i="7" s="1"/>
  <c r="M143" i="7" s="1"/>
  <c r="H144" i="7"/>
  <c r="G148" i="7"/>
  <c r="I148" i="7" s="1"/>
  <c r="M148" i="7" s="1"/>
  <c r="H149" i="7"/>
  <c r="H150" i="7"/>
  <c r="G153" i="7"/>
  <c r="I153" i="7" s="1"/>
  <c r="M153" i="7" s="1"/>
  <c r="G154" i="7"/>
  <c r="I154" i="7" s="1"/>
  <c r="M154" i="7" s="1"/>
  <c r="H155" i="7"/>
  <c r="G192" i="7"/>
  <c r="I192" i="7" s="1"/>
  <c r="M192" i="7" s="1"/>
  <c r="H193" i="7"/>
  <c r="G197" i="7"/>
  <c r="I197" i="7" s="1"/>
  <c r="M197" i="7" s="1"/>
  <c r="H198" i="7"/>
  <c r="H199" i="7"/>
  <c r="G202" i="7"/>
  <c r="I202" i="7" s="1"/>
  <c r="M202" i="7" s="1"/>
  <c r="G203" i="7"/>
  <c r="I203" i="7" s="1"/>
  <c r="M203" i="7" s="1"/>
  <c r="H204" i="7"/>
  <c r="G208" i="7"/>
  <c r="I208" i="7" s="1"/>
  <c r="M208" i="7" s="1"/>
  <c r="H209" i="7"/>
  <c r="G213" i="7"/>
  <c r="I213" i="7" s="1"/>
  <c r="H214" i="7"/>
  <c r="G82" i="7"/>
  <c r="I82" i="7" s="1"/>
  <c r="M82" i="7" s="1"/>
  <c r="H84" i="7"/>
  <c r="G87" i="7"/>
  <c r="I87" i="7" s="1"/>
  <c r="M87" i="7" s="1"/>
  <c r="G89" i="7"/>
  <c r="I89" i="7" s="1"/>
  <c r="M89" i="7" s="1"/>
  <c r="G94" i="7"/>
  <c r="I94" i="7" s="1"/>
  <c r="M94" i="7" s="1"/>
  <c r="H96" i="7"/>
  <c r="G99" i="7"/>
  <c r="I99" i="7" s="1"/>
  <c r="M99" i="7" s="1"/>
  <c r="H101" i="7"/>
  <c r="H122" i="7"/>
  <c r="G142" i="7"/>
  <c r="I142" i="7" s="1"/>
  <c r="M142" i="7" s="1"/>
  <c r="H197" i="7"/>
  <c r="H202" i="7"/>
  <c r="G207" i="7"/>
  <c r="I207" i="7" s="1"/>
  <c r="M207" i="7" s="1"/>
  <c r="N207" i="7" s="1"/>
  <c r="G217" i="7"/>
  <c r="I217" i="7" s="1"/>
  <c r="H221" i="7"/>
  <c r="G225" i="7"/>
  <c r="I225" i="7" s="1"/>
  <c r="H226" i="7"/>
  <c r="H227" i="7"/>
  <c r="G230" i="7"/>
  <c r="I230" i="7" s="1"/>
  <c r="G231" i="7"/>
  <c r="I231" i="7" s="1"/>
  <c r="H232" i="7"/>
  <c r="G236" i="7"/>
  <c r="I236" i="7" s="1"/>
  <c r="H237" i="7"/>
  <c r="G241" i="7"/>
  <c r="I241" i="7" s="1"/>
  <c r="H242" i="7"/>
  <c r="G245" i="7"/>
  <c r="I245" i="7" s="1"/>
  <c r="H246" i="7"/>
  <c r="G249" i="7"/>
  <c r="I249" i="7" s="1"/>
  <c r="H250" i="7"/>
  <c r="G253" i="7"/>
  <c r="I253" i="7" s="1"/>
  <c r="H254" i="7"/>
  <c r="G257" i="7"/>
  <c r="I257" i="7" s="1"/>
  <c r="H258" i="7"/>
  <c r="G264" i="7"/>
  <c r="I264" i="7" s="1"/>
  <c r="H265" i="7"/>
  <c r="H266" i="7"/>
  <c r="H267" i="7"/>
  <c r="G272" i="7"/>
  <c r="I272" i="7" s="1"/>
  <c r="H273" i="7"/>
  <c r="H274" i="7"/>
  <c r="H275" i="7"/>
  <c r="G279" i="7"/>
  <c r="I279" i="7" s="1"/>
  <c r="G280" i="7"/>
  <c r="I280" i="7" s="1"/>
  <c r="H281" i="7"/>
  <c r="G285" i="7"/>
  <c r="I285" i="7" s="1"/>
  <c r="H286" i="7"/>
  <c r="G290" i="7"/>
  <c r="I290" i="7" s="1"/>
  <c r="H291" i="7"/>
  <c r="H292" i="7"/>
  <c r="G295" i="7"/>
  <c r="I295" i="7" s="1"/>
  <c r="G296" i="7"/>
  <c r="I296" i="7" s="1"/>
  <c r="H297" i="7"/>
  <c r="G301" i="7"/>
  <c r="I301" i="7" s="1"/>
  <c r="H302" i="7"/>
  <c r="G306" i="7"/>
  <c r="I306" i="7" s="1"/>
  <c r="H307" i="7"/>
  <c r="H308" i="7"/>
  <c r="G311" i="7"/>
  <c r="I311" i="7" s="1"/>
  <c r="G105" i="7"/>
  <c r="I105" i="7" s="1"/>
  <c r="M105" i="7" s="1"/>
  <c r="N105" i="7" s="1"/>
  <c r="G110" i="7"/>
  <c r="I110" i="7" s="1"/>
  <c r="M110" i="7" s="1"/>
  <c r="H112" i="7"/>
  <c r="G115" i="7"/>
  <c r="I115" i="7" s="1"/>
  <c r="M115" i="7" s="1"/>
  <c r="H117" i="7"/>
  <c r="H127" i="7"/>
  <c r="H132" i="7"/>
  <c r="G137" i="7"/>
  <c r="I137" i="7" s="1"/>
  <c r="M137" i="7" s="1"/>
  <c r="G147" i="7"/>
  <c r="I147" i="7" s="1"/>
  <c r="M147" i="7" s="1"/>
  <c r="N147" i="7" s="1"/>
  <c r="G152" i="7"/>
  <c r="I152" i="7" s="1"/>
  <c r="M152" i="7" s="1"/>
  <c r="H154" i="7"/>
  <c r="G190" i="7"/>
  <c r="I190" i="7" s="1"/>
  <c r="M190" i="7" s="1"/>
  <c r="H192" i="7"/>
  <c r="H213" i="7"/>
  <c r="H215" i="7"/>
  <c r="H220" i="7"/>
  <c r="G224" i="7"/>
  <c r="I224" i="7" s="1"/>
  <c r="H225" i="7"/>
  <c r="G229" i="7"/>
  <c r="I229" i="7" s="1"/>
  <c r="H230" i="7"/>
  <c r="H231" i="7"/>
  <c r="G234" i="7"/>
  <c r="I234" i="7" s="1"/>
  <c r="G235" i="7"/>
  <c r="I235" i="7" s="1"/>
  <c r="H236" i="7"/>
  <c r="G240" i="7"/>
  <c r="I240" i="7" s="1"/>
  <c r="H241" i="7"/>
  <c r="G244" i="7"/>
  <c r="I244" i="7" s="1"/>
  <c r="H245" i="7"/>
  <c r="G248" i="7"/>
  <c r="I248" i="7" s="1"/>
  <c r="H249" i="7"/>
  <c r="G252" i="7"/>
  <c r="I252" i="7" s="1"/>
  <c r="H253" i="7"/>
  <c r="G256" i="7"/>
  <c r="I256" i="7" s="1"/>
  <c r="H257" i="7"/>
  <c r="G260" i="7"/>
  <c r="I260" i="7" s="1"/>
  <c r="G261" i="7"/>
  <c r="I261" i="7" s="1"/>
  <c r="G262" i="7"/>
  <c r="I262" i="7" s="1"/>
  <c r="G263" i="7"/>
  <c r="I263" i="7" s="1"/>
  <c r="H264" i="7"/>
  <c r="G269" i="7"/>
  <c r="I269" i="7" s="1"/>
  <c r="G270" i="7"/>
  <c r="I270" i="7" s="1"/>
  <c r="G271" i="7"/>
  <c r="I271" i="7" s="1"/>
  <c r="H272" i="7"/>
  <c r="G88" i="7"/>
  <c r="I88" i="7" s="1"/>
  <c r="M88" i="7" s="1"/>
  <c r="H111" i="7"/>
  <c r="G121" i="7"/>
  <c r="I121" i="7" s="1"/>
  <c r="M121" i="7" s="1"/>
  <c r="H133" i="7"/>
  <c r="G136" i="7"/>
  <c r="I136" i="7" s="1"/>
  <c r="M136" i="7" s="1"/>
  <c r="N136" i="7" s="1"/>
  <c r="H148" i="7"/>
  <c r="G191" i="7"/>
  <c r="I191" i="7" s="1"/>
  <c r="M191" i="7" s="1"/>
  <c r="H203" i="7"/>
  <c r="G206" i="7"/>
  <c r="I206" i="7" s="1"/>
  <c r="M206" i="7" s="1"/>
  <c r="G212" i="7"/>
  <c r="I212" i="7" s="1"/>
  <c r="G218" i="7"/>
  <c r="I218" i="7" s="1"/>
  <c r="H219" i="7"/>
  <c r="G223" i="7"/>
  <c r="I223" i="7" s="1"/>
  <c r="G227" i="7"/>
  <c r="I227" i="7" s="1"/>
  <c r="G233" i="7"/>
  <c r="I233" i="7" s="1"/>
  <c r="H238" i="7"/>
  <c r="G242" i="7"/>
  <c r="I242" i="7" s="1"/>
  <c r="G246" i="7"/>
  <c r="I246" i="7" s="1"/>
  <c r="G250" i="7"/>
  <c r="I250" i="7" s="1"/>
  <c r="G254" i="7"/>
  <c r="I254" i="7" s="1"/>
  <c r="G258" i="7"/>
  <c r="I258" i="7" s="1"/>
  <c r="H261" i="7"/>
  <c r="H268" i="7"/>
  <c r="H271" i="7"/>
  <c r="H279" i="7"/>
  <c r="H282" i="7"/>
  <c r="G288" i="7"/>
  <c r="I288" i="7" s="1"/>
  <c r="H289" i="7"/>
  <c r="G291" i="7"/>
  <c r="I291" i="7" s="1"/>
  <c r="G294" i="7"/>
  <c r="I294" i="7" s="1"/>
  <c r="G297" i="7"/>
  <c r="I297" i="7" s="1"/>
  <c r="H301" i="7"/>
  <c r="G303" i="7"/>
  <c r="I303" i="7" s="1"/>
  <c r="H304" i="7"/>
  <c r="G309" i="7"/>
  <c r="I309" i="7" s="1"/>
  <c r="H310" i="7"/>
  <c r="G313" i="7"/>
  <c r="I313" i="7" s="1"/>
  <c r="H314" i="7"/>
  <c r="G318" i="7"/>
  <c r="I318" i="7" s="1"/>
  <c r="H319" i="7"/>
  <c r="H320" i="7"/>
  <c r="G321" i="7"/>
  <c r="I321" i="7" s="1"/>
  <c r="H322" i="7"/>
  <c r="G326" i="7"/>
  <c r="I326" i="7" s="1"/>
  <c r="H327" i="7"/>
  <c r="G331" i="7"/>
  <c r="I331" i="7" s="1"/>
  <c r="H332" i="7"/>
  <c r="G336" i="7"/>
  <c r="I336" i="7" s="1"/>
  <c r="H337" i="7"/>
  <c r="H95" i="7"/>
  <c r="G131" i="7"/>
  <c r="I131" i="7" s="1"/>
  <c r="M131" i="7" s="1"/>
  <c r="H143" i="7"/>
  <c r="G201" i="7"/>
  <c r="I201" i="7" s="1"/>
  <c r="M201" i="7" s="1"/>
  <c r="H218" i="7"/>
  <c r="G222" i="7"/>
  <c r="I222" i="7" s="1"/>
  <c r="H223" i="7"/>
  <c r="H229" i="7"/>
  <c r="H233" i="7"/>
  <c r="G237" i="7"/>
  <c r="I237" i="7" s="1"/>
  <c r="H240" i="7"/>
  <c r="H244" i="7"/>
  <c r="H248" i="7"/>
  <c r="H252" i="7"/>
  <c r="H256" i="7"/>
  <c r="H260" i="7"/>
  <c r="G265" i="7"/>
  <c r="I265" i="7" s="1"/>
  <c r="G267" i="7"/>
  <c r="I267" i="7" s="1"/>
  <c r="H270" i="7"/>
  <c r="G274" i="7"/>
  <c r="I274" i="7" s="1"/>
  <c r="G276" i="7"/>
  <c r="I276" i="7" s="1"/>
  <c r="G278" i="7"/>
  <c r="I278" i="7" s="1"/>
  <c r="G281" i="7"/>
  <c r="I281" i="7" s="1"/>
  <c r="H285" i="7"/>
  <c r="G287" i="7"/>
  <c r="I287" i="7" s="1"/>
  <c r="H288" i="7"/>
  <c r="G293" i="7"/>
  <c r="I293" i="7" s="1"/>
  <c r="H294" i="7"/>
  <c r="G299" i="7"/>
  <c r="I299" i="7" s="1"/>
  <c r="G300" i="7"/>
  <c r="I300" i="7" s="1"/>
  <c r="H303" i="7"/>
  <c r="H306" i="7"/>
  <c r="H309" i="7"/>
  <c r="G312" i="7"/>
  <c r="I312" i="7" s="1"/>
  <c r="H313" i="7"/>
  <c r="G317" i="7"/>
  <c r="I317" i="7" s="1"/>
  <c r="H318" i="7"/>
  <c r="H321" i="7"/>
  <c r="G325" i="7"/>
  <c r="I325" i="7" s="1"/>
  <c r="H326" i="7"/>
  <c r="G329" i="7"/>
  <c r="I329" i="7" s="1"/>
  <c r="G330" i="7"/>
  <c r="I330" i="7" s="1"/>
  <c r="H331" i="7"/>
  <c r="G335" i="7"/>
  <c r="I335" i="7" s="1"/>
  <c r="H336" i="7"/>
  <c r="G340" i="7"/>
  <c r="I340" i="7" s="1"/>
  <c r="H341" i="7"/>
  <c r="H342" i="7"/>
  <c r="G345" i="7"/>
  <c r="I345" i="7" s="1"/>
  <c r="G346" i="7"/>
  <c r="I346" i="7" s="1"/>
  <c r="H347" i="7"/>
  <c r="G351" i="7"/>
  <c r="I351" i="7" s="1"/>
  <c r="H352" i="7"/>
  <c r="G356" i="7"/>
  <c r="I356" i="7" s="1"/>
  <c r="H357" i="7"/>
  <c r="H358" i="7"/>
  <c r="G361" i="7"/>
  <c r="I361" i="7" s="1"/>
  <c r="G362" i="7"/>
  <c r="I362" i="7" s="1"/>
  <c r="H363" i="7"/>
  <c r="I367" i="7"/>
  <c r="H368" i="7"/>
  <c r="I372" i="7"/>
  <c r="H373" i="7"/>
  <c r="H374" i="7"/>
  <c r="G388" i="7"/>
  <c r="I388" i="7" s="1"/>
  <c r="H389" i="7"/>
  <c r="H390" i="7"/>
  <c r="G393" i="7"/>
  <c r="I393" i="7" s="1"/>
  <c r="G394" i="7"/>
  <c r="I394" i="7" s="1"/>
  <c r="H395" i="7"/>
  <c r="G398" i="7"/>
  <c r="I398" i="7" s="1"/>
  <c r="G399" i="7"/>
  <c r="I399" i="7" s="1"/>
  <c r="H400" i="7"/>
  <c r="G404" i="7"/>
  <c r="I404" i="7" s="1"/>
  <c r="H405" i="7"/>
  <c r="G409" i="7"/>
  <c r="I409" i="7" s="1"/>
  <c r="H410" i="7"/>
  <c r="H411" i="7"/>
  <c r="G414" i="7"/>
  <c r="I414" i="7" s="1"/>
  <c r="G415" i="7"/>
  <c r="I415" i="7" s="1"/>
  <c r="H416" i="7"/>
  <c r="G420" i="7"/>
  <c r="I420" i="7" s="1"/>
  <c r="H421" i="7"/>
  <c r="G425" i="7"/>
  <c r="I425" i="7" s="1"/>
  <c r="H426" i="7"/>
  <c r="H427" i="7"/>
  <c r="G430" i="7"/>
  <c r="I430" i="7" s="1"/>
  <c r="G431" i="7"/>
  <c r="I431" i="7" s="1"/>
  <c r="H432" i="7"/>
  <c r="G435" i="7"/>
  <c r="I435" i="7" s="1"/>
  <c r="H436" i="7"/>
  <c r="H437" i="7"/>
  <c r="G440" i="7"/>
  <c r="I440" i="7" s="1"/>
  <c r="G441" i="7"/>
  <c r="I441" i="7" s="1"/>
  <c r="H442" i="7"/>
  <c r="G446" i="7"/>
  <c r="I446" i="7" s="1"/>
  <c r="H447" i="7"/>
  <c r="G451" i="7"/>
  <c r="I451" i="7" s="1"/>
  <c r="H452" i="7"/>
  <c r="H453" i="7"/>
  <c r="G456" i="7"/>
  <c r="I456" i="7" s="1"/>
  <c r="H457" i="7"/>
  <c r="H458" i="7"/>
  <c r="H459" i="7"/>
  <c r="G463" i="7"/>
  <c r="I463" i="7" s="1"/>
  <c r="H464" i="7"/>
  <c r="G468" i="7"/>
  <c r="I468" i="7" s="1"/>
  <c r="H469" i="7"/>
  <c r="G473" i="7"/>
  <c r="I473" i="7" s="1"/>
  <c r="H474" i="7"/>
  <c r="H475" i="7"/>
  <c r="G478" i="7"/>
  <c r="I478" i="7" s="1"/>
  <c r="G479" i="7"/>
  <c r="I479" i="7" s="1"/>
  <c r="H480" i="7"/>
  <c r="G484" i="7"/>
  <c r="I484" i="7" s="1"/>
  <c r="H485" i="7"/>
  <c r="G350" i="7"/>
  <c r="I350" i="7" s="1"/>
  <c r="G360" i="7"/>
  <c r="I360" i="7" s="1"/>
  <c r="H83" i="7"/>
  <c r="H106" i="7"/>
  <c r="G116" i="7"/>
  <c r="I116" i="7" s="1"/>
  <c r="M116" i="7" s="1"/>
  <c r="G126" i="7"/>
  <c r="I126" i="7" s="1"/>
  <c r="M126" i="7" s="1"/>
  <c r="H153" i="7"/>
  <c r="G196" i="7"/>
  <c r="I196" i="7" s="1"/>
  <c r="M196" i="7" s="1"/>
  <c r="H222" i="7"/>
  <c r="G226" i="7"/>
  <c r="I226" i="7" s="1"/>
  <c r="G228" i="7"/>
  <c r="I228" i="7" s="1"/>
  <c r="G232" i="7"/>
  <c r="I232" i="7" s="1"/>
  <c r="H235" i="7"/>
  <c r="G239" i="7"/>
  <c r="I239" i="7" s="1"/>
  <c r="G243" i="7"/>
  <c r="I243" i="7" s="1"/>
  <c r="G247" i="7"/>
  <c r="I247" i="7" s="1"/>
  <c r="G251" i="7"/>
  <c r="I251" i="7" s="1"/>
  <c r="G255" i="7"/>
  <c r="I255" i="7" s="1"/>
  <c r="G259" i="7"/>
  <c r="I259" i="7" s="1"/>
  <c r="H263" i="7"/>
  <c r="H269" i="7"/>
  <c r="H276" i="7"/>
  <c r="G277" i="7"/>
  <c r="I277" i="7" s="1"/>
  <c r="H278" i="7"/>
  <c r="G283" i="7"/>
  <c r="I283" i="7" s="1"/>
  <c r="G284" i="7"/>
  <c r="I284" i="7" s="1"/>
  <c r="H287" i="7"/>
  <c r="H290" i="7"/>
  <c r="H293" i="7"/>
  <c r="H296" i="7"/>
  <c r="G298" i="7"/>
  <c r="I298" i="7" s="1"/>
  <c r="H299" i="7"/>
  <c r="H300" i="7"/>
  <c r="G302" i="7"/>
  <c r="I302" i="7" s="1"/>
  <c r="G305" i="7"/>
  <c r="I305" i="7" s="1"/>
  <c r="G308" i="7"/>
  <c r="I308" i="7" s="1"/>
  <c r="H311" i="7"/>
  <c r="H312" i="7"/>
  <c r="G315" i="7"/>
  <c r="I315" i="7" s="1"/>
  <c r="G316" i="7"/>
  <c r="I316" i="7" s="1"/>
  <c r="H317" i="7"/>
  <c r="G323" i="7"/>
  <c r="I323" i="7" s="1"/>
  <c r="G324" i="7"/>
  <c r="I324" i="7" s="1"/>
  <c r="H325" i="7"/>
  <c r="G328" i="7"/>
  <c r="I328" i="7" s="1"/>
  <c r="H329" i="7"/>
  <c r="H330" i="7"/>
  <c r="G333" i="7"/>
  <c r="I333" i="7" s="1"/>
  <c r="G334" i="7"/>
  <c r="I334" i="7" s="1"/>
  <c r="H335" i="7"/>
  <c r="G339" i="7"/>
  <c r="I339" i="7" s="1"/>
  <c r="H340" i="7"/>
  <c r="G344" i="7"/>
  <c r="I344" i="7" s="1"/>
  <c r="H345" i="7"/>
  <c r="H346" i="7"/>
  <c r="G349" i="7"/>
  <c r="I349" i="7" s="1"/>
  <c r="H351" i="7"/>
  <c r="G355" i="7"/>
  <c r="I355" i="7" s="1"/>
  <c r="H356" i="7"/>
  <c r="H361" i="7"/>
  <c r="H90" i="7"/>
  <c r="H251" i="7"/>
  <c r="G275" i="7"/>
  <c r="I275" i="7" s="1"/>
  <c r="G286" i="7"/>
  <c r="I286" i="7" s="1"/>
  <c r="G289" i="7"/>
  <c r="I289" i="7" s="1"/>
  <c r="G292" i="7"/>
  <c r="I292" i="7" s="1"/>
  <c r="H295" i="7"/>
  <c r="H298" i="7"/>
  <c r="G304" i="7"/>
  <c r="I304" i="7" s="1"/>
  <c r="G322" i="7"/>
  <c r="I322" i="7" s="1"/>
  <c r="H324" i="7"/>
  <c r="G327" i="7"/>
  <c r="I327" i="7" s="1"/>
  <c r="G332" i="7"/>
  <c r="I332" i="7" s="1"/>
  <c r="H334" i="7"/>
  <c r="G337" i="7"/>
  <c r="I337" i="7" s="1"/>
  <c r="G341" i="7"/>
  <c r="I341" i="7" s="1"/>
  <c r="G343" i="7"/>
  <c r="I343" i="7" s="1"/>
  <c r="G347" i="7"/>
  <c r="I347" i="7" s="1"/>
  <c r="H350" i="7"/>
  <c r="G354" i="7"/>
  <c r="I354" i="7" s="1"/>
  <c r="G358" i="7"/>
  <c r="I358" i="7" s="1"/>
  <c r="I365" i="7"/>
  <c r="G366" i="7"/>
  <c r="I366" i="7" s="1"/>
  <c r="H369" i="7"/>
  <c r="H372" i="7"/>
  <c r="H375" i="7"/>
  <c r="H208" i="7"/>
  <c r="G221" i="7"/>
  <c r="I221" i="7" s="1"/>
  <c r="H224" i="7"/>
  <c r="H239" i="7"/>
  <c r="H255" i="7"/>
  <c r="G273" i="7"/>
  <c r="I273" i="7" s="1"/>
  <c r="G282" i="7"/>
  <c r="I282" i="7" s="1"/>
  <c r="H284" i="7"/>
  <c r="G307" i="7"/>
  <c r="I307" i="7" s="1"/>
  <c r="G310" i="7"/>
  <c r="I310" i="7" s="1"/>
  <c r="H315" i="7"/>
  <c r="G320" i="7"/>
  <c r="I320" i="7" s="1"/>
  <c r="H339" i="7"/>
  <c r="H343" i="7"/>
  <c r="H349" i="7"/>
  <c r="G353" i="7"/>
  <c r="I353" i="7" s="1"/>
  <c r="H354" i="7"/>
  <c r="H360" i="7"/>
  <c r="H362" i="7"/>
  <c r="G364" i="7"/>
  <c r="I364" i="7" s="1"/>
  <c r="H365" i="7"/>
  <c r="H366" i="7"/>
  <c r="G368" i="7"/>
  <c r="I368" i="7" s="1"/>
  <c r="G371" i="7"/>
  <c r="I371" i="7" s="1"/>
  <c r="G374" i="7"/>
  <c r="I374" i="7" s="1"/>
  <c r="H387" i="7"/>
  <c r="G389" i="7"/>
  <c r="I389" i="7" s="1"/>
  <c r="G392" i="7"/>
  <c r="I392" i="7" s="1"/>
  <c r="G395" i="7"/>
  <c r="I395" i="7" s="1"/>
  <c r="G402" i="7"/>
  <c r="I402" i="7" s="1"/>
  <c r="G403" i="7"/>
  <c r="I403" i="7" s="1"/>
  <c r="H406" i="7"/>
  <c r="H409" i="7"/>
  <c r="H412" i="7"/>
  <c r="H415" i="7"/>
  <c r="G417" i="7"/>
  <c r="I417" i="7" s="1"/>
  <c r="H418" i="7"/>
  <c r="H419" i="7"/>
  <c r="G421" i="7"/>
  <c r="I421" i="7" s="1"/>
  <c r="G424" i="7"/>
  <c r="I424" i="7" s="1"/>
  <c r="G427" i="7"/>
  <c r="I427" i="7" s="1"/>
  <c r="H430" i="7"/>
  <c r="H433" i="7"/>
  <c r="G438" i="7"/>
  <c r="I438" i="7" s="1"/>
  <c r="H439" i="7"/>
  <c r="G444" i="7"/>
  <c r="I444" i="7" s="1"/>
  <c r="G445" i="7"/>
  <c r="I445" i="7" s="1"/>
  <c r="H448" i="7"/>
  <c r="H451" i="7"/>
  <c r="H454" i="7"/>
  <c r="H460" i="7"/>
  <c r="G466" i="7"/>
  <c r="I466" i="7" s="1"/>
  <c r="G467" i="7"/>
  <c r="I467" i="7" s="1"/>
  <c r="H470" i="7"/>
  <c r="H473" i="7"/>
  <c r="H476" i="7"/>
  <c r="H479" i="7"/>
  <c r="G481" i="7"/>
  <c r="I481" i="7" s="1"/>
  <c r="H482" i="7"/>
  <c r="H483" i="7"/>
  <c r="G485" i="7"/>
  <c r="I485" i="7" s="1"/>
  <c r="G219" i="7"/>
  <c r="I219" i="7" s="1"/>
  <c r="H228" i="7"/>
  <c r="H234" i="7"/>
  <c r="H243" i="7"/>
  <c r="H259" i="7"/>
  <c r="H262" i="7"/>
  <c r="G268" i="7"/>
  <c r="I268" i="7" s="1"/>
  <c r="H277" i="7"/>
  <c r="H280" i="7"/>
  <c r="H305" i="7"/>
  <c r="H323" i="7"/>
  <c r="H328" i="7"/>
  <c r="H333" i="7"/>
  <c r="G338" i="7"/>
  <c r="I338" i="7" s="1"/>
  <c r="G342" i="7"/>
  <c r="I342" i="7" s="1"/>
  <c r="G348" i="7"/>
  <c r="I348" i="7" s="1"/>
  <c r="H353" i="7"/>
  <c r="G357" i="7"/>
  <c r="I357" i="7" s="1"/>
  <c r="G359" i="7"/>
  <c r="I359" i="7" s="1"/>
  <c r="H364" i="7"/>
  <c r="G370" i="7"/>
  <c r="I370" i="7" s="1"/>
  <c r="H371" i="7"/>
  <c r="G373" i="7"/>
  <c r="I373" i="7" s="1"/>
  <c r="G391" i="7"/>
  <c r="I391" i="7" s="1"/>
  <c r="H392" i="7"/>
  <c r="G397" i="7"/>
  <c r="I397" i="7" s="1"/>
  <c r="H399" i="7"/>
  <c r="G401" i="7"/>
  <c r="I401" i="7" s="1"/>
  <c r="H402" i="7"/>
  <c r="H403" i="7"/>
  <c r="G405" i="7"/>
  <c r="I405" i="7" s="1"/>
  <c r="G408" i="7"/>
  <c r="I408" i="7" s="1"/>
  <c r="G411" i="7"/>
  <c r="I411" i="7" s="1"/>
  <c r="H414" i="7"/>
  <c r="H417" i="7"/>
  <c r="G423" i="7"/>
  <c r="I423" i="7" s="1"/>
  <c r="H424" i="7"/>
  <c r="G426" i="7"/>
  <c r="I426" i="7" s="1"/>
  <c r="G429" i="7"/>
  <c r="I429" i="7" s="1"/>
  <c r="G432" i="7"/>
  <c r="I432" i="7" s="1"/>
  <c r="H435" i="7"/>
  <c r="H438" i="7"/>
  <c r="H441" i="7"/>
  <c r="G443" i="7"/>
  <c r="I443" i="7" s="1"/>
  <c r="H444" i="7"/>
  <c r="H445" i="7"/>
  <c r="G447" i="7"/>
  <c r="I447" i="7" s="1"/>
  <c r="G450" i="7"/>
  <c r="I450" i="7" s="1"/>
  <c r="G453" i="7"/>
  <c r="I453" i="7" s="1"/>
  <c r="H456" i="7"/>
  <c r="G459" i="7"/>
  <c r="I459" i="7" s="1"/>
  <c r="H463" i="7"/>
  <c r="G465" i="7"/>
  <c r="I465" i="7" s="1"/>
  <c r="H466" i="7"/>
  <c r="H467" i="7"/>
  <c r="G469" i="7"/>
  <c r="I469" i="7" s="1"/>
  <c r="G472" i="7"/>
  <c r="I472" i="7" s="1"/>
  <c r="G475" i="7"/>
  <c r="I475" i="7" s="1"/>
  <c r="H478" i="7"/>
  <c r="G352" i="7"/>
  <c r="I352" i="7" s="1"/>
  <c r="H355" i="7"/>
  <c r="H367" i="7"/>
  <c r="G375" i="7"/>
  <c r="I375" i="7" s="1"/>
  <c r="H391" i="7"/>
  <c r="G396" i="7"/>
  <c r="I396" i="7" s="1"/>
  <c r="H404" i="7"/>
  <c r="H408" i="7"/>
  <c r="G419" i="7"/>
  <c r="I419" i="7" s="1"/>
  <c r="H423" i="7"/>
  <c r="G428" i="7"/>
  <c r="I428" i="7" s="1"/>
  <c r="H434" i="7"/>
  <c r="G439" i="7"/>
  <c r="I439" i="7" s="1"/>
  <c r="H443" i="7"/>
  <c r="G448" i="7"/>
  <c r="I448" i="7" s="1"/>
  <c r="G452" i="7"/>
  <c r="I452" i="7" s="1"/>
  <c r="G454" i="7"/>
  <c r="I454" i="7" s="1"/>
  <c r="G458" i="7"/>
  <c r="I458" i="7" s="1"/>
  <c r="G460" i="7"/>
  <c r="I460" i="7" s="1"/>
  <c r="H472" i="7"/>
  <c r="G238" i="7"/>
  <c r="I238" i="7" s="1"/>
  <c r="H283" i="7"/>
  <c r="H316" i="7"/>
  <c r="G319" i="7"/>
  <c r="I319" i="7" s="1"/>
  <c r="H359" i="7"/>
  <c r="H370" i="7"/>
  <c r="G387" i="7"/>
  <c r="I387" i="7" s="1"/>
  <c r="H394" i="7"/>
  <c r="H396" i="7"/>
  <c r="H398" i="7"/>
  <c r="G400" i="7"/>
  <c r="I400" i="7" s="1"/>
  <c r="G407" i="7"/>
  <c r="I407" i="7" s="1"/>
  <c r="G413" i="7"/>
  <c r="I413" i="7" s="1"/>
  <c r="G422" i="7"/>
  <c r="I422" i="7" s="1"/>
  <c r="H428" i="7"/>
  <c r="G433" i="7"/>
  <c r="I433" i="7" s="1"/>
  <c r="G437" i="7"/>
  <c r="I437" i="7" s="1"/>
  <c r="H446" i="7"/>
  <c r="H450" i="7"/>
  <c r="G462" i="7"/>
  <c r="I462" i="7" s="1"/>
  <c r="G464" i="7"/>
  <c r="I464" i="7" s="1"/>
  <c r="G471" i="7"/>
  <c r="I471" i="7" s="1"/>
  <c r="G477" i="7"/>
  <c r="I477" i="7" s="1"/>
  <c r="H481" i="7"/>
  <c r="H477" i="7"/>
  <c r="G406" i="7"/>
  <c r="I406" i="7" s="1"/>
  <c r="G412" i="7"/>
  <c r="I412" i="7" s="1"/>
  <c r="H429" i="7"/>
  <c r="G436" i="7"/>
  <c r="I436" i="7" s="1"/>
  <c r="H455" i="7"/>
  <c r="H465" i="7"/>
  <c r="G474" i="7"/>
  <c r="I474" i="7" s="1"/>
  <c r="G480" i="7"/>
  <c r="I480" i="7" s="1"/>
  <c r="G482" i="7"/>
  <c r="I482" i="7" s="1"/>
  <c r="G100" i="7"/>
  <c r="I100" i="7" s="1"/>
  <c r="M100" i="7" s="1"/>
  <c r="H138" i="7"/>
  <c r="G314" i="7"/>
  <c r="I314" i="7" s="1"/>
  <c r="H344" i="7"/>
  <c r="G390" i="7"/>
  <c r="I390" i="7" s="1"/>
  <c r="H407" i="7"/>
  <c r="H413" i="7"/>
  <c r="G418" i="7"/>
  <c r="I418" i="7" s="1"/>
  <c r="H420" i="7"/>
  <c r="H422" i="7"/>
  <c r="H431" i="7"/>
  <c r="H440" i="7"/>
  <c r="G442" i="7"/>
  <c r="I442" i="7" s="1"/>
  <c r="G449" i="7"/>
  <c r="I449" i="7" s="1"/>
  <c r="G455" i="7"/>
  <c r="I455" i="7" s="1"/>
  <c r="G457" i="7"/>
  <c r="I457" i="7" s="1"/>
  <c r="G461" i="7"/>
  <c r="I461" i="7" s="1"/>
  <c r="H462" i="7"/>
  <c r="H471" i="7"/>
  <c r="G483" i="7"/>
  <c r="I483" i="7" s="1"/>
  <c r="H247" i="7"/>
  <c r="G266" i="7"/>
  <c r="I266" i="7" s="1"/>
  <c r="H338" i="7"/>
  <c r="H348" i="7"/>
  <c r="G363" i="7"/>
  <c r="I363" i="7" s="1"/>
  <c r="I369" i="7"/>
  <c r="H388" i="7"/>
  <c r="H393" i="7"/>
  <c r="H397" i="7"/>
  <c r="H401" i="7"/>
  <c r="G410" i="7"/>
  <c r="I410" i="7" s="1"/>
  <c r="G416" i="7"/>
  <c r="I416" i="7" s="1"/>
  <c r="H425" i="7"/>
  <c r="G434" i="7"/>
  <c r="I434" i="7" s="1"/>
  <c r="H449" i="7"/>
  <c r="H461" i="7"/>
  <c r="G470" i="7"/>
  <c r="I470" i="7" s="1"/>
  <c r="G476" i="7"/>
  <c r="I476" i="7" s="1"/>
  <c r="H468" i="7"/>
  <c r="H484" i="7"/>
  <c r="H77" i="7"/>
  <c r="H76" i="7"/>
  <c r="G75" i="7"/>
  <c r="I75" i="7" s="1"/>
  <c r="M75" i="7" s="1"/>
  <c r="H70" i="7"/>
  <c r="G69" i="7"/>
  <c r="I69" i="7" s="1"/>
  <c r="M69" i="7" s="1"/>
  <c r="G68" i="7"/>
  <c r="I68" i="7" s="1"/>
  <c r="M68" i="7" s="1"/>
  <c r="H63" i="7"/>
  <c r="H62" i="7"/>
  <c r="H61" i="7"/>
  <c r="G60" i="7"/>
  <c r="I60" i="7" s="1"/>
  <c r="M60" i="7" s="1"/>
  <c r="H74" i="7"/>
  <c r="H73" i="7"/>
  <c r="H72" i="7"/>
  <c r="G71" i="7"/>
  <c r="I71" i="7" s="1"/>
  <c r="M71" i="7" s="1"/>
  <c r="H67" i="7"/>
  <c r="H66" i="7"/>
  <c r="H65" i="7"/>
  <c r="G64" i="7"/>
  <c r="I64" i="7" s="1"/>
  <c r="M64" i="7" s="1"/>
  <c r="H59" i="7"/>
  <c r="G58" i="7"/>
  <c r="I58" i="7" s="1"/>
  <c r="M58" i="7" s="1"/>
  <c r="G57" i="7"/>
  <c r="I57" i="7" s="1"/>
  <c r="M57" i="7" s="1"/>
  <c r="H75" i="7"/>
  <c r="G74" i="7"/>
  <c r="I74" i="7" s="1"/>
  <c r="M74" i="7" s="1"/>
  <c r="G73" i="7"/>
  <c r="I73" i="7" s="1"/>
  <c r="M73" i="7" s="1"/>
  <c r="G72" i="7"/>
  <c r="I72" i="7" s="1"/>
  <c r="M72" i="7" s="1"/>
  <c r="H69" i="7"/>
  <c r="H68" i="7"/>
  <c r="G67" i="7"/>
  <c r="I67" i="7" s="1"/>
  <c r="M67" i="7" s="1"/>
  <c r="G66" i="7"/>
  <c r="I66" i="7" s="1"/>
  <c r="M66" i="7" s="1"/>
  <c r="G65" i="7"/>
  <c r="I65" i="7" s="1"/>
  <c r="M65" i="7" s="1"/>
  <c r="H60" i="7"/>
  <c r="G59" i="7"/>
  <c r="I59" i="7" s="1"/>
  <c r="M59" i="7" s="1"/>
  <c r="H78" i="7"/>
  <c r="G77" i="7"/>
  <c r="I77" i="7" s="1"/>
  <c r="M77" i="7" s="1"/>
  <c r="G76" i="7"/>
  <c r="I76" i="7" s="1"/>
  <c r="M76" i="7" s="1"/>
  <c r="H71" i="7"/>
  <c r="G70" i="7"/>
  <c r="I70" i="7" s="1"/>
  <c r="M70" i="7" s="1"/>
  <c r="H64" i="7"/>
  <c r="G63" i="7"/>
  <c r="I63" i="7" s="1"/>
  <c r="M63" i="7" s="1"/>
  <c r="N63" i="7" s="1"/>
  <c r="G62" i="7"/>
  <c r="I62" i="7" s="1"/>
  <c r="M62" i="7" s="1"/>
  <c r="N62" i="7" s="1"/>
  <c r="G61" i="7"/>
  <c r="I61" i="7" s="1"/>
  <c r="M61" i="7" s="1"/>
  <c r="H58" i="7"/>
  <c r="H57" i="7"/>
  <c r="G78" i="7"/>
  <c r="I78" i="7" s="1"/>
  <c r="M78" i="7" s="1"/>
  <c r="H55" i="7"/>
  <c r="G54" i="7"/>
  <c r="I54" i="7" s="1"/>
  <c r="M54" i="7" s="1"/>
  <c r="H51" i="7"/>
  <c r="G50" i="7"/>
  <c r="I50" i="7" s="1"/>
  <c r="M50" i="7" s="1"/>
  <c r="H47" i="7"/>
  <c r="G46" i="7"/>
  <c r="I46" i="7" s="1"/>
  <c r="M46" i="7" s="1"/>
  <c r="H43" i="7"/>
  <c r="G42" i="7"/>
  <c r="I42" i="7" s="1"/>
  <c r="M42" i="7" s="1"/>
  <c r="H39" i="7"/>
  <c r="G38" i="7"/>
  <c r="I38" i="7" s="1"/>
  <c r="M38" i="7" s="1"/>
  <c r="H35" i="7"/>
  <c r="G34" i="7"/>
  <c r="I34" i="7" s="1"/>
  <c r="M34" i="7" s="1"/>
  <c r="H31" i="7"/>
  <c r="G30" i="7"/>
  <c r="I30" i="7" s="1"/>
  <c r="M30" i="7" s="1"/>
  <c r="H27" i="7"/>
  <c r="G26" i="7"/>
  <c r="I26" i="7" s="1"/>
  <c r="M26" i="7" s="1"/>
  <c r="H8" i="7"/>
  <c r="H4" i="7"/>
  <c r="G3" i="7"/>
  <c r="I3" i="7" s="1"/>
  <c r="G52" i="7"/>
  <c r="I52" i="7" s="1"/>
  <c r="M52" i="7" s="1"/>
  <c r="H49" i="7"/>
  <c r="G48" i="7"/>
  <c r="I48" i="7" s="1"/>
  <c r="M48" i="7" s="1"/>
  <c r="G44" i="7"/>
  <c r="I44" i="7" s="1"/>
  <c r="M44" i="7" s="1"/>
  <c r="H41" i="7"/>
  <c r="H37" i="7"/>
  <c r="G36" i="7"/>
  <c r="I36" i="7" s="1"/>
  <c r="M36" i="7" s="1"/>
  <c r="G32" i="7"/>
  <c r="I32" i="7" s="1"/>
  <c r="M32" i="7" s="1"/>
  <c r="H29" i="7"/>
  <c r="H25" i="7"/>
  <c r="G13" i="7"/>
  <c r="I13" i="7" s="1"/>
  <c r="M13" i="7" s="1"/>
  <c r="H6" i="7"/>
  <c r="G53" i="7"/>
  <c r="I53" i="7" s="1"/>
  <c r="M53" i="7" s="1"/>
  <c r="G49" i="7"/>
  <c r="I49" i="7" s="1"/>
  <c r="M49" i="7" s="1"/>
  <c r="G45" i="7"/>
  <c r="I45" i="7" s="1"/>
  <c r="M45" i="7" s="1"/>
  <c r="G41" i="7"/>
  <c r="I41" i="7" s="1"/>
  <c r="M41" i="7" s="1"/>
  <c r="G37" i="7"/>
  <c r="I37" i="7" s="1"/>
  <c r="M37" i="7" s="1"/>
  <c r="G33" i="7"/>
  <c r="I33" i="7" s="1"/>
  <c r="M33" i="7" s="1"/>
  <c r="G29" i="7"/>
  <c r="I29" i="7" s="1"/>
  <c r="M29" i="7" s="1"/>
  <c r="G25" i="7"/>
  <c r="I25" i="7" s="1"/>
  <c r="M25" i="7" s="1"/>
  <c r="H5" i="7"/>
  <c r="H56" i="7"/>
  <c r="G55" i="7"/>
  <c r="I55" i="7" s="1"/>
  <c r="M55" i="7" s="1"/>
  <c r="H52" i="7"/>
  <c r="G51" i="7"/>
  <c r="I51" i="7" s="1"/>
  <c r="M51" i="7" s="1"/>
  <c r="H48" i="7"/>
  <c r="G47" i="7"/>
  <c r="I47" i="7" s="1"/>
  <c r="M47" i="7" s="1"/>
  <c r="H44" i="7"/>
  <c r="G43" i="7"/>
  <c r="I43" i="7" s="1"/>
  <c r="M43" i="7" s="1"/>
  <c r="H40" i="7"/>
  <c r="G39" i="7"/>
  <c r="I39" i="7" s="1"/>
  <c r="M39" i="7" s="1"/>
  <c r="H36" i="7"/>
  <c r="G35" i="7"/>
  <c r="I35" i="7" s="1"/>
  <c r="M35" i="7" s="1"/>
  <c r="H32" i="7"/>
  <c r="G31" i="7"/>
  <c r="I31" i="7" s="1"/>
  <c r="M31" i="7" s="1"/>
  <c r="H28" i="7"/>
  <c r="G27" i="7"/>
  <c r="I27" i="7" s="1"/>
  <c r="M27" i="7" s="1"/>
  <c r="H24" i="7"/>
  <c r="H13" i="7"/>
  <c r="H7" i="7"/>
  <c r="H3" i="7"/>
  <c r="G7" i="7"/>
  <c r="I7" i="7" s="1"/>
  <c r="H53" i="7"/>
  <c r="H45" i="7"/>
  <c r="G40" i="7"/>
  <c r="I40" i="7" s="1"/>
  <c r="M40" i="7" s="1"/>
  <c r="H33" i="7"/>
  <c r="G28" i="7"/>
  <c r="I28" i="7" s="1"/>
  <c r="M28" i="7" s="1"/>
  <c r="G24" i="7"/>
  <c r="I24" i="7" s="1"/>
  <c r="M24" i="7" s="1"/>
  <c r="H2" i="7"/>
  <c r="H50" i="7"/>
  <c r="H46" i="7"/>
  <c r="H42" i="7"/>
  <c r="H38" i="7"/>
  <c r="H34" i="7"/>
  <c r="H30" i="7"/>
  <c r="H26" i="7"/>
  <c r="H9" i="7"/>
  <c r="G56" i="7"/>
  <c r="I56" i="7" s="1"/>
  <c r="M56" i="7" s="1"/>
  <c r="H54" i="7"/>
  <c r="G9" i="7"/>
  <c r="I9" i="7" s="1"/>
  <c r="G6" i="7"/>
  <c r="I6" i="7" s="1"/>
  <c r="G4" i="7"/>
  <c r="I4" i="7" s="1"/>
  <c r="G5" i="7"/>
  <c r="I5" i="7" s="1"/>
  <c r="G8" i="7"/>
  <c r="I8" i="7" s="1"/>
  <c r="G10" i="7"/>
  <c r="I10" i="7" s="1"/>
  <c r="G14" i="7"/>
  <c r="I14" i="7" s="1"/>
  <c r="M14" i="7" s="1"/>
  <c r="G11" i="7"/>
  <c r="I11" i="7" s="1"/>
  <c r="H10" i="7"/>
  <c r="H14" i="7"/>
  <c r="H11" i="7"/>
  <c r="G15" i="7"/>
  <c r="I15" i="7" s="1"/>
  <c r="M15" i="7" s="1"/>
  <c r="H15" i="7"/>
  <c r="G12" i="7"/>
  <c r="I12" i="7" s="1"/>
  <c r="H12" i="7"/>
  <c r="H16" i="7"/>
  <c r="G16" i="7"/>
  <c r="I16" i="7" s="1"/>
  <c r="M16" i="7" s="1"/>
  <c r="H17" i="7"/>
  <c r="G17" i="7"/>
  <c r="I17" i="7" s="1"/>
  <c r="M17" i="7" s="1"/>
  <c r="G18" i="7"/>
  <c r="I18" i="7" s="1"/>
  <c r="M18" i="7" s="1"/>
  <c r="H18" i="7"/>
  <c r="H19" i="7"/>
  <c r="J21" i="7"/>
  <c r="H20" i="7"/>
  <c r="F20" i="7"/>
  <c r="L51" i="14" s="1"/>
  <c r="L52" i="14" s="1"/>
  <c r="G20" i="7"/>
  <c r="G2" i="7"/>
  <c r="I2" i="7" s="1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G22" i="9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F22" i="9"/>
  <c r="F21" i="9"/>
  <c r="F20" i="9"/>
  <c r="F19" i="9"/>
  <c r="F18" i="9"/>
  <c r="F17" i="9"/>
  <c r="F16" i="9"/>
  <c r="F13" i="9"/>
  <c r="F12" i="9"/>
  <c r="F11" i="9"/>
  <c r="F10" i="9"/>
  <c r="F9" i="9"/>
  <c r="F8" i="9"/>
  <c r="F7" i="9"/>
  <c r="F6" i="9"/>
  <c r="F5" i="9"/>
  <c r="F4" i="9"/>
  <c r="N166" i="7" l="1"/>
  <c r="P22" i="13" s="1"/>
  <c r="H3" i="21" s="1"/>
  <c r="N385" i="7"/>
  <c r="O42" i="13" s="1"/>
  <c r="I14" i="21" s="1"/>
  <c r="L232" i="7"/>
  <c r="L224" i="7"/>
  <c r="L231" i="7"/>
  <c r="L223" i="7"/>
  <c r="L230" i="7"/>
  <c r="M230" i="7" s="1"/>
  <c r="N230" i="7" s="1"/>
  <c r="L222" i="7"/>
  <c r="L229" i="7"/>
  <c r="L228" i="7"/>
  <c r="M228" i="7" s="1"/>
  <c r="N228" i="7" s="1"/>
  <c r="L225" i="7"/>
  <c r="L227" i="7"/>
  <c r="L226" i="7"/>
  <c r="N187" i="7"/>
  <c r="O24" i="13" s="1"/>
  <c r="I15" i="21" s="1"/>
  <c r="N175" i="7"/>
  <c r="N23" i="13" s="1"/>
  <c r="N186" i="7"/>
  <c r="N24" i="13" s="1"/>
  <c r="N156" i="7"/>
  <c r="F22" i="13" s="1"/>
  <c r="D3" i="21" s="1"/>
  <c r="N171" i="7"/>
  <c r="J23" i="13" s="1"/>
  <c r="N176" i="7"/>
  <c r="O23" i="13" s="1"/>
  <c r="I40" i="21" s="1"/>
  <c r="N178" i="7"/>
  <c r="F24" i="13" s="1"/>
  <c r="D15" i="21" s="1"/>
  <c r="N170" i="7"/>
  <c r="I23" i="13" s="1"/>
  <c r="E40" i="21" s="1"/>
  <c r="N160" i="7"/>
  <c r="J22" i="13" s="1"/>
  <c r="N379" i="7"/>
  <c r="I42" i="13" s="1"/>
  <c r="E14" i="21" s="1"/>
  <c r="N382" i="7"/>
  <c r="L42" i="13" s="1"/>
  <c r="U185" i="7"/>
  <c r="W185" i="7"/>
  <c r="V185" i="7"/>
  <c r="T185" i="7"/>
  <c r="N168" i="7"/>
  <c r="G23" i="13" s="1"/>
  <c r="V156" i="7"/>
  <c r="W156" i="7"/>
  <c r="U156" i="7"/>
  <c r="T156" i="7"/>
  <c r="V188" i="7"/>
  <c r="N188" i="7"/>
  <c r="P24" i="13" s="1"/>
  <c r="H15" i="21" s="1"/>
  <c r="W188" i="7"/>
  <c r="U188" i="7"/>
  <c r="T188" i="7"/>
  <c r="T179" i="7"/>
  <c r="M179" i="7"/>
  <c r="N179" i="7" s="1"/>
  <c r="G24" i="13" s="1"/>
  <c r="W187" i="7"/>
  <c r="V187" i="7"/>
  <c r="U187" i="7"/>
  <c r="T187" i="7"/>
  <c r="N159" i="7"/>
  <c r="I22" i="13" s="1"/>
  <c r="E3" i="21" s="1"/>
  <c r="V186" i="7"/>
  <c r="W186" i="7"/>
  <c r="U186" i="7"/>
  <c r="T186" i="7"/>
  <c r="N169" i="7"/>
  <c r="H23" i="13" s="1"/>
  <c r="F40" i="21" s="1"/>
  <c r="U157" i="7"/>
  <c r="W157" i="7"/>
  <c r="V157" i="7"/>
  <c r="T157" i="7"/>
  <c r="V376" i="7"/>
  <c r="U376" i="7"/>
  <c r="W376" i="7"/>
  <c r="T376" i="7"/>
  <c r="N172" i="7"/>
  <c r="K23" i="13" s="1"/>
  <c r="U160" i="7"/>
  <c r="V160" i="7"/>
  <c r="W160" i="7"/>
  <c r="T160" i="7"/>
  <c r="U379" i="7"/>
  <c r="W379" i="7"/>
  <c r="V379" i="7"/>
  <c r="T379" i="7"/>
  <c r="U159" i="7"/>
  <c r="T159" i="7"/>
  <c r="V159" i="7"/>
  <c r="W159" i="7"/>
  <c r="W378" i="7"/>
  <c r="U378" i="7"/>
  <c r="T378" i="7"/>
  <c r="V378" i="7"/>
  <c r="N174" i="7"/>
  <c r="M23" i="13" s="1"/>
  <c r="W158" i="7"/>
  <c r="U158" i="7"/>
  <c r="V158" i="7"/>
  <c r="T158" i="7"/>
  <c r="W377" i="7"/>
  <c r="V377" i="7"/>
  <c r="N377" i="7"/>
  <c r="G42" i="13" s="1"/>
  <c r="U377" i="7"/>
  <c r="T377" i="7"/>
  <c r="N173" i="7"/>
  <c r="L23" i="13" s="1"/>
  <c r="T161" i="7"/>
  <c r="W161" i="7"/>
  <c r="U161" i="7"/>
  <c r="N161" i="7"/>
  <c r="K22" i="13" s="1"/>
  <c r="V161" i="7"/>
  <c r="U380" i="7"/>
  <c r="W380" i="7"/>
  <c r="V380" i="7"/>
  <c r="T380" i="7"/>
  <c r="W164" i="7"/>
  <c r="U164" i="7"/>
  <c r="T164" i="7"/>
  <c r="V164" i="7"/>
  <c r="N164" i="7"/>
  <c r="N22" i="13" s="1"/>
  <c r="W383" i="7"/>
  <c r="U383" i="7"/>
  <c r="V383" i="7"/>
  <c r="T383" i="7"/>
  <c r="N383" i="7"/>
  <c r="N163" i="7"/>
  <c r="M22" i="13" s="1"/>
  <c r="W163" i="7"/>
  <c r="V163" i="7"/>
  <c r="U163" i="7"/>
  <c r="T163" i="7"/>
  <c r="W382" i="7"/>
  <c r="U382" i="7"/>
  <c r="V382" i="7"/>
  <c r="T382" i="7"/>
  <c r="N162" i="7"/>
  <c r="L22" i="13" s="1"/>
  <c r="U162" i="7"/>
  <c r="V162" i="7"/>
  <c r="W162" i="7"/>
  <c r="T162" i="7"/>
  <c r="U381" i="7"/>
  <c r="V381" i="7"/>
  <c r="W381" i="7"/>
  <c r="T381" i="7"/>
  <c r="V165" i="7"/>
  <c r="U165" i="7"/>
  <c r="W165" i="7"/>
  <c r="T165" i="7"/>
  <c r="V384" i="7"/>
  <c r="W384" i="7"/>
  <c r="U384" i="7"/>
  <c r="T384" i="7"/>
  <c r="W168" i="7"/>
  <c r="V168" i="7"/>
  <c r="U168" i="7"/>
  <c r="T168" i="7"/>
  <c r="U167" i="7"/>
  <c r="W167" i="7"/>
  <c r="V167" i="7"/>
  <c r="T167" i="7"/>
  <c r="T386" i="7"/>
  <c r="N386" i="7"/>
  <c r="P42" i="13" s="1"/>
  <c r="H14" i="21" s="1"/>
  <c r="U386" i="7"/>
  <c r="W386" i="7"/>
  <c r="V386" i="7"/>
  <c r="N182" i="7"/>
  <c r="J24" i="13" s="1"/>
  <c r="U166" i="7"/>
  <c r="W166" i="7"/>
  <c r="V166" i="7"/>
  <c r="T166" i="7"/>
  <c r="W385" i="7"/>
  <c r="U385" i="7"/>
  <c r="V385" i="7"/>
  <c r="T385" i="7"/>
  <c r="N181" i="7"/>
  <c r="I24" i="13" s="1"/>
  <c r="E15" i="21" s="1"/>
  <c r="U169" i="7"/>
  <c r="W169" i="7"/>
  <c r="V169" i="7"/>
  <c r="T169" i="7"/>
  <c r="N184" i="7"/>
  <c r="L24" i="13" s="1"/>
  <c r="V172" i="7"/>
  <c r="U172" i="7"/>
  <c r="W172" i="7"/>
  <c r="T172" i="7"/>
  <c r="W171" i="7"/>
  <c r="V171" i="7"/>
  <c r="U171" i="7"/>
  <c r="T171" i="7"/>
  <c r="N167" i="7"/>
  <c r="F23" i="13" s="1"/>
  <c r="U170" i="7"/>
  <c r="V170" i="7"/>
  <c r="W170" i="7"/>
  <c r="T170" i="7"/>
  <c r="N185" i="7"/>
  <c r="M24" i="13" s="1"/>
  <c r="V173" i="7"/>
  <c r="T173" i="7"/>
  <c r="W173" i="7"/>
  <c r="U173" i="7"/>
  <c r="U176" i="7"/>
  <c r="W176" i="7"/>
  <c r="V176" i="7"/>
  <c r="T176" i="7"/>
  <c r="W175" i="7"/>
  <c r="V175" i="7"/>
  <c r="U175" i="7"/>
  <c r="T175" i="7"/>
  <c r="W174" i="7"/>
  <c r="U174" i="7"/>
  <c r="V174" i="7"/>
  <c r="T174" i="7"/>
  <c r="N157" i="7"/>
  <c r="G22" i="13" s="1"/>
  <c r="N376" i="7"/>
  <c r="F42" i="13" s="1"/>
  <c r="V177" i="7"/>
  <c r="N177" i="7"/>
  <c r="P23" i="13" s="1"/>
  <c r="H40" i="21" s="1"/>
  <c r="U177" i="7"/>
  <c r="W177" i="7"/>
  <c r="T177" i="7"/>
  <c r="U180" i="7"/>
  <c r="V180" i="7"/>
  <c r="T180" i="7"/>
  <c r="W180" i="7"/>
  <c r="N180" i="7"/>
  <c r="H24" i="13" s="1"/>
  <c r="F15" i="21" s="1"/>
  <c r="W179" i="7"/>
  <c r="V179" i="7"/>
  <c r="U179" i="7"/>
  <c r="U178" i="7"/>
  <c r="V178" i="7"/>
  <c r="W178" i="7"/>
  <c r="T178" i="7"/>
  <c r="N380" i="7"/>
  <c r="J42" i="13" s="1"/>
  <c r="U181" i="7"/>
  <c r="V181" i="7"/>
  <c r="W181" i="7"/>
  <c r="T181" i="7"/>
  <c r="W184" i="7"/>
  <c r="V184" i="7"/>
  <c r="U184" i="7"/>
  <c r="T184" i="7"/>
  <c r="V183" i="7"/>
  <c r="U183" i="7"/>
  <c r="W183" i="7"/>
  <c r="N183" i="7"/>
  <c r="K24" i="13" s="1"/>
  <c r="T183" i="7"/>
  <c r="W182" i="7"/>
  <c r="U182" i="7"/>
  <c r="V182" i="7"/>
  <c r="T182" i="7"/>
  <c r="N165" i="7"/>
  <c r="O22" i="13" s="1"/>
  <c r="I3" i="21" s="1"/>
  <c r="N384" i="7"/>
  <c r="N42" i="13" s="1"/>
  <c r="N99" i="7"/>
  <c r="N190" i="7"/>
  <c r="N115" i="7"/>
  <c r="N82" i="7"/>
  <c r="N116" i="7"/>
  <c r="N100" i="7"/>
  <c r="N137" i="7"/>
  <c r="N191" i="7"/>
  <c r="T75" i="7"/>
  <c r="U75" i="7"/>
  <c r="V75" i="7"/>
  <c r="W75" i="7"/>
  <c r="T446" i="7"/>
  <c r="V446" i="7"/>
  <c r="U446" i="7"/>
  <c r="T367" i="7"/>
  <c r="U367" i="7"/>
  <c r="V367" i="7"/>
  <c r="T277" i="7"/>
  <c r="V277" i="7"/>
  <c r="U277" i="7"/>
  <c r="T473" i="7"/>
  <c r="U473" i="7"/>
  <c r="V473" i="7"/>
  <c r="V349" i="7"/>
  <c r="T349" i="7"/>
  <c r="U349" i="7"/>
  <c r="T284" i="7"/>
  <c r="U284" i="7"/>
  <c r="V284" i="7"/>
  <c r="T208" i="7"/>
  <c r="U208" i="7"/>
  <c r="W208" i="7"/>
  <c r="V208" i="7"/>
  <c r="T369" i="7"/>
  <c r="V369" i="7"/>
  <c r="U369" i="7"/>
  <c r="V298" i="7"/>
  <c r="T298" i="7"/>
  <c r="U298" i="7"/>
  <c r="V90" i="7"/>
  <c r="W90" i="7"/>
  <c r="T90" i="7"/>
  <c r="U90" i="7"/>
  <c r="V287" i="7"/>
  <c r="U287" i="7"/>
  <c r="T287" i="7"/>
  <c r="V269" i="7"/>
  <c r="U269" i="7"/>
  <c r="T269" i="7"/>
  <c r="T235" i="7"/>
  <c r="U235" i="7"/>
  <c r="V235" i="7"/>
  <c r="U452" i="7"/>
  <c r="V452" i="7"/>
  <c r="T452" i="7"/>
  <c r="V436" i="7"/>
  <c r="U436" i="7"/>
  <c r="T436" i="7"/>
  <c r="V421" i="7"/>
  <c r="U421" i="7"/>
  <c r="T421" i="7"/>
  <c r="T405" i="7"/>
  <c r="U405" i="7"/>
  <c r="V405" i="7"/>
  <c r="V368" i="7"/>
  <c r="T368" i="7"/>
  <c r="U368" i="7"/>
  <c r="T352" i="7"/>
  <c r="U352" i="7"/>
  <c r="V352" i="7"/>
  <c r="V336" i="7"/>
  <c r="T336" i="7"/>
  <c r="U336" i="7"/>
  <c r="T318" i="7"/>
  <c r="V318" i="7"/>
  <c r="U318" i="7"/>
  <c r="T260" i="7"/>
  <c r="U260" i="7"/>
  <c r="V260" i="7"/>
  <c r="T229" i="7"/>
  <c r="U229" i="7"/>
  <c r="V229" i="7"/>
  <c r="T322" i="7"/>
  <c r="V322" i="7"/>
  <c r="U322" i="7"/>
  <c r="V319" i="7"/>
  <c r="U319" i="7"/>
  <c r="T319" i="7"/>
  <c r="T301" i="7"/>
  <c r="U301" i="7"/>
  <c r="V301" i="7"/>
  <c r="T272" i="7"/>
  <c r="V272" i="7"/>
  <c r="U272" i="7"/>
  <c r="T154" i="7"/>
  <c r="U154" i="7"/>
  <c r="V154" i="7"/>
  <c r="W154" i="7"/>
  <c r="T112" i="7"/>
  <c r="U112" i="7"/>
  <c r="V112" i="7"/>
  <c r="W112" i="7"/>
  <c r="T227" i="7"/>
  <c r="U227" i="7"/>
  <c r="V227" i="7"/>
  <c r="T101" i="7"/>
  <c r="U101" i="7"/>
  <c r="V101" i="7"/>
  <c r="W101" i="7"/>
  <c r="U214" i="7"/>
  <c r="W214" i="7"/>
  <c r="T214" i="7"/>
  <c r="V214" i="7"/>
  <c r="T198" i="7"/>
  <c r="U198" i="7"/>
  <c r="V198" i="7"/>
  <c r="W198" i="7"/>
  <c r="T149" i="7"/>
  <c r="U149" i="7"/>
  <c r="V149" i="7"/>
  <c r="W149" i="7"/>
  <c r="T144" i="7"/>
  <c r="U144" i="7"/>
  <c r="V144" i="7"/>
  <c r="W144" i="7"/>
  <c r="T128" i="7"/>
  <c r="U128" i="7"/>
  <c r="V128" i="7"/>
  <c r="W128" i="7"/>
  <c r="W107" i="7"/>
  <c r="T107" i="7"/>
  <c r="U107" i="7"/>
  <c r="V107" i="7"/>
  <c r="T91" i="7"/>
  <c r="U91" i="7"/>
  <c r="V91" i="7"/>
  <c r="W91" i="7"/>
  <c r="U216" i="7"/>
  <c r="T216" i="7"/>
  <c r="V216" i="7"/>
  <c r="W216" i="7"/>
  <c r="T200" i="7"/>
  <c r="U200" i="7"/>
  <c r="V200" i="7"/>
  <c r="W200" i="7"/>
  <c r="W151" i="7"/>
  <c r="T151" i="7"/>
  <c r="U151" i="7"/>
  <c r="V151" i="7"/>
  <c r="T130" i="7"/>
  <c r="U130" i="7"/>
  <c r="W130" i="7"/>
  <c r="V130" i="7"/>
  <c r="W109" i="7"/>
  <c r="T109" i="7"/>
  <c r="U109" i="7"/>
  <c r="V109" i="7"/>
  <c r="T93" i="7"/>
  <c r="U93" i="7"/>
  <c r="V93" i="7"/>
  <c r="W93" i="7"/>
  <c r="U217" i="7"/>
  <c r="V217" i="7"/>
  <c r="W217" i="7"/>
  <c r="T217" i="7"/>
  <c r="W201" i="7"/>
  <c r="T201" i="7"/>
  <c r="V201" i="7"/>
  <c r="U201" i="7"/>
  <c r="T152" i="7"/>
  <c r="U152" i="7"/>
  <c r="V152" i="7"/>
  <c r="W152" i="7"/>
  <c r="T131" i="7"/>
  <c r="U131" i="7"/>
  <c r="V131" i="7"/>
  <c r="W131" i="7"/>
  <c r="T110" i="7"/>
  <c r="U110" i="7"/>
  <c r="V110" i="7"/>
  <c r="W110" i="7"/>
  <c r="U94" i="7"/>
  <c r="V94" i="7"/>
  <c r="W94" i="7"/>
  <c r="T94" i="7"/>
  <c r="T64" i="7"/>
  <c r="U64" i="7"/>
  <c r="V64" i="7"/>
  <c r="W64" i="7"/>
  <c r="T398" i="7"/>
  <c r="U398" i="7"/>
  <c r="V398" i="7"/>
  <c r="T316" i="7"/>
  <c r="U316" i="7"/>
  <c r="V316" i="7"/>
  <c r="U408" i="7"/>
  <c r="V408" i="7"/>
  <c r="T408" i="7"/>
  <c r="T467" i="7"/>
  <c r="U467" i="7"/>
  <c r="V467" i="7"/>
  <c r="T11" i="7"/>
  <c r="U11" i="7"/>
  <c r="V11" i="7"/>
  <c r="W11" i="7"/>
  <c r="T34" i="7"/>
  <c r="U34" i="7"/>
  <c r="V34" i="7"/>
  <c r="W34" i="7"/>
  <c r="T33" i="7"/>
  <c r="U33" i="7"/>
  <c r="V33" i="7"/>
  <c r="W33" i="7"/>
  <c r="U24" i="7"/>
  <c r="V24" i="7"/>
  <c r="W24" i="7"/>
  <c r="T24" i="7"/>
  <c r="T40" i="7"/>
  <c r="U40" i="7"/>
  <c r="V40" i="7"/>
  <c r="W40" i="7"/>
  <c r="T56" i="7"/>
  <c r="U56" i="7"/>
  <c r="V56" i="7"/>
  <c r="W56" i="7"/>
  <c r="W37" i="7"/>
  <c r="T37" i="7"/>
  <c r="U37" i="7"/>
  <c r="V37" i="7"/>
  <c r="W8" i="7"/>
  <c r="T8" i="7"/>
  <c r="U8" i="7"/>
  <c r="V8" i="7"/>
  <c r="V39" i="7"/>
  <c r="W39" i="7"/>
  <c r="T39" i="7"/>
  <c r="U39" i="7"/>
  <c r="T55" i="7"/>
  <c r="U55" i="7"/>
  <c r="V55" i="7"/>
  <c r="W55" i="7"/>
  <c r="T72" i="7"/>
  <c r="U72" i="7"/>
  <c r="V72" i="7"/>
  <c r="W72" i="7"/>
  <c r="V407" i="7"/>
  <c r="T407" i="7"/>
  <c r="U407" i="7"/>
  <c r="U344" i="7"/>
  <c r="V344" i="7"/>
  <c r="T344" i="7"/>
  <c r="U477" i="7"/>
  <c r="T477" i="7"/>
  <c r="V477" i="7"/>
  <c r="T283" i="7"/>
  <c r="V283" i="7"/>
  <c r="U283" i="7"/>
  <c r="V404" i="7"/>
  <c r="U404" i="7"/>
  <c r="T404" i="7"/>
  <c r="V355" i="7"/>
  <c r="U355" i="7"/>
  <c r="T355" i="7"/>
  <c r="V466" i="7"/>
  <c r="T466" i="7"/>
  <c r="U466" i="7"/>
  <c r="U445" i="7"/>
  <c r="V445" i="7"/>
  <c r="T445" i="7"/>
  <c r="V403" i="7"/>
  <c r="T403" i="7"/>
  <c r="U403" i="7"/>
  <c r="U470" i="7"/>
  <c r="V470" i="7"/>
  <c r="T470" i="7"/>
  <c r="V419" i="7"/>
  <c r="T419" i="7"/>
  <c r="U419" i="7"/>
  <c r="V366" i="7"/>
  <c r="T366" i="7"/>
  <c r="U366" i="7"/>
  <c r="U343" i="7"/>
  <c r="T343" i="7"/>
  <c r="V343" i="7"/>
  <c r="T295" i="7"/>
  <c r="U295" i="7"/>
  <c r="V295" i="7"/>
  <c r="T361" i="7"/>
  <c r="U361" i="7"/>
  <c r="V361" i="7"/>
  <c r="V340" i="7"/>
  <c r="U340" i="7"/>
  <c r="T340" i="7"/>
  <c r="U325" i="7"/>
  <c r="V325" i="7"/>
  <c r="T325" i="7"/>
  <c r="T263" i="7"/>
  <c r="V263" i="7"/>
  <c r="U263" i="7"/>
  <c r="U480" i="7"/>
  <c r="V480" i="7"/>
  <c r="T480" i="7"/>
  <c r="T464" i="7"/>
  <c r="U464" i="7"/>
  <c r="V464" i="7"/>
  <c r="T294" i="7"/>
  <c r="U294" i="7"/>
  <c r="V294" i="7"/>
  <c r="T256" i="7"/>
  <c r="U256" i="7"/>
  <c r="V256" i="7"/>
  <c r="T223" i="7"/>
  <c r="U223" i="7"/>
  <c r="V223" i="7"/>
  <c r="T95" i="7"/>
  <c r="U95" i="7"/>
  <c r="V95" i="7"/>
  <c r="W95" i="7"/>
  <c r="V111" i="7"/>
  <c r="W111" i="7"/>
  <c r="U111" i="7"/>
  <c r="T111" i="7"/>
  <c r="T257" i="7"/>
  <c r="V257" i="7"/>
  <c r="U257" i="7"/>
  <c r="T241" i="7"/>
  <c r="U241" i="7"/>
  <c r="V241" i="7"/>
  <c r="T225" i="7"/>
  <c r="U225" i="7"/>
  <c r="V225" i="7"/>
  <c r="T297" i="7"/>
  <c r="U297" i="7"/>
  <c r="V297" i="7"/>
  <c r="V281" i="7"/>
  <c r="U281" i="7"/>
  <c r="T281" i="7"/>
  <c r="U275" i="7"/>
  <c r="V275" i="7"/>
  <c r="T275" i="7"/>
  <c r="T258" i="7"/>
  <c r="U258" i="7"/>
  <c r="V258" i="7"/>
  <c r="V242" i="7"/>
  <c r="U242" i="7"/>
  <c r="T242" i="7"/>
  <c r="T226" i="7"/>
  <c r="V226" i="7"/>
  <c r="U226" i="7"/>
  <c r="T30" i="7"/>
  <c r="U30" i="7"/>
  <c r="V30" i="7"/>
  <c r="W30" i="7"/>
  <c r="T4" i="7"/>
  <c r="U4" i="7"/>
  <c r="V4" i="7"/>
  <c r="W4" i="7"/>
  <c r="U413" i="7"/>
  <c r="V413" i="7"/>
  <c r="T413" i="7"/>
  <c r="V14" i="7"/>
  <c r="W14" i="7"/>
  <c r="T14" i="7"/>
  <c r="U14" i="7"/>
  <c r="T5" i="7"/>
  <c r="U5" i="7"/>
  <c r="V5" i="7"/>
  <c r="W5" i="7"/>
  <c r="V41" i="7"/>
  <c r="W41" i="7"/>
  <c r="T41" i="7"/>
  <c r="U41" i="7"/>
  <c r="U71" i="7"/>
  <c r="V71" i="7"/>
  <c r="W71" i="7"/>
  <c r="T71" i="7"/>
  <c r="T461" i="7"/>
  <c r="U461" i="7"/>
  <c r="V461" i="7"/>
  <c r="V424" i="7"/>
  <c r="U424" i="7"/>
  <c r="T424" i="7"/>
  <c r="U418" i="7"/>
  <c r="V418" i="7"/>
  <c r="T418" i="7"/>
  <c r="U387" i="7"/>
  <c r="V387" i="7"/>
  <c r="T387" i="7"/>
  <c r="T365" i="7"/>
  <c r="U365" i="7"/>
  <c r="V365" i="7"/>
  <c r="T339" i="7"/>
  <c r="V339" i="7"/>
  <c r="U339" i="7"/>
  <c r="V334" i="7"/>
  <c r="T334" i="7"/>
  <c r="U334" i="7"/>
  <c r="T356" i="7"/>
  <c r="V356" i="7"/>
  <c r="U356" i="7"/>
  <c r="V317" i="7"/>
  <c r="T317" i="7"/>
  <c r="U317" i="7"/>
  <c r="V300" i="7"/>
  <c r="T300" i="7"/>
  <c r="U300" i="7"/>
  <c r="T447" i="7"/>
  <c r="V447" i="7"/>
  <c r="U447" i="7"/>
  <c r="T432" i="7"/>
  <c r="U432" i="7"/>
  <c r="V432" i="7"/>
  <c r="T416" i="7"/>
  <c r="U416" i="7"/>
  <c r="V416" i="7"/>
  <c r="T400" i="7"/>
  <c r="V400" i="7"/>
  <c r="U400" i="7"/>
  <c r="T395" i="7"/>
  <c r="U395" i="7"/>
  <c r="V395" i="7"/>
  <c r="T363" i="7"/>
  <c r="U363" i="7"/>
  <c r="V363" i="7"/>
  <c r="T347" i="7"/>
  <c r="U347" i="7"/>
  <c r="V347" i="7"/>
  <c r="T331" i="7"/>
  <c r="U331" i="7"/>
  <c r="V331" i="7"/>
  <c r="T313" i="7"/>
  <c r="U313" i="7"/>
  <c r="V313" i="7"/>
  <c r="T252" i="7"/>
  <c r="U252" i="7"/>
  <c r="V252" i="7"/>
  <c r="T337" i="7"/>
  <c r="V337" i="7"/>
  <c r="U337" i="7"/>
  <c r="T314" i="7"/>
  <c r="U314" i="7"/>
  <c r="V314" i="7"/>
  <c r="U274" i="7"/>
  <c r="T274" i="7"/>
  <c r="V274" i="7"/>
  <c r="U96" i="7"/>
  <c r="V96" i="7"/>
  <c r="W96" i="7"/>
  <c r="T96" i="7"/>
  <c r="W209" i="7"/>
  <c r="T209" i="7"/>
  <c r="U209" i="7"/>
  <c r="V209" i="7"/>
  <c r="T193" i="7"/>
  <c r="U193" i="7"/>
  <c r="W193" i="7"/>
  <c r="V193" i="7"/>
  <c r="T139" i="7"/>
  <c r="U139" i="7"/>
  <c r="V139" i="7"/>
  <c r="W139" i="7"/>
  <c r="U123" i="7"/>
  <c r="V123" i="7"/>
  <c r="W123" i="7"/>
  <c r="T123" i="7"/>
  <c r="T118" i="7"/>
  <c r="U118" i="7"/>
  <c r="V118" i="7"/>
  <c r="W118" i="7"/>
  <c r="U102" i="7"/>
  <c r="V102" i="7"/>
  <c r="W102" i="7"/>
  <c r="T102" i="7"/>
  <c r="T85" i="7"/>
  <c r="U85" i="7"/>
  <c r="V85" i="7"/>
  <c r="W85" i="7"/>
  <c r="T212" i="7"/>
  <c r="V212" i="7"/>
  <c r="U212" i="7"/>
  <c r="W212" i="7"/>
  <c r="T196" i="7"/>
  <c r="U196" i="7"/>
  <c r="V196" i="7"/>
  <c r="W196" i="7"/>
  <c r="T147" i="7"/>
  <c r="U147" i="7"/>
  <c r="V147" i="7"/>
  <c r="W147" i="7"/>
  <c r="T142" i="7"/>
  <c r="V142" i="7"/>
  <c r="W142" i="7"/>
  <c r="U142" i="7"/>
  <c r="T126" i="7"/>
  <c r="U126" i="7"/>
  <c r="V126" i="7"/>
  <c r="W126" i="7"/>
  <c r="T121" i="7"/>
  <c r="U121" i="7"/>
  <c r="V121" i="7"/>
  <c r="W121" i="7"/>
  <c r="T105" i="7"/>
  <c r="U105" i="7"/>
  <c r="V105" i="7"/>
  <c r="W105" i="7"/>
  <c r="T89" i="7"/>
  <c r="U89" i="7"/>
  <c r="V89" i="7"/>
  <c r="W89" i="7"/>
  <c r="V338" i="7"/>
  <c r="U338" i="7"/>
  <c r="T338" i="7"/>
  <c r="U247" i="7"/>
  <c r="T247" i="7"/>
  <c r="V247" i="7"/>
  <c r="T465" i="7"/>
  <c r="U465" i="7"/>
  <c r="V465" i="7"/>
  <c r="T481" i="7"/>
  <c r="V481" i="7"/>
  <c r="U481" i="7"/>
  <c r="U443" i="7"/>
  <c r="T443" i="7"/>
  <c r="V443" i="7"/>
  <c r="T42" i="7"/>
  <c r="U42" i="7"/>
  <c r="V42" i="7"/>
  <c r="W42" i="7"/>
  <c r="T27" i="7"/>
  <c r="U27" i="7"/>
  <c r="V27" i="7"/>
  <c r="W27" i="7"/>
  <c r="T68" i="7"/>
  <c r="U68" i="7"/>
  <c r="V68" i="7"/>
  <c r="W68" i="7"/>
  <c r="T59" i="7"/>
  <c r="U59" i="7"/>
  <c r="V59" i="7"/>
  <c r="W59" i="7"/>
  <c r="T74" i="7"/>
  <c r="U74" i="7"/>
  <c r="V74" i="7"/>
  <c r="W74" i="7"/>
  <c r="T449" i="7"/>
  <c r="U449" i="7"/>
  <c r="V449" i="7"/>
  <c r="T393" i="7"/>
  <c r="V393" i="7"/>
  <c r="U393" i="7"/>
  <c r="U440" i="7"/>
  <c r="V440" i="7"/>
  <c r="T440" i="7"/>
  <c r="U455" i="7"/>
  <c r="V455" i="7"/>
  <c r="T455" i="7"/>
  <c r="U428" i="7"/>
  <c r="T428" i="7"/>
  <c r="V428" i="7"/>
  <c r="T394" i="7"/>
  <c r="U394" i="7"/>
  <c r="V394" i="7"/>
  <c r="T463" i="7"/>
  <c r="V463" i="7"/>
  <c r="U463" i="7"/>
  <c r="T333" i="7"/>
  <c r="U333" i="7"/>
  <c r="V333" i="7"/>
  <c r="T262" i="7"/>
  <c r="U262" i="7"/>
  <c r="V262" i="7"/>
  <c r="V483" i="7"/>
  <c r="U483" i="7"/>
  <c r="T483" i="7"/>
  <c r="T335" i="7"/>
  <c r="U335" i="7"/>
  <c r="V335" i="7"/>
  <c r="T299" i="7"/>
  <c r="U299" i="7"/>
  <c r="V299" i="7"/>
  <c r="T278" i="7"/>
  <c r="U278" i="7"/>
  <c r="V278" i="7"/>
  <c r="T106" i="7"/>
  <c r="U106" i="7"/>
  <c r="V106" i="7"/>
  <c r="W106" i="7"/>
  <c r="T459" i="7"/>
  <c r="U459" i="7"/>
  <c r="V459" i="7"/>
  <c r="T288" i="7"/>
  <c r="V288" i="7"/>
  <c r="U288" i="7"/>
  <c r="U248" i="7"/>
  <c r="V248" i="7"/>
  <c r="T248" i="7"/>
  <c r="T218" i="7"/>
  <c r="W218" i="7"/>
  <c r="V218" i="7"/>
  <c r="U218" i="7"/>
  <c r="V271" i="7"/>
  <c r="U271" i="7"/>
  <c r="T271" i="7"/>
  <c r="V238" i="7"/>
  <c r="U238" i="7"/>
  <c r="T238" i="7"/>
  <c r="W203" i="7"/>
  <c r="T203" i="7"/>
  <c r="U203" i="7"/>
  <c r="V203" i="7"/>
  <c r="T253" i="7"/>
  <c r="V253" i="7"/>
  <c r="U253" i="7"/>
  <c r="T236" i="7"/>
  <c r="U236" i="7"/>
  <c r="V236" i="7"/>
  <c r="T220" i="7"/>
  <c r="U220" i="7"/>
  <c r="V220" i="7"/>
  <c r="W220" i="7"/>
  <c r="V273" i="7"/>
  <c r="U273" i="7"/>
  <c r="T273" i="7"/>
  <c r="T254" i="7"/>
  <c r="U254" i="7"/>
  <c r="V254" i="7"/>
  <c r="T237" i="7"/>
  <c r="U237" i="7"/>
  <c r="V237" i="7"/>
  <c r="T221" i="7"/>
  <c r="U221" i="7"/>
  <c r="V221" i="7"/>
  <c r="W221" i="7"/>
  <c r="V211" i="7"/>
  <c r="W211" i="7"/>
  <c r="U211" i="7"/>
  <c r="T211" i="7"/>
  <c r="W195" i="7"/>
  <c r="T195" i="7"/>
  <c r="U195" i="7"/>
  <c r="V195" i="7"/>
  <c r="U146" i="7"/>
  <c r="V146" i="7"/>
  <c r="W146" i="7"/>
  <c r="T146" i="7"/>
  <c r="W141" i="7"/>
  <c r="T141" i="7"/>
  <c r="U141" i="7"/>
  <c r="V141" i="7"/>
  <c r="U125" i="7"/>
  <c r="V125" i="7"/>
  <c r="W125" i="7"/>
  <c r="T125" i="7"/>
  <c r="T120" i="7"/>
  <c r="U120" i="7"/>
  <c r="V120" i="7"/>
  <c r="W120" i="7"/>
  <c r="T104" i="7"/>
  <c r="U104" i="7"/>
  <c r="V104" i="7"/>
  <c r="W104" i="7"/>
  <c r="V86" i="7"/>
  <c r="W86" i="7"/>
  <c r="T86" i="7"/>
  <c r="U86" i="7"/>
  <c r="V88" i="7"/>
  <c r="W88" i="7"/>
  <c r="U88" i="7"/>
  <c r="T88" i="7"/>
  <c r="T38" i="7"/>
  <c r="U38" i="7"/>
  <c r="V38" i="7"/>
  <c r="W38" i="7"/>
  <c r="V402" i="7"/>
  <c r="U402" i="7"/>
  <c r="T402" i="7"/>
  <c r="T371" i="7"/>
  <c r="V371" i="7"/>
  <c r="U371" i="7"/>
  <c r="U45" i="7"/>
  <c r="V45" i="7"/>
  <c r="W45" i="7"/>
  <c r="T45" i="7"/>
  <c r="T44" i="7"/>
  <c r="U44" i="7"/>
  <c r="V44" i="7"/>
  <c r="W44" i="7"/>
  <c r="U20" i="7"/>
  <c r="V20" i="7"/>
  <c r="W20" i="7"/>
  <c r="T431" i="7"/>
  <c r="U431" i="7"/>
  <c r="V431" i="7"/>
  <c r="T138" i="7"/>
  <c r="U138" i="7"/>
  <c r="W138" i="7"/>
  <c r="V138" i="7"/>
  <c r="V472" i="7"/>
  <c r="T472" i="7"/>
  <c r="U472" i="7"/>
  <c r="V434" i="7"/>
  <c r="U434" i="7"/>
  <c r="T434" i="7"/>
  <c r="T478" i="7"/>
  <c r="U478" i="7"/>
  <c r="V478" i="7"/>
  <c r="V441" i="7"/>
  <c r="T441" i="7"/>
  <c r="U441" i="7"/>
  <c r="T417" i="7"/>
  <c r="U417" i="7"/>
  <c r="V417" i="7"/>
  <c r="T399" i="7"/>
  <c r="V399" i="7"/>
  <c r="U399" i="7"/>
  <c r="T364" i="7"/>
  <c r="U364" i="7"/>
  <c r="V364" i="7"/>
  <c r="U328" i="7"/>
  <c r="T328" i="7"/>
  <c r="V328" i="7"/>
  <c r="T259" i="7"/>
  <c r="V259" i="7"/>
  <c r="U259" i="7"/>
  <c r="T482" i="7"/>
  <c r="U482" i="7"/>
  <c r="V482" i="7"/>
  <c r="U460" i="7"/>
  <c r="V460" i="7"/>
  <c r="T460" i="7"/>
  <c r="T433" i="7"/>
  <c r="V433" i="7"/>
  <c r="U433" i="7"/>
  <c r="T415" i="7"/>
  <c r="V415" i="7"/>
  <c r="U415" i="7"/>
  <c r="T362" i="7"/>
  <c r="U362" i="7"/>
  <c r="V362" i="7"/>
  <c r="T255" i="7"/>
  <c r="U255" i="7"/>
  <c r="V255" i="7"/>
  <c r="V351" i="7"/>
  <c r="T351" i="7"/>
  <c r="U351" i="7"/>
  <c r="T222" i="7"/>
  <c r="V222" i="7"/>
  <c r="U222" i="7"/>
  <c r="T83" i="7"/>
  <c r="U83" i="7"/>
  <c r="V83" i="7"/>
  <c r="W83" i="7"/>
  <c r="T475" i="7"/>
  <c r="U475" i="7"/>
  <c r="V475" i="7"/>
  <c r="U458" i="7"/>
  <c r="T458" i="7"/>
  <c r="V458" i="7"/>
  <c r="T442" i="7"/>
  <c r="U442" i="7"/>
  <c r="V442" i="7"/>
  <c r="T309" i="7"/>
  <c r="V309" i="7"/>
  <c r="U309" i="7"/>
  <c r="V244" i="7"/>
  <c r="T244" i="7"/>
  <c r="U244" i="7"/>
  <c r="T332" i="7"/>
  <c r="U332" i="7"/>
  <c r="V332" i="7"/>
  <c r="U310" i="7"/>
  <c r="V310" i="7"/>
  <c r="T310" i="7"/>
  <c r="V289" i="7"/>
  <c r="U289" i="7"/>
  <c r="T289" i="7"/>
  <c r="T268" i="7"/>
  <c r="U268" i="7"/>
  <c r="V268" i="7"/>
  <c r="T264" i="7"/>
  <c r="U264" i="7"/>
  <c r="V264" i="7"/>
  <c r="U215" i="7"/>
  <c r="V215" i="7"/>
  <c r="W215" i="7"/>
  <c r="T215" i="7"/>
  <c r="W132" i="7"/>
  <c r="T132" i="7"/>
  <c r="U132" i="7"/>
  <c r="V132" i="7"/>
  <c r="V308" i="7"/>
  <c r="U308" i="7"/>
  <c r="T308" i="7"/>
  <c r="T292" i="7"/>
  <c r="V292" i="7"/>
  <c r="U292" i="7"/>
  <c r="T204" i="7"/>
  <c r="U204" i="7"/>
  <c r="V204" i="7"/>
  <c r="W204" i="7"/>
  <c r="T155" i="7"/>
  <c r="U155" i="7"/>
  <c r="V155" i="7"/>
  <c r="W155" i="7"/>
  <c r="W134" i="7"/>
  <c r="T134" i="7"/>
  <c r="U134" i="7"/>
  <c r="V134" i="7"/>
  <c r="V113" i="7"/>
  <c r="W113" i="7"/>
  <c r="T113" i="7"/>
  <c r="U113" i="7"/>
  <c r="T97" i="7"/>
  <c r="U97" i="7"/>
  <c r="V97" i="7"/>
  <c r="W97" i="7"/>
  <c r="T210" i="7"/>
  <c r="V210" i="7"/>
  <c r="U210" i="7"/>
  <c r="W210" i="7"/>
  <c r="T194" i="7"/>
  <c r="U194" i="7"/>
  <c r="V194" i="7"/>
  <c r="W194" i="7"/>
  <c r="T145" i="7"/>
  <c r="U145" i="7"/>
  <c r="V145" i="7"/>
  <c r="W145" i="7"/>
  <c r="T140" i="7"/>
  <c r="V140" i="7"/>
  <c r="W140" i="7"/>
  <c r="U140" i="7"/>
  <c r="T124" i="7"/>
  <c r="U124" i="7"/>
  <c r="V124" i="7"/>
  <c r="W124" i="7"/>
  <c r="U119" i="7"/>
  <c r="V119" i="7"/>
  <c r="W119" i="7"/>
  <c r="T119" i="7"/>
  <c r="T103" i="7"/>
  <c r="U103" i="7"/>
  <c r="W103" i="7"/>
  <c r="V103" i="7"/>
  <c r="T87" i="7"/>
  <c r="U87" i="7"/>
  <c r="V87" i="7"/>
  <c r="W87" i="7"/>
  <c r="T17" i="7"/>
  <c r="U17" i="7"/>
  <c r="V17" i="7"/>
  <c r="W17" i="7"/>
  <c r="U73" i="7"/>
  <c r="V73" i="7"/>
  <c r="W73" i="7"/>
  <c r="T73" i="7"/>
  <c r="W10" i="7"/>
  <c r="T10" i="7"/>
  <c r="U10" i="7"/>
  <c r="V10" i="7"/>
  <c r="T6" i="7"/>
  <c r="U6" i="7"/>
  <c r="V6" i="7"/>
  <c r="W6" i="7"/>
  <c r="T46" i="7"/>
  <c r="U46" i="7"/>
  <c r="V46" i="7"/>
  <c r="W46" i="7"/>
  <c r="T58" i="7"/>
  <c r="U58" i="7"/>
  <c r="V58" i="7"/>
  <c r="W58" i="7"/>
  <c r="T76" i="7"/>
  <c r="U76" i="7"/>
  <c r="V76" i="7"/>
  <c r="W76" i="7"/>
  <c r="V388" i="7"/>
  <c r="T388" i="7"/>
  <c r="U388" i="7"/>
  <c r="T471" i="7"/>
  <c r="V471" i="7"/>
  <c r="U471" i="7"/>
  <c r="V12" i="7"/>
  <c r="W12" i="7"/>
  <c r="T12" i="7"/>
  <c r="U12" i="7"/>
  <c r="T50" i="7"/>
  <c r="U50" i="7"/>
  <c r="V50" i="7"/>
  <c r="W50" i="7"/>
  <c r="T32" i="7"/>
  <c r="U32" i="7"/>
  <c r="V32" i="7"/>
  <c r="W32" i="7"/>
  <c r="T48" i="7"/>
  <c r="U48" i="7"/>
  <c r="V48" i="7"/>
  <c r="W48" i="7"/>
  <c r="T25" i="7"/>
  <c r="U25" i="7"/>
  <c r="V25" i="7"/>
  <c r="W25" i="7"/>
  <c r="U49" i="7"/>
  <c r="V49" i="7"/>
  <c r="W49" i="7"/>
  <c r="T49" i="7"/>
  <c r="T31" i="7"/>
  <c r="U31" i="7"/>
  <c r="V31" i="7"/>
  <c r="W31" i="7"/>
  <c r="U47" i="7"/>
  <c r="V47" i="7"/>
  <c r="W47" i="7"/>
  <c r="T47" i="7"/>
  <c r="T78" i="7"/>
  <c r="U78" i="7"/>
  <c r="V78" i="7"/>
  <c r="W78" i="7"/>
  <c r="T65" i="7"/>
  <c r="U65" i="7"/>
  <c r="V65" i="7"/>
  <c r="W65" i="7"/>
  <c r="T61" i="7"/>
  <c r="U61" i="7"/>
  <c r="V61" i="7"/>
  <c r="W61" i="7"/>
  <c r="T77" i="7"/>
  <c r="U77" i="7"/>
  <c r="V77" i="7"/>
  <c r="W77" i="7"/>
  <c r="U425" i="7"/>
  <c r="V425" i="7"/>
  <c r="T425" i="7"/>
  <c r="T462" i="7"/>
  <c r="U462" i="7"/>
  <c r="V462" i="7"/>
  <c r="V422" i="7"/>
  <c r="T422" i="7"/>
  <c r="U422" i="7"/>
  <c r="T429" i="7"/>
  <c r="U429" i="7"/>
  <c r="V429" i="7"/>
  <c r="U370" i="7"/>
  <c r="T370" i="7"/>
  <c r="V370" i="7"/>
  <c r="T391" i="7"/>
  <c r="U391" i="7"/>
  <c r="V391" i="7"/>
  <c r="V456" i="7"/>
  <c r="T456" i="7"/>
  <c r="U456" i="7"/>
  <c r="U438" i="7"/>
  <c r="V438" i="7"/>
  <c r="T438" i="7"/>
  <c r="T414" i="7"/>
  <c r="V414" i="7"/>
  <c r="U414" i="7"/>
  <c r="U323" i="7"/>
  <c r="V323" i="7"/>
  <c r="T323" i="7"/>
  <c r="T243" i="7"/>
  <c r="V243" i="7"/>
  <c r="U243" i="7"/>
  <c r="V454" i="7"/>
  <c r="U454" i="7"/>
  <c r="T454" i="7"/>
  <c r="T430" i="7"/>
  <c r="V430" i="7"/>
  <c r="U430" i="7"/>
  <c r="T412" i="7"/>
  <c r="U412" i="7"/>
  <c r="V412" i="7"/>
  <c r="U360" i="7"/>
  <c r="T360" i="7"/>
  <c r="V360" i="7"/>
  <c r="V315" i="7"/>
  <c r="T315" i="7"/>
  <c r="U315" i="7"/>
  <c r="T239" i="7"/>
  <c r="U239" i="7"/>
  <c r="V239" i="7"/>
  <c r="T350" i="7"/>
  <c r="U350" i="7"/>
  <c r="V350" i="7"/>
  <c r="U324" i="7"/>
  <c r="T324" i="7"/>
  <c r="V324" i="7"/>
  <c r="T312" i="7"/>
  <c r="U312" i="7"/>
  <c r="V312" i="7"/>
  <c r="T296" i="7"/>
  <c r="U296" i="7"/>
  <c r="V296" i="7"/>
  <c r="T474" i="7"/>
  <c r="V474" i="7"/>
  <c r="U474" i="7"/>
  <c r="U457" i="7"/>
  <c r="V457" i="7"/>
  <c r="T457" i="7"/>
  <c r="T427" i="7"/>
  <c r="U427" i="7"/>
  <c r="V427" i="7"/>
  <c r="U411" i="7"/>
  <c r="V411" i="7"/>
  <c r="T411" i="7"/>
  <c r="U390" i="7"/>
  <c r="V390" i="7"/>
  <c r="T390" i="7"/>
  <c r="T374" i="7"/>
  <c r="U374" i="7"/>
  <c r="V374" i="7"/>
  <c r="U358" i="7"/>
  <c r="T358" i="7"/>
  <c r="V358" i="7"/>
  <c r="U342" i="7"/>
  <c r="V342" i="7"/>
  <c r="T342" i="7"/>
  <c r="U326" i="7"/>
  <c r="T326" i="7"/>
  <c r="V326" i="7"/>
  <c r="V306" i="7"/>
  <c r="U306" i="7"/>
  <c r="T306" i="7"/>
  <c r="V285" i="7"/>
  <c r="U285" i="7"/>
  <c r="T285" i="7"/>
  <c r="T270" i="7"/>
  <c r="V270" i="7"/>
  <c r="U270" i="7"/>
  <c r="T240" i="7"/>
  <c r="U240" i="7"/>
  <c r="V240" i="7"/>
  <c r="V261" i="7"/>
  <c r="U261" i="7"/>
  <c r="T261" i="7"/>
  <c r="U148" i="7"/>
  <c r="V148" i="7"/>
  <c r="W148" i="7"/>
  <c r="T148" i="7"/>
  <c r="U249" i="7"/>
  <c r="T249" i="7"/>
  <c r="V249" i="7"/>
  <c r="V213" i="7"/>
  <c r="W213" i="7"/>
  <c r="T213" i="7"/>
  <c r="U213" i="7"/>
  <c r="U127" i="7"/>
  <c r="V127" i="7"/>
  <c r="W127" i="7"/>
  <c r="T127" i="7"/>
  <c r="T307" i="7"/>
  <c r="V307" i="7"/>
  <c r="U307" i="7"/>
  <c r="T291" i="7"/>
  <c r="U291" i="7"/>
  <c r="V291" i="7"/>
  <c r="T267" i="7"/>
  <c r="V267" i="7"/>
  <c r="U267" i="7"/>
  <c r="T250" i="7"/>
  <c r="U250" i="7"/>
  <c r="V250" i="7"/>
  <c r="T232" i="7"/>
  <c r="U232" i="7"/>
  <c r="V232" i="7"/>
  <c r="W80" i="7"/>
  <c r="T80" i="7"/>
  <c r="V80" i="7"/>
  <c r="U80" i="7"/>
  <c r="T81" i="7"/>
  <c r="U81" i="7"/>
  <c r="V81" i="7"/>
  <c r="W81" i="7"/>
  <c r="W207" i="7"/>
  <c r="V207" i="7"/>
  <c r="U207" i="7"/>
  <c r="T207" i="7"/>
  <c r="T191" i="7"/>
  <c r="U191" i="7"/>
  <c r="V191" i="7"/>
  <c r="W191" i="7"/>
  <c r="T137" i="7"/>
  <c r="U137" i="7"/>
  <c r="W137" i="7"/>
  <c r="V137" i="7"/>
  <c r="T116" i="7"/>
  <c r="U116" i="7"/>
  <c r="V116" i="7"/>
  <c r="W116" i="7"/>
  <c r="U100" i="7"/>
  <c r="V100" i="7"/>
  <c r="W100" i="7"/>
  <c r="T100" i="7"/>
  <c r="T70" i="7"/>
  <c r="U70" i="7"/>
  <c r="V70" i="7"/>
  <c r="W70" i="7"/>
  <c r="T396" i="7"/>
  <c r="V396" i="7"/>
  <c r="U396" i="7"/>
  <c r="T444" i="7"/>
  <c r="U444" i="7"/>
  <c r="V444" i="7"/>
  <c r="V439" i="7"/>
  <c r="U439" i="7"/>
  <c r="T439" i="7"/>
  <c r="T28" i="7"/>
  <c r="U28" i="7"/>
  <c r="V28" i="7"/>
  <c r="W28" i="7"/>
  <c r="U43" i="7"/>
  <c r="V43" i="7"/>
  <c r="W43" i="7"/>
  <c r="T43" i="7"/>
  <c r="V16" i="7"/>
  <c r="W16" i="7"/>
  <c r="T16" i="7"/>
  <c r="U16" i="7"/>
  <c r="V69" i="7"/>
  <c r="W69" i="7"/>
  <c r="T69" i="7"/>
  <c r="U69" i="7"/>
  <c r="T19" i="7"/>
  <c r="U19" i="7"/>
  <c r="V19" i="7"/>
  <c r="W19" i="7"/>
  <c r="W2" i="7"/>
  <c r="V2" i="7"/>
  <c r="T2" i="7"/>
  <c r="U2" i="7"/>
  <c r="T3" i="7"/>
  <c r="U3" i="7"/>
  <c r="V3" i="7"/>
  <c r="W3" i="7"/>
  <c r="T66" i="7"/>
  <c r="U66" i="7"/>
  <c r="V66" i="7"/>
  <c r="W66" i="7"/>
  <c r="V62" i="7"/>
  <c r="W62" i="7"/>
  <c r="T62" i="7"/>
  <c r="U62" i="7"/>
  <c r="T484" i="7"/>
  <c r="U484" i="7"/>
  <c r="V484" i="7"/>
  <c r="T420" i="7"/>
  <c r="U420" i="7"/>
  <c r="V420" i="7"/>
  <c r="U359" i="7"/>
  <c r="V359" i="7"/>
  <c r="T359" i="7"/>
  <c r="U423" i="7"/>
  <c r="V423" i="7"/>
  <c r="T423" i="7"/>
  <c r="T435" i="7"/>
  <c r="U435" i="7"/>
  <c r="V435" i="7"/>
  <c r="T305" i="7"/>
  <c r="V305" i="7"/>
  <c r="U305" i="7"/>
  <c r="V234" i="7"/>
  <c r="U234" i="7"/>
  <c r="T234" i="7"/>
  <c r="T479" i="7"/>
  <c r="V479" i="7"/>
  <c r="U479" i="7"/>
  <c r="V451" i="7"/>
  <c r="U451" i="7"/>
  <c r="T451" i="7"/>
  <c r="V409" i="7"/>
  <c r="T409" i="7"/>
  <c r="U409" i="7"/>
  <c r="T354" i="7"/>
  <c r="V354" i="7"/>
  <c r="U354" i="7"/>
  <c r="T224" i="7"/>
  <c r="U224" i="7"/>
  <c r="V224" i="7"/>
  <c r="U375" i="7"/>
  <c r="V375" i="7"/>
  <c r="T375" i="7"/>
  <c r="T346" i="7"/>
  <c r="U346" i="7"/>
  <c r="V346" i="7"/>
  <c r="T330" i="7"/>
  <c r="U330" i="7"/>
  <c r="V330" i="7"/>
  <c r="U311" i="7"/>
  <c r="T311" i="7"/>
  <c r="V311" i="7"/>
  <c r="T293" i="7"/>
  <c r="U293" i="7"/>
  <c r="V293" i="7"/>
  <c r="V153" i="7"/>
  <c r="W153" i="7"/>
  <c r="U153" i="7"/>
  <c r="T153" i="7"/>
  <c r="U426" i="7"/>
  <c r="V426" i="7"/>
  <c r="T426" i="7"/>
  <c r="T410" i="7"/>
  <c r="U410" i="7"/>
  <c r="V410" i="7"/>
  <c r="T389" i="7"/>
  <c r="U389" i="7"/>
  <c r="V389" i="7"/>
  <c r="U373" i="7"/>
  <c r="V373" i="7"/>
  <c r="T373" i="7"/>
  <c r="U357" i="7"/>
  <c r="V357" i="7"/>
  <c r="T357" i="7"/>
  <c r="U341" i="7"/>
  <c r="T341" i="7"/>
  <c r="V341" i="7"/>
  <c r="T303" i="7"/>
  <c r="V303" i="7"/>
  <c r="U303" i="7"/>
  <c r="T143" i="7"/>
  <c r="U143" i="7"/>
  <c r="V143" i="7"/>
  <c r="W143" i="7"/>
  <c r="U327" i="7"/>
  <c r="V327" i="7"/>
  <c r="T327" i="7"/>
  <c r="V304" i="7"/>
  <c r="U304" i="7"/>
  <c r="T304" i="7"/>
  <c r="T282" i="7"/>
  <c r="U282" i="7"/>
  <c r="V282" i="7"/>
  <c r="T231" i="7"/>
  <c r="U231" i="7"/>
  <c r="V231" i="7"/>
  <c r="T192" i="7"/>
  <c r="U192" i="7"/>
  <c r="V192" i="7"/>
  <c r="W192" i="7"/>
  <c r="U117" i="7"/>
  <c r="V117" i="7"/>
  <c r="W117" i="7"/>
  <c r="T117" i="7"/>
  <c r="T266" i="7"/>
  <c r="U266" i="7"/>
  <c r="V266" i="7"/>
  <c r="T202" i="7"/>
  <c r="U202" i="7"/>
  <c r="V202" i="7"/>
  <c r="W202" i="7"/>
  <c r="V84" i="7"/>
  <c r="W84" i="7"/>
  <c r="T84" i="7"/>
  <c r="U84" i="7"/>
  <c r="T79" i="7"/>
  <c r="U79" i="7"/>
  <c r="V79" i="7"/>
  <c r="W79" i="7"/>
  <c r="T205" i="7"/>
  <c r="U205" i="7"/>
  <c r="V205" i="7"/>
  <c r="W205" i="7"/>
  <c r="T189" i="7"/>
  <c r="U189" i="7"/>
  <c r="V189" i="7"/>
  <c r="W189" i="7"/>
  <c r="T135" i="7"/>
  <c r="U135" i="7"/>
  <c r="V135" i="7"/>
  <c r="W135" i="7"/>
  <c r="T114" i="7"/>
  <c r="U114" i="7"/>
  <c r="V114" i="7"/>
  <c r="W114" i="7"/>
  <c r="U98" i="7"/>
  <c r="V98" i="7"/>
  <c r="W98" i="7"/>
  <c r="T98" i="7"/>
  <c r="T206" i="7"/>
  <c r="U206" i="7"/>
  <c r="W206" i="7"/>
  <c r="V206" i="7"/>
  <c r="T190" i="7"/>
  <c r="U190" i="7"/>
  <c r="V190" i="7"/>
  <c r="W190" i="7"/>
  <c r="V136" i="7"/>
  <c r="W136" i="7"/>
  <c r="T136" i="7"/>
  <c r="U136" i="7"/>
  <c r="U115" i="7"/>
  <c r="V115" i="7"/>
  <c r="W115" i="7"/>
  <c r="T115" i="7"/>
  <c r="T99" i="7"/>
  <c r="U99" i="7"/>
  <c r="V99" i="7"/>
  <c r="W99" i="7"/>
  <c r="W82" i="7"/>
  <c r="T82" i="7"/>
  <c r="U82" i="7"/>
  <c r="V82" i="7"/>
  <c r="T13" i="7"/>
  <c r="U13" i="7"/>
  <c r="V13" i="7"/>
  <c r="W13" i="7"/>
  <c r="T401" i="7"/>
  <c r="U401" i="7"/>
  <c r="V401" i="7"/>
  <c r="T397" i="7"/>
  <c r="U397" i="7"/>
  <c r="V397" i="7"/>
  <c r="U392" i="7"/>
  <c r="T392" i="7"/>
  <c r="V392" i="7"/>
  <c r="T57" i="7"/>
  <c r="U57" i="7"/>
  <c r="V57" i="7"/>
  <c r="W57" i="7"/>
  <c r="T54" i="7"/>
  <c r="U54" i="7"/>
  <c r="V54" i="7"/>
  <c r="W54" i="7"/>
  <c r="T53" i="7"/>
  <c r="U53" i="7"/>
  <c r="V53" i="7"/>
  <c r="W53" i="7"/>
  <c r="T9" i="7"/>
  <c r="U9" i="7"/>
  <c r="V9" i="7"/>
  <c r="W9" i="7"/>
  <c r="T29" i="7"/>
  <c r="U29" i="7"/>
  <c r="V29" i="7"/>
  <c r="W29" i="7"/>
  <c r="V18" i="7"/>
  <c r="W18" i="7"/>
  <c r="T18" i="7"/>
  <c r="U18" i="7"/>
  <c r="T15" i="7"/>
  <c r="U15" i="7"/>
  <c r="V15" i="7"/>
  <c r="W15" i="7"/>
  <c r="U26" i="7"/>
  <c r="V26" i="7"/>
  <c r="W26" i="7"/>
  <c r="T26" i="7"/>
  <c r="T7" i="7"/>
  <c r="U7" i="7"/>
  <c r="V7" i="7"/>
  <c r="W7" i="7"/>
  <c r="T36" i="7"/>
  <c r="U36" i="7"/>
  <c r="V36" i="7"/>
  <c r="W36" i="7"/>
  <c r="T52" i="7"/>
  <c r="U52" i="7"/>
  <c r="V52" i="7"/>
  <c r="W52" i="7"/>
  <c r="W35" i="7"/>
  <c r="T35" i="7"/>
  <c r="U35" i="7"/>
  <c r="V35" i="7"/>
  <c r="T51" i="7"/>
  <c r="U51" i="7"/>
  <c r="V51" i="7"/>
  <c r="W51" i="7"/>
  <c r="V60" i="7"/>
  <c r="W60" i="7"/>
  <c r="T60" i="7"/>
  <c r="U60" i="7"/>
  <c r="T67" i="7"/>
  <c r="U67" i="7"/>
  <c r="V67" i="7"/>
  <c r="W67" i="7"/>
  <c r="T63" i="7"/>
  <c r="U63" i="7"/>
  <c r="V63" i="7"/>
  <c r="W63" i="7"/>
  <c r="U468" i="7"/>
  <c r="V468" i="7"/>
  <c r="T468" i="7"/>
  <c r="T348" i="7"/>
  <c r="U348" i="7"/>
  <c r="V348" i="7"/>
  <c r="T450" i="7"/>
  <c r="U450" i="7"/>
  <c r="V450" i="7"/>
  <c r="V353" i="7"/>
  <c r="U353" i="7"/>
  <c r="T353" i="7"/>
  <c r="T280" i="7"/>
  <c r="U280" i="7"/>
  <c r="V280" i="7"/>
  <c r="T228" i="7"/>
  <c r="U228" i="7"/>
  <c r="V228" i="7"/>
  <c r="U476" i="7"/>
  <c r="V476" i="7"/>
  <c r="T476" i="7"/>
  <c r="T448" i="7"/>
  <c r="V448" i="7"/>
  <c r="U448" i="7"/>
  <c r="U406" i="7"/>
  <c r="V406" i="7"/>
  <c r="T406" i="7"/>
  <c r="U372" i="7"/>
  <c r="T372" i="7"/>
  <c r="V372" i="7"/>
  <c r="T251" i="7"/>
  <c r="U251" i="7"/>
  <c r="V251" i="7"/>
  <c r="T345" i="7"/>
  <c r="U345" i="7"/>
  <c r="V345" i="7"/>
  <c r="T329" i="7"/>
  <c r="U329" i="7"/>
  <c r="V329" i="7"/>
  <c r="U290" i="7"/>
  <c r="T290" i="7"/>
  <c r="V290" i="7"/>
  <c r="U276" i="7"/>
  <c r="T276" i="7"/>
  <c r="V276" i="7"/>
  <c r="U485" i="7"/>
  <c r="V485" i="7"/>
  <c r="T485" i="7"/>
  <c r="T469" i="7"/>
  <c r="U469" i="7"/>
  <c r="V469" i="7"/>
  <c r="V453" i="7"/>
  <c r="T453" i="7"/>
  <c r="U453" i="7"/>
  <c r="T437" i="7"/>
  <c r="U437" i="7"/>
  <c r="V437" i="7"/>
  <c r="V321" i="7"/>
  <c r="U321" i="7"/>
  <c r="T321" i="7"/>
  <c r="T233" i="7"/>
  <c r="U233" i="7"/>
  <c r="V233" i="7"/>
  <c r="T320" i="7"/>
  <c r="U320" i="7"/>
  <c r="V320" i="7"/>
  <c r="T279" i="7"/>
  <c r="V279" i="7"/>
  <c r="U279" i="7"/>
  <c r="T219" i="7"/>
  <c r="U219" i="7"/>
  <c r="V219" i="7"/>
  <c r="W219" i="7"/>
  <c r="T133" i="7"/>
  <c r="U133" i="7"/>
  <c r="V133" i="7"/>
  <c r="W133" i="7"/>
  <c r="T245" i="7"/>
  <c r="V245" i="7"/>
  <c r="U245" i="7"/>
  <c r="V230" i="7"/>
  <c r="U230" i="7"/>
  <c r="T230" i="7"/>
  <c r="V302" i="7"/>
  <c r="T302" i="7"/>
  <c r="U302" i="7"/>
  <c r="T286" i="7"/>
  <c r="U286" i="7"/>
  <c r="V286" i="7"/>
  <c r="V265" i="7"/>
  <c r="U265" i="7"/>
  <c r="T265" i="7"/>
  <c r="U246" i="7"/>
  <c r="V246" i="7"/>
  <c r="T246" i="7"/>
  <c r="W197" i="7"/>
  <c r="T197" i="7"/>
  <c r="U197" i="7"/>
  <c r="V197" i="7"/>
  <c r="T122" i="7"/>
  <c r="U122" i="7"/>
  <c r="V122" i="7"/>
  <c r="W122" i="7"/>
  <c r="W199" i="7"/>
  <c r="T199" i="7"/>
  <c r="U199" i="7"/>
  <c r="V199" i="7"/>
  <c r="T150" i="7"/>
  <c r="U150" i="7"/>
  <c r="V150" i="7"/>
  <c r="W150" i="7"/>
  <c r="T129" i="7"/>
  <c r="U129" i="7"/>
  <c r="V129" i="7"/>
  <c r="W129" i="7"/>
  <c r="T108" i="7"/>
  <c r="U108" i="7"/>
  <c r="V108" i="7"/>
  <c r="W108" i="7"/>
  <c r="U92" i="7"/>
  <c r="V92" i="7"/>
  <c r="W92" i="7"/>
  <c r="T92" i="7"/>
  <c r="N121" i="7"/>
  <c r="N142" i="7"/>
  <c r="N89" i="7"/>
  <c r="N196" i="7"/>
  <c r="N126" i="7"/>
  <c r="N152" i="7"/>
  <c r="N110" i="7"/>
  <c r="N94" i="7"/>
  <c r="N201" i="7"/>
  <c r="N131" i="7"/>
  <c r="M212" i="7"/>
  <c r="N212" i="7" s="1"/>
  <c r="M215" i="7"/>
  <c r="N215" i="7" s="1"/>
  <c r="M213" i="7"/>
  <c r="N213" i="7" s="1"/>
  <c r="M216" i="7"/>
  <c r="N216" i="7" s="1"/>
  <c r="M219" i="7"/>
  <c r="N219" i="7" s="1"/>
  <c r="M218" i="7"/>
  <c r="N218" i="7" s="1"/>
  <c r="M211" i="7"/>
  <c r="N211" i="7" s="1"/>
  <c r="M221" i="7"/>
  <c r="N221" i="7" s="1"/>
  <c r="M214" i="7"/>
  <c r="N214" i="7" s="1"/>
  <c r="M231" i="7"/>
  <c r="N231" i="7" s="1"/>
  <c r="M224" i="7"/>
  <c r="N224" i="7" s="1"/>
  <c r="M217" i="7"/>
  <c r="N217" i="7" s="1"/>
  <c r="H23" i="18"/>
  <c r="I23" i="18" s="1"/>
  <c r="K23" i="18" s="1"/>
  <c r="F23" i="18"/>
  <c r="M220" i="7"/>
  <c r="N220" i="7" s="1"/>
  <c r="N87" i="7"/>
  <c r="N206" i="7"/>
  <c r="N31" i="7"/>
  <c r="N47" i="7"/>
  <c r="N61" i="7"/>
  <c r="N48" i="7"/>
  <c r="N77" i="7"/>
  <c r="N24" i="7"/>
  <c r="N39" i="7"/>
  <c r="N55" i="7"/>
  <c r="N40" i="7"/>
  <c r="N56" i="7"/>
  <c r="N72" i="7"/>
  <c r="N37" i="7"/>
  <c r="N64" i="7"/>
  <c r="N13" i="7"/>
  <c r="N41" i="7"/>
  <c r="N32" i="7"/>
  <c r="N29" i="7"/>
  <c r="N30" i="7"/>
  <c r="N33" i="7"/>
  <c r="N203" i="7"/>
  <c r="N154" i="7"/>
  <c r="N112" i="7"/>
  <c r="N96" i="7"/>
  <c r="N209" i="7"/>
  <c r="N193" i="7"/>
  <c r="N139" i="7"/>
  <c r="N123" i="7"/>
  <c r="N118" i="7"/>
  <c r="N102" i="7"/>
  <c r="N86" i="7"/>
  <c r="N74" i="7"/>
  <c r="N66" i="7"/>
  <c r="N27" i="7"/>
  <c r="N43" i="7"/>
  <c r="N88" i="7"/>
  <c r="N16" i="7"/>
  <c r="N25" i="7"/>
  <c r="N44" i="7"/>
  <c r="N76" i="7"/>
  <c r="N75" i="7"/>
  <c r="N208" i="7"/>
  <c r="N192" i="7"/>
  <c r="N138" i="7"/>
  <c r="N117" i="7"/>
  <c r="N101" i="7"/>
  <c r="N84" i="7"/>
  <c r="N195" i="7"/>
  <c r="N146" i="7"/>
  <c r="N141" i="7"/>
  <c r="N125" i="7"/>
  <c r="N120" i="7"/>
  <c r="N104" i="7"/>
  <c r="N46" i="7"/>
  <c r="N60" i="7"/>
  <c r="N83" i="7"/>
  <c r="N85" i="7"/>
  <c r="N210" i="7"/>
  <c r="N194" i="7"/>
  <c r="N145" i="7"/>
  <c r="N140" i="7"/>
  <c r="N124" i="7"/>
  <c r="N119" i="7"/>
  <c r="N103" i="7"/>
  <c r="N133" i="7"/>
  <c r="N14" i="7"/>
  <c r="N35" i="7"/>
  <c r="N51" i="7"/>
  <c r="N52" i="7"/>
  <c r="N34" i="7"/>
  <c r="N50" i="7"/>
  <c r="N59" i="7"/>
  <c r="N73" i="7"/>
  <c r="N202" i="7"/>
  <c r="N153" i="7"/>
  <c r="N132" i="7"/>
  <c r="N111" i="7"/>
  <c r="N95" i="7"/>
  <c r="N80" i="7"/>
  <c r="N204" i="7"/>
  <c r="N155" i="7"/>
  <c r="N134" i="7"/>
  <c r="N113" i="7"/>
  <c r="N97" i="7"/>
  <c r="N79" i="7"/>
  <c r="N205" i="7"/>
  <c r="N189" i="7"/>
  <c r="N135" i="7"/>
  <c r="N114" i="7"/>
  <c r="N98" i="7"/>
  <c r="N81" i="7"/>
  <c r="N18" i="7"/>
  <c r="N28" i="7"/>
  <c r="N45" i="7"/>
  <c r="N36" i="7"/>
  <c r="N38" i="7"/>
  <c r="N54" i="7"/>
  <c r="N65" i="7"/>
  <c r="N71" i="7"/>
  <c r="N68" i="7"/>
  <c r="N19" i="7"/>
  <c r="N15" i="7"/>
  <c r="N17" i="7"/>
  <c r="N49" i="7"/>
  <c r="N70" i="7"/>
  <c r="N57" i="7"/>
  <c r="N69" i="7"/>
  <c r="N197" i="7"/>
  <c r="N148" i="7"/>
  <c r="N143" i="7"/>
  <c r="N127" i="7"/>
  <c r="N122" i="7"/>
  <c r="N106" i="7"/>
  <c r="N90" i="7"/>
  <c r="N199" i="7"/>
  <c r="N150" i="7"/>
  <c r="N129" i="7"/>
  <c r="N108" i="7"/>
  <c r="N92" i="7"/>
  <c r="N200" i="7"/>
  <c r="N151" i="7"/>
  <c r="N130" i="7"/>
  <c r="N109" i="7"/>
  <c r="N93" i="7"/>
  <c r="N53" i="7"/>
  <c r="N26" i="7"/>
  <c r="N42" i="7"/>
  <c r="N78" i="7"/>
  <c r="N67" i="7"/>
  <c r="N58" i="7"/>
  <c r="N198" i="7"/>
  <c r="N149" i="7"/>
  <c r="N144" i="7"/>
  <c r="N128" i="7"/>
  <c r="N107" i="7"/>
  <c r="N91" i="7"/>
  <c r="M8" i="7"/>
  <c r="N8" i="7" s="1"/>
  <c r="M3" i="7"/>
  <c r="N3" i="7" s="1"/>
  <c r="M10" i="7"/>
  <c r="N10" i="7" s="1"/>
  <c r="M5" i="7"/>
  <c r="N5" i="7" s="1"/>
  <c r="M6" i="7"/>
  <c r="N6" i="7" s="1"/>
  <c r="M12" i="7"/>
  <c r="N12" i="7" s="1"/>
  <c r="M2" i="7"/>
  <c r="N2" i="7" s="1"/>
  <c r="M4" i="7"/>
  <c r="N4" i="7" s="1"/>
  <c r="M9" i="7"/>
  <c r="N9" i="7" s="1"/>
  <c r="M11" i="7"/>
  <c r="N11" i="7" s="1"/>
  <c r="M7" i="7"/>
  <c r="N7" i="7" s="1"/>
  <c r="I20" i="7"/>
  <c r="K21" i="7"/>
  <c r="F21" i="7"/>
  <c r="M51" i="14" s="1"/>
  <c r="M52" i="14" s="1"/>
  <c r="H21" i="7"/>
  <c r="J22" i="7"/>
  <c r="G21" i="7"/>
  <c r="L240" i="7" l="1"/>
  <c r="L241" i="7"/>
  <c r="L239" i="7"/>
  <c r="L238" i="7"/>
  <c r="L237" i="7"/>
  <c r="L236" i="7"/>
  <c r="L243" i="7"/>
  <c r="L235" i="7"/>
  <c r="L242" i="7"/>
  <c r="L234" i="7"/>
  <c r="L233" i="7"/>
  <c r="G40" i="21"/>
  <c r="X379" i="7"/>
  <c r="Y379" i="7" s="1"/>
  <c r="X385" i="7"/>
  <c r="Y385" i="7" s="1"/>
  <c r="X382" i="7"/>
  <c r="Y382" i="7" s="1"/>
  <c r="X159" i="7"/>
  <c r="Y159" i="7" s="1"/>
  <c r="G3" i="21"/>
  <c r="K3" i="21" s="1"/>
  <c r="Q24" i="13"/>
  <c r="T24" i="13" s="1"/>
  <c r="G15" i="21"/>
  <c r="K15" i="21" s="1"/>
  <c r="X376" i="7"/>
  <c r="Y376" i="7" s="1"/>
  <c r="D7" i="20"/>
  <c r="X181" i="7"/>
  <c r="Y181" i="7" s="1"/>
  <c r="Q22" i="13"/>
  <c r="T22" i="13" s="1"/>
  <c r="X171" i="7"/>
  <c r="Y171" i="7" s="1"/>
  <c r="X377" i="7"/>
  <c r="Y377" i="7" s="1"/>
  <c r="X184" i="7"/>
  <c r="Y184" i="7" s="1"/>
  <c r="X166" i="7"/>
  <c r="Y166" i="7" s="1"/>
  <c r="X380" i="7"/>
  <c r="Y380" i="7" s="1"/>
  <c r="X161" i="7"/>
  <c r="Y161" i="7" s="1"/>
  <c r="X160" i="7"/>
  <c r="Y160" i="7" s="1"/>
  <c r="X179" i="7"/>
  <c r="Y179" i="7" s="1"/>
  <c r="X178" i="7"/>
  <c r="Y178" i="7" s="1"/>
  <c r="X170" i="7"/>
  <c r="Y170" i="7" s="1"/>
  <c r="X386" i="7"/>
  <c r="Y386" i="7" s="1"/>
  <c r="X163" i="7"/>
  <c r="Y163" i="7" s="1"/>
  <c r="X157" i="7"/>
  <c r="Y157" i="7" s="1"/>
  <c r="X188" i="7"/>
  <c r="Y188" i="7" s="1"/>
  <c r="X175" i="7"/>
  <c r="Y175" i="7" s="1"/>
  <c r="X172" i="7"/>
  <c r="Y172" i="7" s="1"/>
  <c r="X167" i="7"/>
  <c r="Y167" i="7" s="1"/>
  <c r="X384" i="7"/>
  <c r="Y384" i="7" s="1"/>
  <c r="X381" i="7"/>
  <c r="Y381" i="7" s="1"/>
  <c r="E7" i="20"/>
  <c r="X183" i="7"/>
  <c r="Y183" i="7" s="1"/>
  <c r="X180" i="7"/>
  <c r="Y180" i="7" s="1"/>
  <c r="X187" i="7"/>
  <c r="Y187" i="7" s="1"/>
  <c r="X185" i="7"/>
  <c r="Y185" i="7" s="1"/>
  <c r="D14" i="21"/>
  <c r="Q23" i="13"/>
  <c r="T23" i="13" s="1"/>
  <c r="D40" i="21"/>
  <c r="X164" i="7"/>
  <c r="Y164" i="7" s="1"/>
  <c r="X378" i="7"/>
  <c r="Y378" i="7" s="1"/>
  <c r="X174" i="7"/>
  <c r="Y174" i="7" s="1"/>
  <c r="X176" i="7"/>
  <c r="Y176" i="7" s="1"/>
  <c r="X173" i="7"/>
  <c r="Y173" i="7" s="1"/>
  <c r="X168" i="7"/>
  <c r="Y168" i="7" s="1"/>
  <c r="X165" i="7"/>
  <c r="Y165" i="7" s="1"/>
  <c r="X162" i="7"/>
  <c r="Y162" i="7" s="1"/>
  <c r="M42" i="13"/>
  <c r="G14" i="21" s="1"/>
  <c r="X186" i="7"/>
  <c r="Y186" i="7" s="1"/>
  <c r="X156" i="7"/>
  <c r="Y156" i="7" s="1"/>
  <c r="C7" i="20"/>
  <c r="X182" i="7"/>
  <c r="Y182" i="7" s="1"/>
  <c r="X177" i="7"/>
  <c r="Y177" i="7" s="1"/>
  <c r="X169" i="7"/>
  <c r="Y169" i="7" s="1"/>
  <c r="X383" i="7"/>
  <c r="Y383" i="7" s="1"/>
  <c r="X158" i="7"/>
  <c r="Y158" i="7" s="1"/>
  <c r="X44" i="7"/>
  <c r="Y44" i="7" s="1"/>
  <c r="X141" i="7"/>
  <c r="Y141" i="7" s="1"/>
  <c r="X195" i="7"/>
  <c r="Y195" i="7" s="1"/>
  <c r="X15" i="7"/>
  <c r="Y15" i="7" s="1"/>
  <c r="X53" i="7"/>
  <c r="Y53" i="7" s="1"/>
  <c r="X57" i="7"/>
  <c r="Y57" i="7" s="1"/>
  <c r="X139" i="7"/>
  <c r="Y139" i="7" s="1"/>
  <c r="X193" i="7"/>
  <c r="Y193" i="7" s="1"/>
  <c r="X69" i="7"/>
  <c r="Y69" i="7" s="1"/>
  <c r="X212" i="7"/>
  <c r="Y212" i="7" s="1"/>
  <c r="X30" i="7"/>
  <c r="Y30" i="7" s="1"/>
  <c r="X64" i="7"/>
  <c r="Y64" i="7" s="1"/>
  <c r="X131" i="7"/>
  <c r="Y131" i="7" s="1"/>
  <c r="X152" i="7"/>
  <c r="Y152" i="7" s="1"/>
  <c r="X151" i="7"/>
  <c r="Y151" i="7" s="1"/>
  <c r="X216" i="7"/>
  <c r="Y216" i="7" s="1"/>
  <c r="X107" i="7"/>
  <c r="Y107" i="7" s="1"/>
  <c r="X99" i="7"/>
  <c r="Y99" i="7" s="1"/>
  <c r="X206" i="7"/>
  <c r="Y206" i="7" s="1"/>
  <c r="X135" i="7"/>
  <c r="Y135" i="7" s="1"/>
  <c r="X79" i="7"/>
  <c r="Y79" i="7" s="1"/>
  <c r="X190" i="7"/>
  <c r="Y190" i="7" s="1"/>
  <c r="X16" i="7"/>
  <c r="Y16" i="7" s="1"/>
  <c r="X45" i="7"/>
  <c r="Y45" i="7" s="1"/>
  <c r="X8" i="7"/>
  <c r="Y8" i="7" s="1"/>
  <c r="X34" i="7"/>
  <c r="Y34" i="7" s="1"/>
  <c r="W230" i="7"/>
  <c r="X230" i="7" s="1"/>
  <c r="Y230" i="7" s="1"/>
  <c r="X48" i="7"/>
  <c r="Y48" i="7" s="1"/>
  <c r="X50" i="7"/>
  <c r="Y50" i="7" s="1"/>
  <c r="X104" i="7"/>
  <c r="Y104" i="7" s="1"/>
  <c r="X35" i="7"/>
  <c r="Y35" i="7" s="1"/>
  <c r="D8" i="20"/>
  <c r="X54" i="7"/>
  <c r="Y54" i="7" s="1"/>
  <c r="X76" i="7"/>
  <c r="Y76" i="7" s="1"/>
  <c r="X113" i="7"/>
  <c r="Y113" i="7" s="1"/>
  <c r="X38" i="7"/>
  <c r="Y38" i="7" s="1"/>
  <c r="X39" i="7"/>
  <c r="Y39" i="7" s="1"/>
  <c r="X112" i="7"/>
  <c r="Y112" i="7" s="1"/>
  <c r="X92" i="7"/>
  <c r="Y92" i="7" s="1"/>
  <c r="X63" i="7"/>
  <c r="Y63" i="7" s="1"/>
  <c r="X192" i="7"/>
  <c r="Y192" i="7" s="1"/>
  <c r="X207" i="7"/>
  <c r="Y207" i="7" s="1"/>
  <c r="W231" i="7"/>
  <c r="X231" i="7" s="1"/>
  <c r="Y231" i="7" s="1"/>
  <c r="X73" i="7"/>
  <c r="Y73" i="7" s="1"/>
  <c r="U21" i="7"/>
  <c r="D9" i="20" s="1"/>
  <c r="V21" i="7"/>
  <c r="E9" i="20" s="1"/>
  <c r="W21" i="7"/>
  <c r="X29" i="7"/>
  <c r="Y29" i="7" s="1"/>
  <c r="X13" i="7"/>
  <c r="Y13" i="7" s="1"/>
  <c r="X143" i="7"/>
  <c r="Y143" i="7" s="1"/>
  <c r="X66" i="7"/>
  <c r="Y66" i="7" s="1"/>
  <c r="X70" i="7"/>
  <c r="Y70" i="7" s="1"/>
  <c r="X137" i="7"/>
  <c r="Y137" i="7" s="1"/>
  <c r="X191" i="7"/>
  <c r="Y191" i="7" s="1"/>
  <c r="M223" i="7"/>
  <c r="N223" i="7" s="1"/>
  <c r="W223" i="7"/>
  <c r="X223" i="7" s="1"/>
  <c r="X197" i="7"/>
  <c r="Y197" i="7" s="1"/>
  <c r="X153" i="7"/>
  <c r="Y153" i="7" s="1"/>
  <c r="W224" i="7"/>
  <c r="X224" i="7" s="1"/>
  <c r="Y224" i="7" s="1"/>
  <c r="M225" i="7"/>
  <c r="N225" i="7" s="1"/>
  <c r="W225" i="7"/>
  <c r="X225" i="7" s="1"/>
  <c r="X133" i="7"/>
  <c r="Y133" i="7" s="1"/>
  <c r="X67" i="7"/>
  <c r="Y67" i="7" s="1"/>
  <c r="X114" i="7"/>
  <c r="Y114" i="7" s="1"/>
  <c r="X189" i="7"/>
  <c r="Y189" i="7" s="1"/>
  <c r="X51" i="7"/>
  <c r="Y51" i="7" s="1"/>
  <c r="X7" i="7"/>
  <c r="Y7" i="7" s="1"/>
  <c r="X80" i="7"/>
  <c r="Y80" i="7" s="1"/>
  <c r="M222" i="7"/>
  <c r="N222" i="7" s="1"/>
  <c r="W222" i="7"/>
  <c r="X222" i="7" s="1"/>
  <c r="X60" i="7"/>
  <c r="Y60" i="7" s="1"/>
  <c r="X52" i="7"/>
  <c r="Y52" i="7" s="1"/>
  <c r="M20" i="7"/>
  <c r="N20" i="7" s="1"/>
  <c r="T20" i="7"/>
  <c r="X20" i="7" s="1"/>
  <c r="M226" i="7"/>
  <c r="N226" i="7" s="1"/>
  <c r="W226" i="7"/>
  <c r="X226" i="7" s="1"/>
  <c r="X108" i="7"/>
  <c r="Y108" i="7" s="1"/>
  <c r="X18" i="7"/>
  <c r="Y18" i="7" s="1"/>
  <c r="X9" i="7"/>
  <c r="Y9" i="7" s="1"/>
  <c r="X115" i="7"/>
  <c r="Y115" i="7" s="1"/>
  <c r="X98" i="7"/>
  <c r="Y98" i="7" s="1"/>
  <c r="X117" i="7"/>
  <c r="Y117" i="7" s="1"/>
  <c r="X3" i="7"/>
  <c r="Y3" i="7" s="1"/>
  <c r="X19" i="7"/>
  <c r="Y19" i="7" s="1"/>
  <c r="X28" i="7"/>
  <c r="Y28" i="7" s="1"/>
  <c r="X100" i="7"/>
  <c r="Y100" i="7" s="1"/>
  <c r="M227" i="7"/>
  <c r="N227" i="7" s="1"/>
  <c r="W227" i="7"/>
  <c r="X227" i="7" s="1"/>
  <c r="X129" i="7"/>
  <c r="Y129" i="7" s="1"/>
  <c r="X150" i="7"/>
  <c r="Y150" i="7" s="1"/>
  <c r="X122" i="7"/>
  <c r="Y122" i="7" s="1"/>
  <c r="X219" i="7"/>
  <c r="Y219" i="7" s="1"/>
  <c r="E8" i="20"/>
  <c r="X82" i="7"/>
  <c r="Y82" i="7" s="1"/>
  <c r="X136" i="7"/>
  <c r="Y136" i="7" s="1"/>
  <c r="X84" i="7"/>
  <c r="Y84" i="7" s="1"/>
  <c r="X213" i="7"/>
  <c r="Y213" i="7" s="1"/>
  <c r="X2" i="7"/>
  <c r="E6" i="20"/>
  <c r="M232" i="7"/>
  <c r="N232" i="7" s="1"/>
  <c r="W232" i="7"/>
  <c r="X232" i="7" s="1"/>
  <c r="M229" i="7"/>
  <c r="N229" i="7" s="1"/>
  <c r="W229" i="7"/>
  <c r="X229" i="7" s="1"/>
  <c r="X199" i="7"/>
  <c r="Y199" i="7" s="1"/>
  <c r="W228" i="7"/>
  <c r="X228" i="7" s="1"/>
  <c r="Y228" i="7" s="1"/>
  <c r="X36" i="7"/>
  <c r="Y36" i="7" s="1"/>
  <c r="X26" i="7"/>
  <c r="Y26" i="7" s="1"/>
  <c r="X205" i="7"/>
  <c r="Y205" i="7" s="1"/>
  <c r="X202" i="7"/>
  <c r="Y202" i="7" s="1"/>
  <c r="X116" i="7"/>
  <c r="Y116" i="7" s="1"/>
  <c r="X148" i="7"/>
  <c r="Y148" i="7" s="1"/>
  <c r="X43" i="7"/>
  <c r="Y43" i="7" s="1"/>
  <c r="X81" i="7"/>
  <c r="Y81" i="7" s="1"/>
  <c r="X127" i="7"/>
  <c r="Y127" i="7" s="1"/>
  <c r="X77" i="7"/>
  <c r="Y77" i="7" s="1"/>
  <c r="X47" i="7"/>
  <c r="Y47" i="7" s="1"/>
  <c r="X119" i="7"/>
  <c r="Y119" i="7" s="1"/>
  <c r="X97" i="7"/>
  <c r="Y97" i="7" s="1"/>
  <c r="X86" i="7"/>
  <c r="Y86" i="7" s="1"/>
  <c r="X105" i="7"/>
  <c r="Y105" i="7" s="1"/>
  <c r="X126" i="7"/>
  <c r="Y126" i="7" s="1"/>
  <c r="X102" i="7"/>
  <c r="Y102" i="7" s="1"/>
  <c r="X123" i="7"/>
  <c r="Y123" i="7" s="1"/>
  <c r="X14" i="7"/>
  <c r="Y14" i="7" s="1"/>
  <c r="X33" i="7"/>
  <c r="Y33" i="7" s="1"/>
  <c r="X93" i="7"/>
  <c r="Y93" i="7" s="1"/>
  <c r="X101" i="7"/>
  <c r="Y101" i="7" s="1"/>
  <c r="E4" i="20"/>
  <c r="D6" i="20"/>
  <c r="X204" i="7"/>
  <c r="Y204" i="7" s="1"/>
  <c r="X132" i="7"/>
  <c r="Y132" i="7" s="1"/>
  <c r="X106" i="7"/>
  <c r="Y106" i="7" s="1"/>
  <c r="X68" i="7"/>
  <c r="Y68" i="7" s="1"/>
  <c r="X209" i="7"/>
  <c r="Y209" i="7" s="1"/>
  <c r="X41" i="7"/>
  <c r="Y41" i="7" s="1"/>
  <c r="X4" i="7"/>
  <c r="Y4" i="7" s="1"/>
  <c r="D4" i="20"/>
  <c r="X72" i="7"/>
  <c r="Y72" i="7" s="1"/>
  <c r="X40" i="7"/>
  <c r="Y40" i="7" s="1"/>
  <c r="X201" i="7"/>
  <c r="Y201" i="7" s="1"/>
  <c r="X208" i="7"/>
  <c r="Y208" i="7" s="1"/>
  <c r="X65" i="7"/>
  <c r="Y65" i="7" s="1"/>
  <c r="X49" i="7"/>
  <c r="Y49" i="7" s="1"/>
  <c r="X58" i="7"/>
  <c r="Y58" i="7" s="1"/>
  <c r="X6" i="7"/>
  <c r="Y6" i="7" s="1"/>
  <c r="C6" i="20"/>
  <c r="X87" i="7"/>
  <c r="Y87" i="7" s="1"/>
  <c r="X140" i="7"/>
  <c r="Y140" i="7" s="1"/>
  <c r="X194" i="7"/>
  <c r="Y194" i="7" s="1"/>
  <c r="X83" i="7"/>
  <c r="Y83" i="7" s="1"/>
  <c r="X138" i="7"/>
  <c r="Y138" i="7" s="1"/>
  <c r="X120" i="7"/>
  <c r="Y120" i="7" s="1"/>
  <c r="X221" i="7"/>
  <c r="Y221" i="7" s="1"/>
  <c r="X220" i="7"/>
  <c r="Y220" i="7" s="1"/>
  <c r="X74" i="7"/>
  <c r="Y74" i="7" s="1"/>
  <c r="X42" i="7"/>
  <c r="Y42" i="7" s="1"/>
  <c r="X147" i="7"/>
  <c r="Y147" i="7" s="1"/>
  <c r="C4" i="20"/>
  <c r="X37" i="7"/>
  <c r="Y37" i="7" s="1"/>
  <c r="X11" i="7"/>
  <c r="Y11" i="7" s="1"/>
  <c r="X94" i="7"/>
  <c r="Y94" i="7" s="1"/>
  <c r="X200" i="7"/>
  <c r="Y200" i="7" s="1"/>
  <c r="X91" i="7"/>
  <c r="Y91" i="7" s="1"/>
  <c r="X144" i="7"/>
  <c r="Y144" i="7" s="1"/>
  <c r="X198" i="7"/>
  <c r="Y198" i="7" s="1"/>
  <c r="X154" i="7"/>
  <c r="Y154" i="7" s="1"/>
  <c r="X62" i="7"/>
  <c r="Y62" i="7" s="1"/>
  <c r="X25" i="7"/>
  <c r="Y25" i="7" s="1"/>
  <c r="X17" i="7"/>
  <c r="Y17" i="7" s="1"/>
  <c r="X88" i="7"/>
  <c r="Y88" i="7" s="1"/>
  <c r="X146" i="7"/>
  <c r="Y146" i="7" s="1"/>
  <c r="X218" i="7"/>
  <c r="Y218" i="7" s="1"/>
  <c r="X89" i="7"/>
  <c r="Y89" i="7" s="1"/>
  <c r="X142" i="7"/>
  <c r="Y142" i="7" s="1"/>
  <c r="X85" i="7"/>
  <c r="Y85" i="7" s="1"/>
  <c r="X71" i="7"/>
  <c r="Y71" i="7" s="1"/>
  <c r="X5" i="7"/>
  <c r="Y5" i="7" s="1"/>
  <c r="X111" i="7"/>
  <c r="Y111" i="7" s="1"/>
  <c r="X24" i="7"/>
  <c r="Y24" i="7" s="1"/>
  <c r="X217" i="7"/>
  <c r="Y217" i="7" s="1"/>
  <c r="X90" i="7"/>
  <c r="Y90" i="7" s="1"/>
  <c r="X12" i="7"/>
  <c r="Y12" i="7" s="1"/>
  <c r="X10" i="7"/>
  <c r="Y10" i="7" s="1"/>
  <c r="X211" i="7"/>
  <c r="Y211" i="7" s="1"/>
  <c r="X203" i="7"/>
  <c r="Y203" i="7" s="1"/>
  <c r="E5" i="20"/>
  <c r="X130" i="7"/>
  <c r="Y130" i="7" s="1"/>
  <c r="X214" i="7"/>
  <c r="Y214" i="7" s="1"/>
  <c r="D5" i="20"/>
  <c r="X61" i="7"/>
  <c r="Y61" i="7" s="1"/>
  <c r="X78" i="7"/>
  <c r="Y78" i="7" s="1"/>
  <c r="X31" i="7"/>
  <c r="Y31" i="7" s="1"/>
  <c r="X32" i="7"/>
  <c r="Y32" i="7" s="1"/>
  <c r="X46" i="7"/>
  <c r="Y46" i="7" s="1"/>
  <c r="X103" i="7"/>
  <c r="Y103" i="7" s="1"/>
  <c r="X124" i="7"/>
  <c r="Y124" i="7" s="1"/>
  <c r="X145" i="7"/>
  <c r="Y145" i="7" s="1"/>
  <c r="X210" i="7"/>
  <c r="Y210" i="7" s="1"/>
  <c r="X134" i="7"/>
  <c r="Y134" i="7" s="1"/>
  <c r="X155" i="7"/>
  <c r="Y155" i="7" s="1"/>
  <c r="X215" i="7"/>
  <c r="Y215" i="7" s="1"/>
  <c r="X125" i="7"/>
  <c r="Y125" i="7" s="1"/>
  <c r="X59" i="7"/>
  <c r="Y59" i="7" s="1"/>
  <c r="X27" i="7"/>
  <c r="Y27" i="7" s="1"/>
  <c r="X121" i="7"/>
  <c r="Y121" i="7" s="1"/>
  <c r="X196" i="7"/>
  <c r="Y196" i="7" s="1"/>
  <c r="X118" i="7"/>
  <c r="Y118" i="7" s="1"/>
  <c r="X96" i="7"/>
  <c r="Y96" i="7" s="1"/>
  <c r="C5" i="20"/>
  <c r="X95" i="7"/>
  <c r="Y95" i="7" s="1"/>
  <c r="X55" i="7"/>
  <c r="Y55" i="7" s="1"/>
  <c r="X56" i="7"/>
  <c r="Y56" i="7" s="1"/>
  <c r="X110" i="7"/>
  <c r="Y110" i="7" s="1"/>
  <c r="X109" i="7"/>
  <c r="Y109" i="7" s="1"/>
  <c r="X128" i="7"/>
  <c r="Y128" i="7" s="1"/>
  <c r="X149" i="7"/>
  <c r="Y149" i="7" s="1"/>
  <c r="X75" i="7"/>
  <c r="Y75" i="7" s="1"/>
  <c r="H24" i="18"/>
  <c r="I24" i="18" s="1"/>
  <c r="K24" i="18" s="1"/>
  <c r="F24" i="18"/>
  <c r="I21" i="7"/>
  <c r="T21" i="7" s="1"/>
  <c r="C9" i="20" s="1"/>
  <c r="K22" i="7"/>
  <c r="F22" i="7"/>
  <c r="N51" i="14" s="1"/>
  <c r="N52" i="14" s="1"/>
  <c r="H22" i="7"/>
  <c r="G22" i="7"/>
  <c r="L248" i="7" l="1"/>
  <c r="L247" i="7"/>
  <c r="L254" i="7"/>
  <c r="L246" i="7"/>
  <c r="L253" i="7"/>
  <c r="L245" i="7"/>
  <c r="L252" i="7"/>
  <c r="L244" i="7"/>
  <c r="L251" i="7"/>
  <c r="L249" i="7"/>
  <c r="L250" i="7"/>
  <c r="K40" i="21"/>
  <c r="K14" i="21"/>
  <c r="Q42" i="13"/>
  <c r="T42" i="13" s="1"/>
  <c r="Y225" i="7"/>
  <c r="Y223" i="7"/>
  <c r="Y222" i="7"/>
  <c r="C8" i="20"/>
  <c r="Y226" i="7"/>
  <c r="Y232" i="7"/>
  <c r="Y227" i="7"/>
  <c r="M236" i="7"/>
  <c r="N236" i="7" s="1"/>
  <c r="I29" i="13" s="1"/>
  <c r="E9" i="21" s="1"/>
  <c r="W236" i="7"/>
  <c r="Y20" i="7"/>
  <c r="M241" i="7"/>
  <c r="N241" i="7" s="1"/>
  <c r="W241" i="7"/>
  <c r="M243" i="7"/>
  <c r="N243" i="7" s="1"/>
  <c r="P29" i="13" s="1"/>
  <c r="H9" i="21" s="1"/>
  <c r="W243" i="7"/>
  <c r="X243" i="7" s="1"/>
  <c r="Y229" i="7"/>
  <c r="X21" i="7"/>
  <c r="U22" i="7"/>
  <c r="V22" i="7"/>
  <c r="W22" i="7"/>
  <c r="Y2" i="7"/>
  <c r="M240" i="7"/>
  <c r="N240" i="7" s="1"/>
  <c r="M29" i="13" s="1"/>
  <c r="W240" i="7"/>
  <c r="M233" i="7"/>
  <c r="N233" i="7" s="1"/>
  <c r="F29" i="13" s="1"/>
  <c r="D9" i="21" s="1"/>
  <c r="W233" i="7"/>
  <c r="M238" i="7"/>
  <c r="N238" i="7" s="1"/>
  <c r="W238" i="7"/>
  <c r="M239" i="7"/>
  <c r="N239" i="7" s="1"/>
  <c r="L29" i="13" s="1"/>
  <c r="W239" i="7"/>
  <c r="X239" i="7" s="1"/>
  <c r="M242" i="7"/>
  <c r="N242" i="7" s="1"/>
  <c r="O29" i="13" s="1"/>
  <c r="I9" i="21" s="1"/>
  <c r="W242" i="7"/>
  <c r="X242" i="7" s="1"/>
  <c r="M235" i="7"/>
  <c r="N235" i="7" s="1"/>
  <c r="H29" i="13" s="1"/>
  <c r="F9" i="21" s="1"/>
  <c r="W235" i="7"/>
  <c r="M234" i="7"/>
  <c r="N234" i="7" s="1"/>
  <c r="W234" i="7"/>
  <c r="X234" i="7" s="1"/>
  <c r="M237" i="7"/>
  <c r="N237" i="7" s="1"/>
  <c r="W237" i="7"/>
  <c r="H25" i="18"/>
  <c r="I25" i="18" s="1"/>
  <c r="K25" i="18" s="1"/>
  <c r="F25" i="18"/>
  <c r="M21" i="7"/>
  <c r="N21" i="7" s="1"/>
  <c r="N9" i="13" s="1"/>
  <c r="L16" i="13"/>
  <c r="P28" i="13"/>
  <c r="H51" i="21" s="1"/>
  <c r="L20" i="13"/>
  <c r="L15" i="13"/>
  <c r="L25" i="13"/>
  <c r="L28" i="13"/>
  <c r="L18" i="13"/>
  <c r="L19" i="13"/>
  <c r="L26" i="13"/>
  <c r="L21" i="13"/>
  <c r="L17" i="13"/>
  <c r="J23" i="7"/>
  <c r="L8" i="13"/>
  <c r="L9" i="13"/>
  <c r="L13" i="13"/>
  <c r="L12" i="13"/>
  <c r="L27" i="13"/>
  <c r="L11" i="13"/>
  <c r="L14" i="13"/>
  <c r="L10" i="13"/>
  <c r="P27" i="13"/>
  <c r="H36" i="21" s="1"/>
  <c r="I27" i="13"/>
  <c r="E36" i="21" s="1"/>
  <c r="I21" i="13"/>
  <c r="E33" i="21" s="1"/>
  <c r="F11" i="13"/>
  <c r="D41" i="21" s="1"/>
  <c r="I15" i="13"/>
  <c r="E46" i="21" s="1"/>
  <c r="P17" i="13"/>
  <c r="H47" i="21" s="1"/>
  <c r="M26" i="13"/>
  <c r="N21" i="13"/>
  <c r="F28" i="13"/>
  <c r="D51" i="21" s="1"/>
  <c r="N8" i="13"/>
  <c r="O10" i="13"/>
  <c r="I37" i="21" s="1"/>
  <c r="I45" i="21"/>
  <c r="I10" i="13"/>
  <c r="E37" i="21" s="1"/>
  <c r="M27" i="13"/>
  <c r="N19" i="13"/>
  <c r="H27" i="13"/>
  <c r="F36" i="21" s="1"/>
  <c r="M15" i="13"/>
  <c r="O17" i="13"/>
  <c r="I47" i="21" s="1"/>
  <c r="O26" i="13"/>
  <c r="I5" i="21" s="1"/>
  <c r="F45" i="21"/>
  <c r="N17" i="13"/>
  <c r="H10" i="13"/>
  <c r="F37" i="21" s="1"/>
  <c r="D45" i="21"/>
  <c r="N15" i="13"/>
  <c r="H45" i="21"/>
  <c r="P13" i="13"/>
  <c r="H17" i="21" s="1"/>
  <c r="K9" i="13"/>
  <c r="F21" i="13"/>
  <c r="D33" i="21" s="1"/>
  <c r="N26" i="13"/>
  <c r="J18" i="13"/>
  <c r="I13" i="13"/>
  <c r="E17" i="21" s="1"/>
  <c r="N13" i="13"/>
  <c r="P15" i="13"/>
  <c r="H46" i="21" s="1"/>
  <c r="H15" i="13"/>
  <c r="F46" i="21" s="1"/>
  <c r="I11" i="13"/>
  <c r="E41" i="21" s="1"/>
  <c r="H17" i="13"/>
  <c r="F47" i="21" s="1"/>
  <c r="N11" i="13"/>
  <c r="O27" i="13"/>
  <c r="I36" i="21" s="1"/>
  <c r="G9" i="13"/>
  <c r="E45" i="21"/>
  <c r="I22" i="7"/>
  <c r="T22" i="7" s="1"/>
  <c r="K23" i="7"/>
  <c r="M14" i="13"/>
  <c r="M17" i="13"/>
  <c r="G10" i="13"/>
  <c r="M10" i="13"/>
  <c r="I17" i="13"/>
  <c r="E47" i="21" s="1"/>
  <c r="P21" i="13"/>
  <c r="H33" i="21" s="1"/>
  <c r="I26" i="13"/>
  <c r="E5" i="21" s="1"/>
  <c r="F8" i="13"/>
  <c r="D44" i="21" s="1"/>
  <c r="H8" i="13"/>
  <c r="F44" i="21" s="1"/>
  <c r="N27" i="13"/>
  <c r="J9" i="13"/>
  <c r="F15" i="13"/>
  <c r="D46" i="21" s="1"/>
  <c r="O8" i="13"/>
  <c r="I44" i="21" s="1"/>
  <c r="G23" i="7"/>
  <c r="F23" i="7"/>
  <c r="O51" i="14" s="1"/>
  <c r="O52" i="14" s="1"/>
  <c r="H23" i="7"/>
  <c r="J29" i="13"/>
  <c r="G26" i="13"/>
  <c r="J20" i="13"/>
  <c r="J16" i="13"/>
  <c r="J15" i="13"/>
  <c r="G21" i="13"/>
  <c r="K11" i="13"/>
  <c r="J8" i="13"/>
  <c r="J10" i="13"/>
  <c r="M8" i="13"/>
  <c r="G25" i="13"/>
  <c r="J27" i="13"/>
  <c r="K18" i="13"/>
  <c r="G13" i="13"/>
  <c r="K28" i="13"/>
  <c r="K10" i="13"/>
  <c r="J21" i="13"/>
  <c r="G12" i="13"/>
  <c r="G11" i="13"/>
  <c r="G15" i="13"/>
  <c r="J17" i="13"/>
  <c r="J11" i="13"/>
  <c r="G17" i="13"/>
  <c r="G20" i="13"/>
  <c r="K27" i="13"/>
  <c r="G27" i="13"/>
  <c r="J13" i="13"/>
  <c r="K16" i="13"/>
  <c r="K12" i="13"/>
  <c r="K14" i="13"/>
  <c r="G28" i="13"/>
  <c r="G16" i="13"/>
  <c r="G8" i="13"/>
  <c r="G18" i="13"/>
  <c r="K21" i="13"/>
  <c r="K25" i="13"/>
  <c r="J12" i="13"/>
  <c r="K8" i="13"/>
  <c r="K19" i="13"/>
  <c r="J19" i="13"/>
  <c r="K17" i="13"/>
  <c r="K26" i="13"/>
  <c r="J28" i="13"/>
  <c r="J25" i="13"/>
  <c r="K13" i="13"/>
  <c r="P8" i="13"/>
  <c r="H44" i="21" s="1"/>
  <c r="K20" i="13"/>
  <c r="J14" i="13"/>
  <c r="K15" i="13"/>
  <c r="G19" i="13"/>
  <c r="G14" i="13"/>
  <c r="J26" i="13"/>
  <c r="H21" i="13"/>
  <c r="F33" i="21" s="1"/>
  <c r="F26" i="13"/>
  <c r="D5" i="21" s="1"/>
  <c r="H9" i="13"/>
  <c r="F30" i="21" s="1"/>
  <c r="H26" i="13"/>
  <c r="F5" i="21" s="1"/>
  <c r="M9" i="13"/>
  <c r="M11" i="13"/>
  <c r="H19" i="13"/>
  <c r="F25" i="21" s="1"/>
  <c r="N10" i="13"/>
  <c r="M20" i="13"/>
  <c r="F12" i="13"/>
  <c r="D48" i="21" s="1"/>
  <c r="P26" i="13"/>
  <c r="H5" i="21" s="1"/>
  <c r="M19" i="13"/>
  <c r="I8" i="21"/>
  <c r="I16" i="13"/>
  <c r="E34" i="21" s="1"/>
  <c r="F27" i="13"/>
  <c r="D36" i="21" s="1"/>
  <c r="O19" i="13"/>
  <c r="I25" i="21" s="1"/>
  <c r="H8" i="21"/>
  <c r="F25" i="13"/>
  <c r="D23" i="21" s="1"/>
  <c r="H11" i="13"/>
  <c r="F41" i="21" s="1"/>
  <c r="I18" i="13"/>
  <c r="E35" i="21" s="1"/>
  <c r="D8" i="21"/>
  <c r="I8" i="13"/>
  <c r="E44" i="21" s="1"/>
  <c r="F20" i="13"/>
  <c r="D49" i="21" s="1"/>
  <c r="F9" i="13"/>
  <c r="D30" i="21" s="1"/>
  <c r="H12" i="13"/>
  <c r="F48" i="21" s="1"/>
  <c r="H16" i="13"/>
  <c r="F34" i="21" s="1"/>
  <c r="N14" i="13"/>
  <c r="E8" i="21"/>
  <c r="M12" i="13"/>
  <c r="I12" i="13"/>
  <c r="E48" i="21" s="1"/>
  <c r="I19" i="13"/>
  <c r="E25" i="21" s="1"/>
  <c r="F10" i="13"/>
  <c r="D37" i="21" s="1"/>
  <c r="O12" i="13"/>
  <c r="I48" i="21" s="1"/>
  <c r="O16" i="13"/>
  <c r="I34" i="21" s="1"/>
  <c r="M25" i="13"/>
  <c r="I28" i="13"/>
  <c r="E51" i="21" s="1"/>
  <c r="N16" i="13"/>
  <c r="H13" i="13"/>
  <c r="F17" i="21" s="1"/>
  <c r="M18" i="13"/>
  <c r="O25" i="13"/>
  <c r="I23" i="21" s="1"/>
  <c r="I14" i="13"/>
  <c r="E10" i="21" s="1"/>
  <c r="N25" i="13"/>
  <c r="O21" i="13"/>
  <c r="I33" i="21" s="1"/>
  <c r="O14" i="13"/>
  <c r="I10" i="21" s="1"/>
  <c r="N18" i="13"/>
  <c r="O13" i="13"/>
  <c r="I17" i="21" s="1"/>
  <c r="P14" i="13"/>
  <c r="H10" i="21" s="1"/>
  <c r="H18" i="13"/>
  <c r="F35" i="21" s="1"/>
  <c r="I20" i="13"/>
  <c r="E49" i="21" s="1"/>
  <c r="P16" i="13"/>
  <c r="H34" i="21" s="1"/>
  <c r="H20" i="13"/>
  <c r="F49" i="21" s="1"/>
  <c r="F17" i="13"/>
  <c r="D47" i="21" s="1"/>
  <c r="I9" i="13"/>
  <c r="E30" i="21" s="1"/>
  <c r="M13" i="13"/>
  <c r="N28" i="13"/>
  <c r="H25" i="13"/>
  <c r="F23" i="21" s="1"/>
  <c r="P18" i="13"/>
  <c r="H35" i="21" s="1"/>
  <c r="N12" i="13"/>
  <c r="O11" i="13"/>
  <c r="I41" i="21" s="1"/>
  <c r="F8" i="21"/>
  <c r="F14" i="13"/>
  <c r="D10" i="21" s="1"/>
  <c r="F13" i="13"/>
  <c r="D17" i="21" s="1"/>
  <c r="O28" i="13"/>
  <c r="I51" i="21" s="1"/>
  <c r="O18" i="13"/>
  <c r="I35" i="21" s="1"/>
  <c r="P25" i="13"/>
  <c r="H23" i="21" s="1"/>
  <c r="F19" i="13"/>
  <c r="D25" i="21" s="1"/>
  <c r="N29" i="13"/>
  <c r="M16" i="13"/>
  <c r="O20" i="13"/>
  <c r="I49" i="21" s="1"/>
  <c r="H14" i="13"/>
  <c r="F10" i="21" s="1"/>
  <c r="M21" i="13"/>
  <c r="H28" i="13"/>
  <c r="F51" i="21" s="1"/>
  <c r="P19" i="13"/>
  <c r="H25" i="21" s="1"/>
  <c r="N20" i="13"/>
  <c r="P11" i="13"/>
  <c r="H41" i="21" s="1"/>
  <c r="M28" i="13"/>
  <c r="P20" i="13"/>
  <c r="H49" i="21" s="1"/>
  <c r="P10" i="13"/>
  <c r="H37" i="21" s="1"/>
  <c r="F18" i="13"/>
  <c r="D35" i="21" s="1"/>
  <c r="I25" i="13"/>
  <c r="E23" i="21" s="1"/>
  <c r="F16" i="13"/>
  <c r="D34" i="21" s="1"/>
  <c r="O15" i="13"/>
  <c r="I46" i="21" s="1"/>
  <c r="P12" i="13"/>
  <c r="H48" i="21" s="1"/>
  <c r="L264" i="7" l="1"/>
  <c r="L256" i="7"/>
  <c r="L263" i="7"/>
  <c r="L255" i="7"/>
  <c r="L265" i="7"/>
  <c r="L262" i="7"/>
  <c r="L257" i="7"/>
  <c r="L261" i="7"/>
  <c r="L260" i="7"/>
  <c r="L259" i="7"/>
  <c r="L258" i="7"/>
  <c r="G9" i="21"/>
  <c r="K9" i="21" s="1"/>
  <c r="G46" i="21"/>
  <c r="K46" i="21" s="1"/>
  <c r="G47" i="21"/>
  <c r="K47" i="21" s="1"/>
  <c r="G10" i="21"/>
  <c r="K10" i="21" s="1"/>
  <c r="G45" i="21"/>
  <c r="K45" i="21" s="1"/>
  <c r="I43" i="21"/>
  <c r="G29" i="13"/>
  <c r="G5" i="21"/>
  <c r="K5" i="21" s="1"/>
  <c r="H43" i="21"/>
  <c r="E43" i="21"/>
  <c r="G36" i="21"/>
  <c r="K36" i="21" s="1"/>
  <c r="G37" i="21"/>
  <c r="K37" i="21" s="1"/>
  <c r="F43" i="21"/>
  <c r="G51" i="21"/>
  <c r="K51" i="21" s="1"/>
  <c r="G41" i="21"/>
  <c r="K41" i="21" s="1"/>
  <c r="G17" i="21"/>
  <c r="K17" i="21" s="1"/>
  <c r="G25" i="21"/>
  <c r="K25" i="21" s="1"/>
  <c r="G34" i="21"/>
  <c r="K34" i="21" s="1"/>
  <c r="G49" i="21"/>
  <c r="K49" i="21" s="1"/>
  <c r="G30" i="21"/>
  <c r="G33" i="21"/>
  <c r="K33" i="21" s="1"/>
  <c r="G35" i="21"/>
  <c r="K35" i="21" s="1"/>
  <c r="G8" i="21"/>
  <c r="K8" i="21" s="1"/>
  <c r="G23" i="21"/>
  <c r="K23" i="21" s="1"/>
  <c r="G48" i="21"/>
  <c r="K48" i="21" s="1"/>
  <c r="G44" i="21"/>
  <c r="D43" i="21"/>
  <c r="K29" i="13"/>
  <c r="Y234" i="7"/>
  <c r="Y242" i="7"/>
  <c r="C10" i="20"/>
  <c r="U23" i="7"/>
  <c r="D11" i="20" s="1"/>
  <c r="V23" i="7"/>
  <c r="E11" i="20" s="1"/>
  <c r="W23" i="7"/>
  <c r="M245" i="7"/>
  <c r="N245" i="7" s="1"/>
  <c r="W245" i="7"/>
  <c r="X245" i="7" s="1"/>
  <c r="Y239" i="7"/>
  <c r="Y243" i="7"/>
  <c r="M248" i="7"/>
  <c r="N248" i="7" s="1"/>
  <c r="J30" i="13" s="1"/>
  <c r="W248" i="7"/>
  <c r="X248" i="7" s="1"/>
  <c r="M246" i="7"/>
  <c r="N246" i="7" s="1"/>
  <c r="H30" i="13" s="1"/>
  <c r="F53" i="21" s="1"/>
  <c r="W246" i="7"/>
  <c r="X246" i="7" s="1"/>
  <c r="M249" i="7"/>
  <c r="N249" i="7" s="1"/>
  <c r="W249" i="7"/>
  <c r="X238" i="7"/>
  <c r="Y238" i="7" s="1"/>
  <c r="X241" i="7"/>
  <c r="Y241" i="7" s="1"/>
  <c r="M252" i="7"/>
  <c r="N252" i="7" s="1"/>
  <c r="W252" i="7"/>
  <c r="X252" i="7" s="1"/>
  <c r="M254" i="7"/>
  <c r="N254" i="7" s="1"/>
  <c r="P30" i="13" s="1"/>
  <c r="H53" i="21" s="1"/>
  <c r="W254" i="7"/>
  <c r="X254" i="7" s="1"/>
  <c r="X235" i="7"/>
  <c r="Y235" i="7" s="1"/>
  <c r="M251" i="7"/>
  <c r="N251" i="7" s="1"/>
  <c r="M30" i="13" s="1"/>
  <c r="W251" i="7"/>
  <c r="X251" i="7" s="1"/>
  <c r="M247" i="7"/>
  <c r="N247" i="7" s="1"/>
  <c r="I30" i="13" s="1"/>
  <c r="E53" i="21" s="1"/>
  <c r="W247" i="7"/>
  <c r="X247" i="7" s="1"/>
  <c r="X233" i="7"/>
  <c r="Y233" i="7" s="1"/>
  <c r="E10" i="20"/>
  <c r="M250" i="7"/>
  <c r="N250" i="7" s="1"/>
  <c r="L30" i="13" s="1"/>
  <c r="W250" i="7"/>
  <c r="X250" i="7" s="1"/>
  <c r="X22" i="7"/>
  <c r="D10" i="20"/>
  <c r="M253" i="7"/>
  <c r="N253" i="7" s="1"/>
  <c r="O30" i="13" s="1"/>
  <c r="I53" i="21" s="1"/>
  <c r="W253" i="7"/>
  <c r="X253" i="7" s="1"/>
  <c r="X240" i="7"/>
  <c r="Y240" i="7" s="1"/>
  <c r="Y21" i="7"/>
  <c r="X236" i="7"/>
  <c r="Y236" i="7" s="1"/>
  <c r="M244" i="7"/>
  <c r="N244" i="7" s="1"/>
  <c r="F30" i="13" s="1"/>
  <c r="D53" i="21" s="1"/>
  <c r="W244" i="7"/>
  <c r="X244" i="7" s="1"/>
  <c r="X237" i="7"/>
  <c r="Y237" i="7" s="1"/>
  <c r="H26" i="18"/>
  <c r="I26" i="18" s="1"/>
  <c r="K26" i="18" s="1"/>
  <c r="F26" i="18"/>
  <c r="M22" i="7"/>
  <c r="I23" i="7"/>
  <c r="T23" i="7" s="1"/>
  <c r="C3" i="20" s="1"/>
  <c r="Q13" i="13"/>
  <c r="T13" i="13" s="1"/>
  <c r="Q18" i="13"/>
  <c r="T18" i="13" s="1"/>
  <c r="Q28" i="13"/>
  <c r="T28" i="13" s="1"/>
  <c r="Q15" i="13"/>
  <c r="T15" i="13" s="1"/>
  <c r="Q21" i="13"/>
  <c r="T21" i="13" s="1"/>
  <c r="Q20" i="13"/>
  <c r="T20" i="13" s="1"/>
  <c r="Q25" i="13"/>
  <c r="T25" i="13" s="1"/>
  <c r="Q12" i="13"/>
  <c r="T12" i="13" s="1"/>
  <c r="Q8" i="13"/>
  <c r="T8" i="13" s="1"/>
  <c r="Q11" i="13"/>
  <c r="T11" i="13" s="1"/>
  <c r="Q26" i="13"/>
  <c r="T26" i="13" s="1"/>
  <c r="Q16" i="13"/>
  <c r="T16" i="13" s="1"/>
  <c r="Q14" i="13"/>
  <c r="T14" i="13" s="1"/>
  <c r="Q17" i="13"/>
  <c r="T17" i="13" s="1"/>
  <c r="Q19" i="13"/>
  <c r="T19" i="13" s="1"/>
  <c r="Q10" i="13"/>
  <c r="T10" i="13" s="1"/>
  <c r="Q27" i="13"/>
  <c r="T27" i="13" s="1"/>
  <c r="G43" i="21" l="1"/>
  <c r="K43" i="21" s="1"/>
  <c r="L272" i="7"/>
  <c r="L271" i="7"/>
  <c r="L270" i="7"/>
  <c r="L269" i="7"/>
  <c r="L276" i="7"/>
  <c r="L268" i="7"/>
  <c r="L273" i="7"/>
  <c r="L275" i="7"/>
  <c r="L267" i="7"/>
  <c r="L274" i="7"/>
  <c r="L266" i="7"/>
  <c r="X249" i="7"/>
  <c r="Y249" i="7" s="1"/>
  <c r="Y244" i="7"/>
  <c r="Q29" i="13"/>
  <c r="T29" i="13" s="1"/>
  <c r="G53" i="21"/>
  <c r="K53" i="21" s="1"/>
  <c r="K44" i="21"/>
  <c r="N30" i="13"/>
  <c r="Y251" i="7"/>
  <c r="Y248" i="7"/>
  <c r="D3" i="20"/>
  <c r="D12" i="20" s="1"/>
  <c r="Y254" i="7"/>
  <c r="E3" i="20"/>
  <c r="E12" i="20" s="1"/>
  <c r="Y253" i="7"/>
  <c r="Y247" i="7"/>
  <c r="X23" i="7"/>
  <c r="C11" i="20"/>
  <c r="M265" i="7"/>
  <c r="N265" i="7" s="1"/>
  <c r="P31" i="13" s="1"/>
  <c r="H42" i="21" s="1"/>
  <c r="W265" i="7"/>
  <c r="X265" i="7" s="1"/>
  <c r="M262" i="7"/>
  <c r="N262" i="7" s="1"/>
  <c r="M31" i="13" s="1"/>
  <c r="W262" i="7"/>
  <c r="M259" i="7"/>
  <c r="N259" i="7" s="1"/>
  <c r="J31" i="13" s="1"/>
  <c r="W259" i="7"/>
  <c r="M255" i="7"/>
  <c r="N255" i="7" s="1"/>
  <c r="F31" i="13" s="1"/>
  <c r="D42" i="21" s="1"/>
  <c r="W255" i="7"/>
  <c r="X255" i="7" s="1"/>
  <c r="M261" i="7"/>
  <c r="N261" i="7" s="1"/>
  <c r="L31" i="13" s="1"/>
  <c r="W261" i="7"/>
  <c r="X261" i="7" s="1"/>
  <c r="M257" i="7"/>
  <c r="N257" i="7" s="1"/>
  <c r="W257" i="7"/>
  <c r="Y250" i="7"/>
  <c r="K30" i="13"/>
  <c r="Y245" i="7"/>
  <c r="G30" i="13"/>
  <c r="Y252" i="7"/>
  <c r="Y246" i="7"/>
  <c r="M264" i="7"/>
  <c r="N264" i="7" s="1"/>
  <c r="O31" i="13" s="1"/>
  <c r="I42" i="21" s="1"/>
  <c r="W264" i="7"/>
  <c r="X264" i="7" s="1"/>
  <c r="M258" i="7"/>
  <c r="N258" i="7" s="1"/>
  <c r="I31" i="13" s="1"/>
  <c r="E42" i="21" s="1"/>
  <c r="W258" i="7"/>
  <c r="M260" i="7"/>
  <c r="N260" i="7" s="1"/>
  <c r="W260" i="7"/>
  <c r="M263" i="7"/>
  <c r="N263" i="7" s="1"/>
  <c r="W263" i="7"/>
  <c r="M256" i="7"/>
  <c r="N256" i="7" s="1"/>
  <c r="W256" i="7"/>
  <c r="X256" i="7" s="1"/>
  <c r="N22" i="7"/>
  <c r="O9" i="13" s="1"/>
  <c r="I30" i="21" s="1"/>
  <c r="M23" i="7"/>
  <c r="G42" i="21" l="1"/>
  <c r="G31" i="13"/>
  <c r="K31" i="13"/>
  <c r="N31" i="13"/>
  <c r="C12" i="20"/>
  <c r="Y264" i="7"/>
  <c r="Q30" i="13"/>
  <c r="T30" i="13" s="1"/>
  <c r="Y261" i="7"/>
  <c r="Y265" i="7"/>
  <c r="M270" i="7"/>
  <c r="N270" i="7" s="1"/>
  <c r="J32" i="13" s="1"/>
  <c r="W270" i="7"/>
  <c r="X270" i="7" s="1"/>
  <c r="M271" i="7"/>
  <c r="N271" i="7" s="1"/>
  <c r="W271" i="7"/>
  <c r="X271" i="7" s="1"/>
  <c r="M269" i="7"/>
  <c r="N269" i="7" s="1"/>
  <c r="W269" i="7"/>
  <c r="X269" i="7" s="1"/>
  <c r="X257" i="7"/>
  <c r="Y257" i="7" s="1"/>
  <c r="M266" i="7"/>
  <c r="N266" i="7" s="1"/>
  <c r="F32" i="13" s="1"/>
  <c r="D52" i="21" s="1"/>
  <c r="W266" i="7"/>
  <c r="H31" i="13"/>
  <c r="F42" i="21" s="1"/>
  <c r="X262" i="7"/>
  <c r="Y262" i="7" s="1"/>
  <c r="M275" i="7"/>
  <c r="N275" i="7" s="1"/>
  <c r="O32" i="13" s="1"/>
  <c r="I52" i="21" s="1"/>
  <c r="W275" i="7"/>
  <c r="X275" i="7" s="1"/>
  <c r="Y256" i="7"/>
  <c r="X260" i="7"/>
  <c r="Y260" i="7" s="1"/>
  <c r="M274" i="7"/>
  <c r="N274" i="7" s="1"/>
  <c r="W274" i="7"/>
  <c r="X274" i="7" s="1"/>
  <c r="X263" i="7"/>
  <c r="Y263" i="7" s="1"/>
  <c r="X258" i="7"/>
  <c r="Y258" i="7" s="1"/>
  <c r="Y22" i="7"/>
  <c r="Y255" i="7"/>
  <c r="M268" i="7"/>
  <c r="N268" i="7" s="1"/>
  <c r="H32" i="13" s="1"/>
  <c r="F52" i="21" s="1"/>
  <c r="W268" i="7"/>
  <c r="X268" i="7" s="1"/>
  <c r="X259" i="7"/>
  <c r="Y259" i="7" s="1"/>
  <c r="M272" i="7"/>
  <c r="N272" i="7" s="1"/>
  <c r="L32" i="13" s="1"/>
  <c r="W272" i="7"/>
  <c r="X272" i="7" s="1"/>
  <c r="M276" i="7"/>
  <c r="N276" i="7" s="1"/>
  <c r="P32" i="13" s="1"/>
  <c r="H52" i="21" s="1"/>
  <c r="W276" i="7"/>
  <c r="M273" i="7"/>
  <c r="N273" i="7" s="1"/>
  <c r="W273" i="7"/>
  <c r="X273" i="7" s="1"/>
  <c r="M267" i="7"/>
  <c r="N267" i="7" s="1"/>
  <c r="W267" i="7"/>
  <c r="X267" i="7" s="1"/>
  <c r="H27" i="18"/>
  <c r="I27" i="18" s="1"/>
  <c r="K27" i="18" s="1"/>
  <c r="F27" i="18"/>
  <c r="N23" i="7"/>
  <c r="P9" i="13" s="1"/>
  <c r="L285" i="7" l="1"/>
  <c r="L277" i="7"/>
  <c r="L286" i="7"/>
  <c r="L284" i="7"/>
  <c r="L283" i="7"/>
  <c r="L282" i="7"/>
  <c r="L281" i="7"/>
  <c r="L280" i="7"/>
  <c r="L287" i="7"/>
  <c r="L279" i="7"/>
  <c r="L278" i="7"/>
  <c r="K42" i="21"/>
  <c r="K32" i="13"/>
  <c r="Q9" i="13"/>
  <c r="T9" i="13" s="1"/>
  <c r="H30" i="21"/>
  <c r="K30" i="21" s="1"/>
  <c r="Q31" i="13"/>
  <c r="T31" i="13" s="1"/>
  <c r="Y23" i="7"/>
  <c r="Y267" i="7"/>
  <c r="N32" i="13"/>
  <c r="G32" i="13"/>
  <c r="Y272" i="7"/>
  <c r="Y271" i="7"/>
  <c r="Y274" i="7"/>
  <c r="I32" i="13"/>
  <c r="E52" i="21" s="1"/>
  <c r="Y269" i="7"/>
  <c r="I2" i="21"/>
  <c r="X276" i="7"/>
  <c r="Y276" i="7" s="1"/>
  <c r="E2" i="21"/>
  <c r="M32" i="13"/>
  <c r="G52" i="21" s="1"/>
  <c r="Y273" i="7"/>
  <c r="H2" i="21"/>
  <c r="X266" i="7"/>
  <c r="Y266" i="7" s="1"/>
  <c r="Y275" i="7"/>
  <c r="Y270" i="7"/>
  <c r="F2" i="21"/>
  <c r="Y268" i="7"/>
  <c r="H28" i="18"/>
  <c r="I28" i="18" s="1"/>
  <c r="K28" i="18" s="1"/>
  <c r="F28" i="18"/>
  <c r="L293" i="7" l="1"/>
  <c r="L292" i="7"/>
  <c r="L291" i="7"/>
  <c r="L294" i="7"/>
  <c r="L298" i="7"/>
  <c r="L290" i="7"/>
  <c r="L297" i="7"/>
  <c r="L289" i="7"/>
  <c r="L296" i="7"/>
  <c r="L288" i="7"/>
  <c r="L295" i="7"/>
  <c r="K52" i="21"/>
  <c r="G2" i="21"/>
  <c r="Q32" i="13"/>
  <c r="T32" i="13" s="1"/>
  <c r="M279" i="7"/>
  <c r="N279" i="7" s="1"/>
  <c r="H33" i="13" s="1"/>
  <c r="F21" i="21" s="1"/>
  <c r="W279" i="7"/>
  <c r="X279" i="7" s="1"/>
  <c r="M287" i="7"/>
  <c r="N287" i="7" s="1"/>
  <c r="P33" i="13" s="1"/>
  <c r="H21" i="21" s="1"/>
  <c r="W287" i="7"/>
  <c r="X287" i="7" s="1"/>
  <c r="M277" i="7"/>
  <c r="N277" i="7" s="1"/>
  <c r="F33" i="13" s="1"/>
  <c r="D21" i="21" s="1"/>
  <c r="W277" i="7"/>
  <c r="M280" i="7"/>
  <c r="N280" i="7" s="1"/>
  <c r="I33" i="13" s="1"/>
  <c r="E21" i="21" s="1"/>
  <c r="W280" i="7"/>
  <c r="X280" i="7" s="1"/>
  <c r="M286" i="7"/>
  <c r="N286" i="7" s="1"/>
  <c r="W286" i="7"/>
  <c r="X286" i="7" s="1"/>
  <c r="M282" i="7"/>
  <c r="N282" i="7" s="1"/>
  <c r="W282" i="7"/>
  <c r="X282" i="7" s="1"/>
  <c r="M283" i="7"/>
  <c r="N283" i="7" s="1"/>
  <c r="L33" i="13" s="1"/>
  <c r="W283" i="7"/>
  <c r="X283" i="7" s="1"/>
  <c r="M284" i="7"/>
  <c r="N284" i="7" s="1"/>
  <c r="M33" i="13" s="1"/>
  <c r="W284" i="7"/>
  <c r="X284" i="7" s="1"/>
  <c r="M281" i="7"/>
  <c r="N281" i="7" s="1"/>
  <c r="J33" i="13" s="1"/>
  <c r="W281" i="7"/>
  <c r="X281" i="7" s="1"/>
  <c r="M278" i="7"/>
  <c r="N278" i="7" s="1"/>
  <c r="W278" i="7"/>
  <c r="X278" i="7" s="1"/>
  <c r="M285" i="7"/>
  <c r="N285" i="7" s="1"/>
  <c r="N33" i="13" s="1"/>
  <c r="W285" i="7"/>
  <c r="X285" i="7" s="1"/>
  <c r="H29" i="18"/>
  <c r="I29" i="18" s="1"/>
  <c r="K29" i="18" s="1"/>
  <c r="F29" i="18"/>
  <c r="L309" i="7" l="1"/>
  <c r="L301" i="7"/>
  <c r="L308" i="7"/>
  <c r="L300" i="7"/>
  <c r="L307" i="7"/>
  <c r="L299" i="7"/>
  <c r="L306" i="7"/>
  <c r="L305" i="7"/>
  <c r="L302" i="7"/>
  <c r="L304" i="7"/>
  <c r="L303" i="7"/>
  <c r="G21" i="21"/>
  <c r="D2" i="21"/>
  <c r="K2" i="21" s="1"/>
  <c r="K33" i="13"/>
  <c r="Y282" i="7"/>
  <c r="Y285" i="7"/>
  <c r="Y283" i="7"/>
  <c r="Y279" i="7"/>
  <c r="M295" i="7"/>
  <c r="N295" i="7" s="1"/>
  <c r="M34" i="13" s="1"/>
  <c r="W295" i="7"/>
  <c r="M296" i="7"/>
  <c r="N296" i="7" s="1"/>
  <c r="W296" i="7"/>
  <c r="X296" i="7" s="1"/>
  <c r="M288" i="7"/>
  <c r="N288" i="7" s="1"/>
  <c r="F34" i="13" s="1"/>
  <c r="D38" i="21" s="1"/>
  <c r="W288" i="7"/>
  <c r="X288" i="7" s="1"/>
  <c r="Y287" i="7"/>
  <c r="M297" i="7"/>
  <c r="N297" i="7" s="1"/>
  <c r="W297" i="7"/>
  <c r="X297" i="7" s="1"/>
  <c r="M289" i="7"/>
  <c r="N289" i="7" s="1"/>
  <c r="W289" i="7"/>
  <c r="X289" i="7" s="1"/>
  <c r="M298" i="7"/>
  <c r="N298" i="7" s="1"/>
  <c r="P34" i="13" s="1"/>
  <c r="H38" i="21" s="1"/>
  <c r="W298" i="7"/>
  <c r="X298" i="7" s="1"/>
  <c r="G33" i="13"/>
  <c r="Y278" i="7"/>
  <c r="M294" i="7"/>
  <c r="N294" i="7" s="1"/>
  <c r="L34" i="13" s="1"/>
  <c r="W294" i="7"/>
  <c r="X294" i="7" s="1"/>
  <c r="M290" i="7"/>
  <c r="N290" i="7" s="1"/>
  <c r="W290" i="7"/>
  <c r="X290" i="7" s="1"/>
  <c r="O33" i="13"/>
  <c r="I21" i="21" s="1"/>
  <c r="Y286" i="7"/>
  <c r="M291" i="7"/>
  <c r="N291" i="7" s="1"/>
  <c r="I34" i="13" s="1"/>
  <c r="E38" i="21" s="1"/>
  <c r="W291" i="7"/>
  <c r="M293" i="7"/>
  <c r="N293" i="7" s="1"/>
  <c r="W293" i="7"/>
  <c r="X293" i="7" s="1"/>
  <c r="Y284" i="7"/>
  <c r="M292" i="7"/>
  <c r="N292" i="7" s="1"/>
  <c r="J34" i="13" s="1"/>
  <c r="W292" i="7"/>
  <c r="X292" i="7" s="1"/>
  <c r="Y292" i="7" s="1"/>
  <c r="Y281" i="7"/>
  <c r="Y280" i="7"/>
  <c r="X277" i="7"/>
  <c r="Y277" i="7" s="1"/>
  <c r="H30" i="18"/>
  <c r="I30" i="18" s="1"/>
  <c r="K30" i="18" s="1"/>
  <c r="F30" i="18"/>
  <c r="L317" i="7" l="1"/>
  <c r="L316" i="7"/>
  <c r="L315" i="7"/>
  <c r="L314" i="7"/>
  <c r="L313" i="7"/>
  <c r="L320" i="7"/>
  <c r="L312" i="7"/>
  <c r="L318" i="7"/>
  <c r="L319" i="7"/>
  <c r="L311" i="7"/>
  <c r="L310" i="7"/>
  <c r="Y294" i="7"/>
  <c r="K21" i="21"/>
  <c r="Y293" i="7"/>
  <c r="G38" i="21"/>
  <c r="K34" i="13"/>
  <c r="N34" i="13"/>
  <c r="Y298" i="7"/>
  <c r="Q33" i="13"/>
  <c r="T33" i="13" s="1"/>
  <c r="Y296" i="7"/>
  <c r="M299" i="7"/>
  <c r="N299" i="7" s="1"/>
  <c r="F35" i="13" s="1"/>
  <c r="D26" i="21" s="1"/>
  <c r="W299" i="7"/>
  <c r="X299" i="7" s="1"/>
  <c r="O34" i="13"/>
  <c r="I38" i="21" s="1"/>
  <c r="Y297" i="7"/>
  <c r="M305" i="7"/>
  <c r="N305" i="7" s="1"/>
  <c r="L35" i="13" s="1"/>
  <c r="W305" i="7"/>
  <c r="X305" i="7" s="1"/>
  <c r="X291" i="7"/>
  <c r="Y291" i="7" s="1"/>
  <c r="Y288" i="7"/>
  <c r="M303" i="7"/>
  <c r="N303" i="7" s="1"/>
  <c r="J35" i="13" s="1"/>
  <c r="W303" i="7"/>
  <c r="X303" i="7" s="1"/>
  <c r="M307" i="7"/>
  <c r="N307" i="7" s="1"/>
  <c r="W307" i="7"/>
  <c r="X307" i="7" s="1"/>
  <c r="M306" i="7"/>
  <c r="N306" i="7" s="1"/>
  <c r="M35" i="13" s="1"/>
  <c r="W306" i="7"/>
  <c r="X306" i="7" s="1"/>
  <c r="M308" i="7"/>
  <c r="N308" i="7" s="1"/>
  <c r="O35" i="13" s="1"/>
  <c r="I26" i="21" s="1"/>
  <c r="W308" i="7"/>
  <c r="X308" i="7" s="1"/>
  <c r="M302" i="7"/>
  <c r="N302" i="7" s="1"/>
  <c r="W302" i="7"/>
  <c r="X302" i="7" s="1"/>
  <c r="M300" i="7"/>
  <c r="N300" i="7" s="1"/>
  <c r="G35" i="13" s="1"/>
  <c r="W300" i="7"/>
  <c r="X300" i="7" s="1"/>
  <c r="H34" i="13"/>
  <c r="F38" i="21" s="1"/>
  <c r="Y290" i="7"/>
  <c r="G34" i="13"/>
  <c r="Y289" i="7"/>
  <c r="X295" i="7"/>
  <c r="Y295" i="7" s="1"/>
  <c r="M304" i="7"/>
  <c r="N304" i="7" s="1"/>
  <c r="W304" i="7"/>
  <c r="X304" i="7" s="1"/>
  <c r="M309" i="7"/>
  <c r="N309" i="7" s="1"/>
  <c r="W309" i="7"/>
  <c r="X309" i="7" s="1"/>
  <c r="M301" i="7"/>
  <c r="N301" i="7" s="1"/>
  <c r="H35" i="13" s="1"/>
  <c r="F26" i="21" s="1"/>
  <c r="W301" i="7"/>
  <c r="X301" i="7" s="1"/>
  <c r="K38" i="21" l="1"/>
  <c r="G26" i="21"/>
  <c r="N35" i="13"/>
  <c r="K35" i="13"/>
  <c r="Y305" i="7"/>
  <c r="Y306" i="7"/>
  <c r="Y303" i="7"/>
  <c r="Y299" i="7"/>
  <c r="Y308" i="7"/>
  <c r="Q34" i="13"/>
  <c r="T34" i="13" s="1"/>
  <c r="M318" i="7"/>
  <c r="N318" i="7" s="1"/>
  <c r="W318" i="7"/>
  <c r="X318" i="7" s="1"/>
  <c r="M315" i="7"/>
  <c r="N315" i="7" s="1"/>
  <c r="W315" i="7"/>
  <c r="X315" i="7" s="1"/>
  <c r="P35" i="13"/>
  <c r="H26" i="21" s="1"/>
  <c r="Y309" i="7"/>
  <c r="M320" i="7"/>
  <c r="N320" i="7" s="1"/>
  <c r="P36" i="13" s="1"/>
  <c r="H28" i="21" s="1"/>
  <c r="W320" i="7"/>
  <c r="X320" i="7" s="1"/>
  <c r="M311" i="7"/>
  <c r="N311" i="7" s="1"/>
  <c r="W311" i="7"/>
  <c r="X311" i="7" s="1"/>
  <c r="Y304" i="7"/>
  <c r="Y300" i="7"/>
  <c r="Y307" i="7"/>
  <c r="M317" i="7"/>
  <c r="N317" i="7" s="1"/>
  <c r="M36" i="13" s="1"/>
  <c r="W317" i="7"/>
  <c r="X317" i="7" s="1"/>
  <c r="M312" i="7"/>
  <c r="N312" i="7" s="1"/>
  <c r="H36" i="13" s="1"/>
  <c r="F28" i="21" s="1"/>
  <c r="W312" i="7"/>
  <c r="X312" i="7" s="1"/>
  <c r="M310" i="7"/>
  <c r="N310" i="7" s="1"/>
  <c r="F36" i="13" s="1"/>
  <c r="D28" i="21" s="1"/>
  <c r="W310" i="7"/>
  <c r="X310" i="7" s="1"/>
  <c r="M316" i="7"/>
  <c r="N316" i="7" s="1"/>
  <c r="L36" i="13" s="1"/>
  <c r="W316" i="7"/>
  <c r="X316" i="7" s="1"/>
  <c r="M319" i="7"/>
  <c r="N319" i="7" s="1"/>
  <c r="W319" i="7"/>
  <c r="X319" i="7" s="1"/>
  <c r="I35" i="13"/>
  <c r="E26" i="21" s="1"/>
  <c r="Y302" i="7"/>
  <c r="M314" i="7"/>
  <c r="N314" i="7" s="1"/>
  <c r="W314" i="7"/>
  <c r="X314" i="7" s="1"/>
  <c r="M313" i="7"/>
  <c r="N313" i="7" s="1"/>
  <c r="I36" i="13" s="1"/>
  <c r="E28" i="21" s="1"/>
  <c r="W313" i="7"/>
  <c r="X313" i="7" s="1"/>
  <c r="Y301" i="7"/>
  <c r="H31" i="18"/>
  <c r="I31" i="18" s="1"/>
  <c r="K31" i="18" s="1"/>
  <c r="F31" i="18"/>
  <c r="L330" i="7" l="1"/>
  <c r="L322" i="7"/>
  <c r="L331" i="7"/>
  <c r="L329" i="7"/>
  <c r="L321" i="7"/>
  <c r="L328" i="7"/>
  <c r="L327" i="7"/>
  <c r="L323" i="7"/>
  <c r="L326" i="7"/>
  <c r="L325" i="7"/>
  <c r="L324" i="7"/>
  <c r="N36" i="13"/>
  <c r="K26" i="21"/>
  <c r="Y317" i="7"/>
  <c r="K36" i="13"/>
  <c r="Q35" i="13"/>
  <c r="T35" i="13" s="1"/>
  <c r="Y316" i="7"/>
  <c r="Y312" i="7"/>
  <c r="Y318" i="7"/>
  <c r="Y315" i="7"/>
  <c r="Y310" i="7"/>
  <c r="O36" i="13"/>
  <c r="I28" i="21" s="1"/>
  <c r="Y319" i="7"/>
  <c r="F4" i="21"/>
  <c r="Y313" i="7"/>
  <c r="H4" i="21"/>
  <c r="D4" i="21"/>
  <c r="G36" i="13"/>
  <c r="Y311" i="7"/>
  <c r="I4" i="21"/>
  <c r="E4" i="21"/>
  <c r="J36" i="13"/>
  <c r="G28" i="21" s="1"/>
  <c r="Y314" i="7"/>
  <c r="Y320" i="7"/>
  <c r="H32" i="18"/>
  <c r="I32" i="18" s="1"/>
  <c r="K32" i="18" s="1"/>
  <c r="F32" i="18"/>
  <c r="L338" i="7" l="1"/>
  <c r="L337" i="7"/>
  <c r="L336" i="7"/>
  <c r="L339" i="7"/>
  <c r="L335" i="7"/>
  <c r="L342" i="7"/>
  <c r="L334" i="7"/>
  <c r="L341" i="7"/>
  <c r="L333" i="7"/>
  <c r="L340" i="7"/>
  <c r="L332" i="7"/>
  <c r="G4" i="21"/>
  <c r="K4" i="21" s="1"/>
  <c r="K28" i="21"/>
  <c r="M322" i="7"/>
  <c r="N322" i="7" s="1"/>
  <c r="W322" i="7"/>
  <c r="X322" i="7" s="1"/>
  <c r="M324" i="7"/>
  <c r="N324" i="7" s="1"/>
  <c r="I37" i="13" s="1"/>
  <c r="E20" i="21" s="1"/>
  <c r="W324" i="7"/>
  <c r="X324" i="7" s="1"/>
  <c r="M326" i="7"/>
  <c r="N326" i="7" s="1"/>
  <c r="K37" i="13" s="1"/>
  <c r="W326" i="7"/>
  <c r="X326" i="7" s="1"/>
  <c r="M331" i="7"/>
  <c r="N331" i="7" s="1"/>
  <c r="P37" i="13" s="1"/>
  <c r="H20" i="21" s="1"/>
  <c r="W331" i="7"/>
  <c r="X331" i="7" s="1"/>
  <c r="M329" i="7"/>
  <c r="N329" i="7" s="1"/>
  <c r="W329" i="7"/>
  <c r="X329" i="7" s="1"/>
  <c r="M328" i="7"/>
  <c r="N328" i="7" s="1"/>
  <c r="M37" i="13" s="1"/>
  <c r="W328" i="7"/>
  <c r="X328" i="7" s="1"/>
  <c r="Q36" i="13"/>
  <c r="T36" i="13" s="1"/>
  <c r="M321" i="7"/>
  <c r="N321" i="7" s="1"/>
  <c r="F37" i="13" s="1"/>
  <c r="D20" i="21" s="1"/>
  <c r="W321" i="7"/>
  <c r="X321" i="7" s="1"/>
  <c r="M330" i="7"/>
  <c r="N330" i="7" s="1"/>
  <c r="O37" i="13" s="1"/>
  <c r="I20" i="21" s="1"/>
  <c r="W330" i="7"/>
  <c r="X330" i="7" s="1"/>
  <c r="M323" i="7"/>
  <c r="N323" i="7" s="1"/>
  <c r="H37" i="13" s="1"/>
  <c r="F20" i="21" s="1"/>
  <c r="W323" i="7"/>
  <c r="X323" i="7" s="1"/>
  <c r="M327" i="7"/>
  <c r="N327" i="7" s="1"/>
  <c r="L37" i="13" s="1"/>
  <c r="W327" i="7"/>
  <c r="X327" i="7" s="1"/>
  <c r="M325" i="7"/>
  <c r="N325" i="7" s="1"/>
  <c r="J37" i="13" s="1"/>
  <c r="W325" i="7"/>
  <c r="X325" i="7" s="1"/>
  <c r="H33" i="18"/>
  <c r="I33" i="18" s="1"/>
  <c r="K33" i="18" s="1"/>
  <c r="F33" i="18"/>
  <c r="L346" i="7" l="1"/>
  <c r="L353" i="7"/>
  <c r="L345" i="7"/>
  <c r="L352" i="7"/>
  <c r="L344" i="7"/>
  <c r="L351" i="7"/>
  <c r="L343" i="7"/>
  <c r="L350" i="7"/>
  <c r="L347" i="7"/>
  <c r="L349" i="7"/>
  <c r="L348" i="7"/>
  <c r="G20" i="21"/>
  <c r="K20" i="21" s="1"/>
  <c r="N37" i="13"/>
  <c r="Y325" i="7"/>
  <c r="G37" i="13"/>
  <c r="Y323" i="7"/>
  <c r="Y321" i="7"/>
  <c r="Y330" i="7"/>
  <c r="Y322" i="7"/>
  <c r="Y327" i="7"/>
  <c r="M336" i="7"/>
  <c r="N336" i="7" s="1"/>
  <c r="J38" i="13" s="1"/>
  <c r="W336" i="7"/>
  <c r="X336" i="7" s="1"/>
  <c r="M338" i="7"/>
  <c r="N338" i="7" s="1"/>
  <c r="L38" i="13" s="1"/>
  <c r="W338" i="7"/>
  <c r="X338" i="7" s="1"/>
  <c r="Y331" i="7"/>
  <c r="Y326" i="7"/>
  <c r="M340" i="7"/>
  <c r="N340" i="7" s="1"/>
  <c r="W340" i="7"/>
  <c r="X340" i="7" s="1"/>
  <c r="M342" i="7"/>
  <c r="N342" i="7" s="1"/>
  <c r="P38" i="13" s="1"/>
  <c r="H24" i="21" s="1"/>
  <c r="W342" i="7"/>
  <c r="X342" i="7" s="1"/>
  <c r="M333" i="7"/>
  <c r="N333" i="7" s="1"/>
  <c r="G38" i="13" s="1"/>
  <c r="W333" i="7"/>
  <c r="X333" i="7" s="1"/>
  <c r="M334" i="7"/>
  <c r="N334" i="7" s="1"/>
  <c r="H38" i="13" s="1"/>
  <c r="F24" i="21" s="1"/>
  <c r="W334" i="7"/>
  <c r="X334" i="7" s="1"/>
  <c r="M341" i="7"/>
  <c r="N341" i="7" s="1"/>
  <c r="O38" i="13" s="1"/>
  <c r="I24" i="21" s="1"/>
  <c r="W341" i="7"/>
  <c r="X341" i="7" s="1"/>
  <c r="M332" i="7"/>
  <c r="N332" i="7" s="1"/>
  <c r="F38" i="13" s="1"/>
  <c r="D24" i="21" s="1"/>
  <c r="W332" i="7"/>
  <c r="X332" i="7" s="1"/>
  <c r="M335" i="7"/>
  <c r="N335" i="7" s="1"/>
  <c r="I38" i="13" s="1"/>
  <c r="E24" i="21" s="1"/>
  <c r="W335" i="7"/>
  <c r="X335" i="7" s="1"/>
  <c r="Y328" i="7"/>
  <c r="Y324" i="7"/>
  <c r="M337" i="7"/>
  <c r="N337" i="7" s="1"/>
  <c r="W337" i="7"/>
  <c r="X337" i="7" s="1"/>
  <c r="M339" i="7"/>
  <c r="N339" i="7" s="1"/>
  <c r="M38" i="13" s="1"/>
  <c r="W339" i="7"/>
  <c r="X339" i="7" s="1"/>
  <c r="Y329" i="7"/>
  <c r="H34" i="18"/>
  <c r="I34" i="18" s="1"/>
  <c r="K34" i="18" s="1"/>
  <c r="F34" i="18"/>
  <c r="L362" i="7" l="1"/>
  <c r="L354" i="7"/>
  <c r="L361" i="7"/>
  <c r="L360" i="7"/>
  <c r="L359" i="7"/>
  <c r="L358" i="7"/>
  <c r="L357" i="7"/>
  <c r="L363" i="7"/>
  <c r="L364" i="7"/>
  <c r="L356" i="7"/>
  <c r="L355" i="7"/>
  <c r="G24" i="21"/>
  <c r="K24" i="21" s="1"/>
  <c r="Q37" i="13"/>
  <c r="T37" i="13" s="1"/>
  <c r="N38" i="13"/>
  <c r="K38" i="13"/>
  <c r="Y336" i="7"/>
  <c r="Y338" i="7"/>
  <c r="M343" i="7"/>
  <c r="N343" i="7" s="1"/>
  <c r="F39" i="13" s="1"/>
  <c r="D29" i="21" s="1"/>
  <c r="W343" i="7"/>
  <c r="X343" i="7" s="1"/>
  <c r="Y337" i="7"/>
  <c r="Y341" i="7"/>
  <c r="Y340" i="7"/>
  <c r="M350" i="7"/>
  <c r="N350" i="7" s="1"/>
  <c r="M39" i="13" s="1"/>
  <c r="W350" i="7"/>
  <c r="X350" i="7" s="1"/>
  <c r="M346" i="7"/>
  <c r="N346" i="7" s="1"/>
  <c r="I39" i="13" s="1"/>
  <c r="E29" i="21" s="1"/>
  <c r="W346" i="7"/>
  <c r="X346" i="7" s="1"/>
  <c r="Y334" i="7"/>
  <c r="M348" i="7"/>
  <c r="N348" i="7" s="1"/>
  <c r="W348" i="7"/>
  <c r="X348" i="7" s="1"/>
  <c r="M352" i="7"/>
  <c r="N352" i="7" s="1"/>
  <c r="O39" i="13" s="1"/>
  <c r="I29" i="21" s="1"/>
  <c r="W352" i="7"/>
  <c r="X352" i="7" s="1"/>
  <c r="M351" i="7"/>
  <c r="N351" i="7" s="1"/>
  <c r="W351" i="7"/>
  <c r="X351" i="7" s="1"/>
  <c r="M344" i="7"/>
  <c r="N344" i="7" s="1"/>
  <c r="W344" i="7"/>
  <c r="X344" i="7" s="1"/>
  <c r="M353" i="7"/>
  <c r="N353" i="7" s="1"/>
  <c r="P39" i="13" s="1"/>
  <c r="H29" i="21" s="1"/>
  <c r="W353" i="7"/>
  <c r="X353" i="7" s="1"/>
  <c r="M345" i="7"/>
  <c r="N345" i="7" s="1"/>
  <c r="H39" i="13" s="1"/>
  <c r="F29" i="21" s="1"/>
  <c r="W345" i="7"/>
  <c r="X345" i="7" s="1"/>
  <c r="Y335" i="7"/>
  <c r="Y333" i="7"/>
  <c r="M349" i="7"/>
  <c r="N349" i="7" s="1"/>
  <c r="L39" i="13" s="1"/>
  <c r="W349" i="7"/>
  <c r="X349" i="7" s="1"/>
  <c r="M347" i="7"/>
  <c r="N347" i="7" s="1"/>
  <c r="J39" i="13" s="1"/>
  <c r="W347" i="7"/>
  <c r="X347" i="7" s="1"/>
  <c r="Y339" i="7"/>
  <c r="Y332" i="7"/>
  <c r="Y342" i="7"/>
  <c r="H35" i="18"/>
  <c r="I35" i="18" s="1"/>
  <c r="K35" i="18" s="1"/>
  <c r="F35" i="18"/>
  <c r="L370" i="7" l="1"/>
  <c r="L369" i="7"/>
  <c r="L371" i="7"/>
  <c r="L368" i="7"/>
  <c r="L375" i="7"/>
  <c r="L367" i="7"/>
  <c r="L374" i="7"/>
  <c r="L366" i="7"/>
  <c r="L373" i="7"/>
  <c r="L365" i="7"/>
  <c r="L372" i="7"/>
  <c r="Y346" i="7"/>
  <c r="Y351" i="7"/>
  <c r="G39" i="13"/>
  <c r="G29" i="21"/>
  <c r="K29" i="21" s="1"/>
  <c r="Q38" i="13"/>
  <c r="T38" i="13" s="1"/>
  <c r="K39" i="13"/>
  <c r="N39" i="13"/>
  <c r="Y352" i="7"/>
  <c r="Y345" i="7"/>
  <c r="Y350" i="7"/>
  <c r="Y343" i="7"/>
  <c r="M358" i="7"/>
  <c r="N358" i="7" s="1"/>
  <c r="J40" i="13" s="1"/>
  <c r="W358" i="7"/>
  <c r="X358" i="7" s="1"/>
  <c r="M357" i="7"/>
  <c r="N357" i="7" s="1"/>
  <c r="I40" i="13" s="1"/>
  <c r="E18" i="21" s="1"/>
  <c r="W357" i="7"/>
  <c r="X357" i="7" s="1"/>
  <c r="M364" i="7"/>
  <c r="N364" i="7" s="1"/>
  <c r="P40" i="13" s="1"/>
  <c r="H18" i="21" s="1"/>
  <c r="W364" i="7"/>
  <c r="X364" i="7" s="1"/>
  <c r="M360" i="7"/>
  <c r="N360" i="7" s="1"/>
  <c r="L40" i="13" s="1"/>
  <c r="W360" i="7"/>
  <c r="X360" i="7" s="1"/>
  <c r="M361" i="7"/>
  <c r="N361" i="7" s="1"/>
  <c r="M40" i="13" s="1"/>
  <c r="W361" i="7"/>
  <c r="X361" i="7" s="1"/>
  <c r="M354" i="7"/>
  <c r="N354" i="7" s="1"/>
  <c r="F40" i="13" s="1"/>
  <c r="D18" i="21" s="1"/>
  <c r="W354" i="7"/>
  <c r="X354" i="7" s="1"/>
  <c r="M359" i="7"/>
  <c r="N359" i="7" s="1"/>
  <c r="W359" i="7"/>
  <c r="X359" i="7" s="1"/>
  <c r="M362" i="7"/>
  <c r="N362" i="7" s="1"/>
  <c r="W362" i="7"/>
  <c r="X362" i="7" s="1"/>
  <c r="M356" i="7"/>
  <c r="N356" i="7" s="1"/>
  <c r="H40" i="13" s="1"/>
  <c r="F18" i="21" s="1"/>
  <c r="W356" i="7"/>
  <c r="X356" i="7" s="1"/>
  <c r="Y347" i="7"/>
  <c r="Y353" i="7"/>
  <c r="Y348" i="7"/>
  <c r="M355" i="7"/>
  <c r="N355" i="7" s="1"/>
  <c r="W355" i="7"/>
  <c r="X355" i="7" s="1"/>
  <c r="M363" i="7"/>
  <c r="N363" i="7" s="1"/>
  <c r="O40" i="13" s="1"/>
  <c r="I18" i="21" s="1"/>
  <c r="W363" i="7"/>
  <c r="X363" i="7" s="1"/>
  <c r="Y363" i="7" s="1"/>
  <c r="Y349" i="7"/>
  <c r="Y344" i="7"/>
  <c r="K40" i="13" l="1"/>
  <c r="Y355" i="7"/>
  <c r="G18" i="21"/>
  <c r="K18" i="21" s="1"/>
  <c r="N40" i="13"/>
  <c r="Q39" i="13"/>
  <c r="T39" i="13" s="1"/>
  <c r="G40" i="13"/>
  <c r="Y357" i="7"/>
  <c r="M366" i="7"/>
  <c r="N366" i="7" s="1"/>
  <c r="W366" i="7"/>
  <c r="X366" i="7" s="1"/>
  <c r="Y362" i="7"/>
  <c r="Y360" i="7"/>
  <c r="M373" i="7"/>
  <c r="N373" i="7" s="1"/>
  <c r="W373" i="7"/>
  <c r="X373" i="7" s="1"/>
  <c r="M368" i="7"/>
  <c r="N368" i="7" s="1"/>
  <c r="I41" i="13" s="1"/>
  <c r="E7" i="21" s="1"/>
  <c r="W368" i="7"/>
  <c r="X368" i="7" s="1"/>
  <c r="Y359" i="7"/>
  <c r="Y364" i="7"/>
  <c r="M371" i="7"/>
  <c r="N371" i="7" s="1"/>
  <c r="L41" i="13" s="1"/>
  <c r="W371" i="7"/>
  <c r="X371" i="7" s="1"/>
  <c r="M375" i="7"/>
  <c r="N375" i="7" s="1"/>
  <c r="P41" i="13" s="1"/>
  <c r="H7" i="21" s="1"/>
  <c r="W375" i="7"/>
  <c r="X375" i="7" s="1"/>
  <c r="M369" i="7"/>
  <c r="N369" i="7" s="1"/>
  <c r="J41" i="13" s="1"/>
  <c r="W369" i="7"/>
  <c r="X369" i="7" s="1"/>
  <c r="Y354" i="7"/>
  <c r="M365" i="7"/>
  <c r="N365" i="7" s="1"/>
  <c r="F41" i="13" s="1"/>
  <c r="D7" i="21" s="1"/>
  <c r="W365" i="7"/>
  <c r="X365" i="7" s="1"/>
  <c r="M372" i="7"/>
  <c r="N372" i="7" s="1"/>
  <c r="M41" i="13" s="1"/>
  <c r="W372" i="7"/>
  <c r="X372" i="7" s="1"/>
  <c r="M367" i="7"/>
  <c r="N367" i="7" s="1"/>
  <c r="H41" i="13" s="1"/>
  <c r="F7" i="21" s="1"/>
  <c r="W367" i="7"/>
  <c r="X367" i="7" s="1"/>
  <c r="M374" i="7"/>
  <c r="N374" i="7" s="1"/>
  <c r="O41" i="13" s="1"/>
  <c r="I7" i="21" s="1"/>
  <c r="W374" i="7"/>
  <c r="X374" i="7" s="1"/>
  <c r="M370" i="7"/>
  <c r="N370" i="7" s="1"/>
  <c r="W370" i="7"/>
  <c r="X370" i="7" s="1"/>
  <c r="Y356" i="7"/>
  <c r="Y361" i="7"/>
  <c r="Y358" i="7"/>
  <c r="H37" i="18"/>
  <c r="I37" i="18" s="1"/>
  <c r="K37" i="18" s="1"/>
  <c r="F37" i="18"/>
  <c r="L391" i="7" l="1"/>
  <c r="L390" i="7"/>
  <c r="L397" i="7"/>
  <c r="L389" i="7"/>
  <c r="L396" i="7"/>
  <c r="L388" i="7"/>
  <c r="L395" i="7"/>
  <c r="L387" i="7"/>
  <c r="L394" i="7"/>
  <c r="L393" i="7"/>
  <c r="L392" i="7"/>
  <c r="G7" i="21"/>
  <c r="K7" i="21" s="1"/>
  <c r="Y372" i="7"/>
  <c r="N41" i="13"/>
  <c r="Y365" i="7"/>
  <c r="Q40" i="13"/>
  <c r="T40" i="13" s="1"/>
  <c r="K41" i="13"/>
  <c r="G41" i="13"/>
  <c r="Y374" i="7"/>
  <c r="Y367" i="7"/>
  <c r="Y371" i="7"/>
  <c r="Y370" i="7"/>
  <c r="D6" i="21"/>
  <c r="I6" i="21"/>
  <c r="Y369" i="7"/>
  <c r="Y368" i="7"/>
  <c r="F6" i="21"/>
  <c r="Y375" i="7"/>
  <c r="Y373" i="7"/>
  <c r="H6" i="21"/>
  <c r="E6" i="21"/>
  <c r="Y366" i="7"/>
  <c r="G6" i="21" l="1"/>
  <c r="K6" i="21" s="1"/>
  <c r="Q41" i="13"/>
  <c r="T41" i="13" s="1"/>
  <c r="M391" i="7"/>
  <c r="N391" i="7" s="1"/>
  <c r="J43" i="13" s="1"/>
  <c r="W391" i="7"/>
  <c r="X391" i="7" s="1"/>
  <c r="M387" i="7"/>
  <c r="N387" i="7" s="1"/>
  <c r="F43" i="13" s="1"/>
  <c r="D32" i="21" s="1"/>
  <c r="W387" i="7"/>
  <c r="X387" i="7" s="1"/>
  <c r="M396" i="7"/>
  <c r="N396" i="7" s="1"/>
  <c r="O43" i="13" s="1"/>
  <c r="I32" i="21" s="1"/>
  <c r="W396" i="7"/>
  <c r="X396" i="7" s="1"/>
  <c r="M388" i="7"/>
  <c r="N388" i="7" s="1"/>
  <c r="W388" i="7"/>
  <c r="X388" i="7" s="1"/>
  <c r="M394" i="7"/>
  <c r="N394" i="7" s="1"/>
  <c r="M43" i="13" s="1"/>
  <c r="W394" i="7"/>
  <c r="X394" i="7" s="1"/>
  <c r="M397" i="7"/>
  <c r="N397" i="7" s="1"/>
  <c r="P43" i="13" s="1"/>
  <c r="H32" i="21" s="1"/>
  <c r="W397" i="7"/>
  <c r="X397" i="7" s="1"/>
  <c r="M389" i="7"/>
  <c r="N389" i="7" s="1"/>
  <c r="H43" i="13" s="1"/>
  <c r="F32" i="21" s="1"/>
  <c r="W389" i="7"/>
  <c r="X389" i="7" s="1"/>
  <c r="M390" i="7"/>
  <c r="N390" i="7" s="1"/>
  <c r="I43" i="13" s="1"/>
  <c r="E32" i="21" s="1"/>
  <c r="W390" i="7"/>
  <c r="X390" i="7" s="1"/>
  <c r="M393" i="7"/>
  <c r="N393" i="7" s="1"/>
  <c r="L43" i="13" s="1"/>
  <c r="W393" i="7"/>
  <c r="X393" i="7" s="1"/>
  <c r="M395" i="7"/>
  <c r="N395" i="7" s="1"/>
  <c r="W395" i="7"/>
  <c r="X395" i="7" s="1"/>
  <c r="M392" i="7"/>
  <c r="N392" i="7" s="1"/>
  <c r="W392" i="7"/>
  <c r="X392" i="7" s="1"/>
  <c r="H38" i="18"/>
  <c r="I38" i="18" s="1"/>
  <c r="K38" i="18" s="1"/>
  <c r="F38" i="18"/>
  <c r="Y392" i="7" l="1"/>
  <c r="L404" i="7"/>
  <c r="L403" i="7"/>
  <c r="L405" i="7"/>
  <c r="L402" i="7"/>
  <c r="L401" i="7"/>
  <c r="L408" i="7"/>
  <c r="L400" i="7"/>
  <c r="L407" i="7"/>
  <c r="L399" i="7"/>
  <c r="L406" i="7"/>
  <c r="L398" i="7"/>
  <c r="Y395" i="7"/>
  <c r="G32" i="21"/>
  <c r="K32" i="21" s="1"/>
  <c r="G43" i="13"/>
  <c r="K43" i="13"/>
  <c r="N43" i="13"/>
  <c r="Y387" i="7"/>
  <c r="Y396" i="7"/>
  <c r="Y391" i="7"/>
  <c r="Y389" i="7"/>
  <c r="Y388" i="7"/>
  <c r="D19" i="21"/>
  <c r="H19" i="21"/>
  <c r="I19" i="21"/>
  <c r="F19" i="21"/>
  <c r="E19" i="21"/>
  <c r="Y393" i="7"/>
  <c r="Y397" i="7"/>
  <c r="Y390" i="7"/>
  <c r="Y394" i="7"/>
  <c r="H39" i="18"/>
  <c r="I39" i="18" s="1"/>
  <c r="K39" i="18" s="1"/>
  <c r="F39" i="18"/>
  <c r="L412" i="7" l="1"/>
  <c r="L419" i="7"/>
  <c r="L411" i="7"/>
  <c r="L418" i="7"/>
  <c r="L410" i="7"/>
  <c r="L417" i="7"/>
  <c r="L409" i="7"/>
  <c r="L416" i="7"/>
  <c r="L415" i="7"/>
  <c r="L413" i="7"/>
  <c r="L414" i="7"/>
  <c r="G19" i="21"/>
  <c r="K19" i="21" s="1"/>
  <c r="Q43" i="13"/>
  <c r="T43" i="13" s="1"/>
  <c r="M399" i="7"/>
  <c r="N399" i="7" s="1"/>
  <c r="W399" i="7"/>
  <c r="X399" i="7" s="1"/>
  <c r="M398" i="7"/>
  <c r="N398" i="7" s="1"/>
  <c r="F44" i="13" s="1"/>
  <c r="D13" i="21" s="1"/>
  <c r="W398" i="7"/>
  <c r="X398" i="7" s="1"/>
  <c r="M400" i="7"/>
  <c r="N400" i="7" s="1"/>
  <c r="H44" i="13" s="1"/>
  <c r="F13" i="21" s="1"/>
  <c r="W400" i="7"/>
  <c r="X400" i="7" s="1"/>
  <c r="M406" i="7"/>
  <c r="N406" i="7" s="1"/>
  <c r="W406" i="7"/>
  <c r="X406" i="7" s="1"/>
  <c r="M408" i="7"/>
  <c r="N408" i="7" s="1"/>
  <c r="P44" i="13" s="1"/>
  <c r="H13" i="21" s="1"/>
  <c r="W408" i="7"/>
  <c r="X408" i="7" s="1"/>
  <c r="M402" i="7"/>
  <c r="N402" i="7" s="1"/>
  <c r="J44" i="13" s="1"/>
  <c r="W402" i="7"/>
  <c r="X402" i="7" s="1"/>
  <c r="M405" i="7"/>
  <c r="N405" i="7" s="1"/>
  <c r="M44" i="13" s="1"/>
  <c r="W405" i="7"/>
  <c r="X405" i="7" s="1"/>
  <c r="M407" i="7"/>
  <c r="N407" i="7" s="1"/>
  <c r="O44" i="13" s="1"/>
  <c r="I13" i="21" s="1"/>
  <c r="W407" i="7"/>
  <c r="X407" i="7" s="1"/>
  <c r="M401" i="7"/>
  <c r="N401" i="7" s="1"/>
  <c r="I44" i="13" s="1"/>
  <c r="E13" i="21" s="1"/>
  <c r="W401" i="7"/>
  <c r="X401" i="7" s="1"/>
  <c r="M404" i="7"/>
  <c r="N404" i="7" s="1"/>
  <c r="L44" i="13" s="1"/>
  <c r="W404" i="7"/>
  <c r="X404" i="7" s="1"/>
  <c r="M403" i="7"/>
  <c r="N403" i="7" s="1"/>
  <c r="W403" i="7"/>
  <c r="X403" i="7" s="1"/>
  <c r="H40" i="18"/>
  <c r="I40" i="18" s="1"/>
  <c r="K40" i="18" s="1"/>
  <c r="F40" i="18"/>
  <c r="L428" i="7" l="1"/>
  <c r="L420" i="7"/>
  <c r="L427" i="7"/>
  <c r="L426" i="7"/>
  <c r="L425" i="7"/>
  <c r="L424" i="7"/>
  <c r="L421" i="7"/>
  <c r="L423" i="7"/>
  <c r="L430" i="7"/>
  <c r="L422" i="7"/>
  <c r="L429" i="7"/>
  <c r="K44" i="13"/>
  <c r="G13" i="21"/>
  <c r="K13" i="21" s="1"/>
  <c r="G44" i="13"/>
  <c r="N44" i="13"/>
  <c r="Y406" i="7"/>
  <c r="Y398" i="7"/>
  <c r="Y405" i="7"/>
  <c r="Y404" i="7"/>
  <c r="M413" i="7"/>
  <c r="N413" i="7" s="1"/>
  <c r="J45" i="13" s="1"/>
  <c r="W413" i="7"/>
  <c r="X413" i="7" s="1"/>
  <c r="M412" i="7"/>
  <c r="N412" i="7" s="1"/>
  <c r="I45" i="13" s="1"/>
  <c r="E22" i="21" s="1"/>
  <c r="W412" i="7"/>
  <c r="X412" i="7" s="1"/>
  <c r="Y401" i="7"/>
  <c r="Y402" i="7"/>
  <c r="Y400" i="7"/>
  <c r="M419" i="7"/>
  <c r="N419" i="7" s="1"/>
  <c r="P45" i="13" s="1"/>
  <c r="H22" i="21" s="1"/>
  <c r="W419" i="7"/>
  <c r="X419" i="7" s="1"/>
  <c r="Y407" i="7"/>
  <c r="Y408" i="7"/>
  <c r="M418" i="7"/>
  <c r="N418" i="7" s="1"/>
  <c r="O45" i="13" s="1"/>
  <c r="I22" i="21" s="1"/>
  <c r="W418" i="7"/>
  <c r="X418" i="7" s="1"/>
  <c r="M410" i="7"/>
  <c r="N410" i="7" s="1"/>
  <c r="W410" i="7"/>
  <c r="X410" i="7" s="1"/>
  <c r="M414" i="7"/>
  <c r="N414" i="7" s="1"/>
  <c r="W414" i="7"/>
  <c r="X414" i="7" s="1"/>
  <c r="M409" i="7"/>
  <c r="N409" i="7" s="1"/>
  <c r="F45" i="13" s="1"/>
  <c r="D22" i="21" s="1"/>
  <c r="W409" i="7"/>
  <c r="X409" i="7" s="1"/>
  <c r="M415" i="7"/>
  <c r="N415" i="7" s="1"/>
  <c r="L45" i="13" s="1"/>
  <c r="W415" i="7"/>
  <c r="X415" i="7" s="1"/>
  <c r="M411" i="7"/>
  <c r="N411" i="7" s="1"/>
  <c r="H45" i="13" s="1"/>
  <c r="F22" i="21" s="1"/>
  <c r="W411" i="7"/>
  <c r="X411" i="7" s="1"/>
  <c r="M417" i="7"/>
  <c r="N417" i="7" s="1"/>
  <c r="N45" i="13" s="1"/>
  <c r="W417" i="7"/>
  <c r="X417" i="7" s="1"/>
  <c r="M416" i="7"/>
  <c r="N416" i="7" s="1"/>
  <c r="M45" i="13" s="1"/>
  <c r="W416" i="7"/>
  <c r="X416" i="7" s="1"/>
  <c r="Y403" i="7"/>
  <c r="Y399" i="7"/>
  <c r="H41" i="18"/>
  <c r="I41" i="18" s="1"/>
  <c r="K41" i="18" s="1"/>
  <c r="F41" i="18"/>
  <c r="L436" i="7" l="1"/>
  <c r="L435" i="7"/>
  <c r="L434" i="7"/>
  <c r="L437" i="7"/>
  <c r="L441" i="7"/>
  <c r="L433" i="7"/>
  <c r="L440" i="7"/>
  <c r="L432" i="7"/>
  <c r="L439" i="7"/>
  <c r="L431" i="7"/>
  <c r="L438" i="7"/>
  <c r="Y419" i="7"/>
  <c r="K45" i="13"/>
  <c r="G22" i="21"/>
  <c r="K22" i="21" s="1"/>
  <c r="Q44" i="13"/>
  <c r="T44" i="13" s="1"/>
  <c r="G45" i="13"/>
  <c r="Y409" i="7"/>
  <c r="Y414" i="7"/>
  <c r="Y413" i="7"/>
  <c r="Y418" i="7"/>
  <c r="Y412" i="7"/>
  <c r="Y417" i="7"/>
  <c r="M428" i="7"/>
  <c r="N428" i="7" s="1"/>
  <c r="W428" i="7"/>
  <c r="X428" i="7" s="1"/>
  <c r="M430" i="7"/>
  <c r="N430" i="7" s="1"/>
  <c r="P46" i="13" s="1"/>
  <c r="H27" i="21" s="1"/>
  <c r="W430" i="7"/>
  <c r="X430" i="7" s="1"/>
  <c r="Y411" i="7"/>
  <c r="Y410" i="7"/>
  <c r="M421" i="7"/>
  <c r="N421" i="7" s="1"/>
  <c r="W421" i="7"/>
  <c r="X421" i="7" s="1"/>
  <c r="M425" i="7"/>
  <c r="N425" i="7" s="1"/>
  <c r="W425" i="7"/>
  <c r="X425" i="7" s="1"/>
  <c r="M423" i="7"/>
  <c r="N423" i="7" s="1"/>
  <c r="I46" i="13" s="1"/>
  <c r="E27" i="21" s="1"/>
  <c r="W423" i="7"/>
  <c r="X423" i="7" s="1"/>
  <c r="Y415" i="7"/>
  <c r="M424" i="7"/>
  <c r="N424" i="7" s="1"/>
  <c r="J46" i="13" s="1"/>
  <c r="W424" i="7"/>
  <c r="X424" i="7" s="1"/>
  <c r="M420" i="7"/>
  <c r="N420" i="7" s="1"/>
  <c r="F46" i="13" s="1"/>
  <c r="D27" i="21" s="1"/>
  <c r="W420" i="7"/>
  <c r="X420" i="7" s="1"/>
  <c r="M427" i="7"/>
  <c r="N427" i="7" s="1"/>
  <c r="M46" i="13" s="1"/>
  <c r="W427" i="7"/>
  <c r="X427" i="7" s="1"/>
  <c r="Y427" i="7" s="1"/>
  <c r="M429" i="7"/>
  <c r="N429" i="7" s="1"/>
  <c r="O46" i="13" s="1"/>
  <c r="I27" i="21" s="1"/>
  <c r="W429" i="7"/>
  <c r="X429" i="7" s="1"/>
  <c r="Y416" i="7"/>
  <c r="M426" i="7"/>
  <c r="N426" i="7" s="1"/>
  <c r="L46" i="13" s="1"/>
  <c r="W426" i="7"/>
  <c r="X426" i="7" s="1"/>
  <c r="M422" i="7"/>
  <c r="N422" i="7" s="1"/>
  <c r="H46" i="13" s="1"/>
  <c r="F27" i="21" s="1"/>
  <c r="W422" i="7"/>
  <c r="X422" i="7" s="1"/>
  <c r="H42" i="18"/>
  <c r="I42" i="18" s="1"/>
  <c r="K42" i="18" s="1"/>
  <c r="F42" i="18"/>
  <c r="L452" i="7" l="1"/>
  <c r="L444" i="7"/>
  <c r="L445" i="7"/>
  <c r="L451" i="7"/>
  <c r="L443" i="7"/>
  <c r="L450" i="7"/>
  <c r="L442" i="7"/>
  <c r="L449" i="7"/>
  <c r="L448" i="7"/>
  <c r="L447" i="7"/>
  <c r="L446" i="7"/>
  <c r="Q45" i="13"/>
  <c r="T45" i="13" s="1"/>
  <c r="K46" i="13"/>
  <c r="G27" i="21"/>
  <c r="K27" i="21" s="1"/>
  <c r="Y420" i="7"/>
  <c r="N46" i="13"/>
  <c r="Y424" i="7"/>
  <c r="G46" i="13"/>
  <c r="Y426" i="7"/>
  <c r="Y430" i="7"/>
  <c r="Y422" i="7"/>
  <c r="Y428" i="7"/>
  <c r="Y429" i="7"/>
  <c r="M435" i="7"/>
  <c r="N435" i="7" s="1"/>
  <c r="J47" i="13" s="1"/>
  <c r="W435" i="7"/>
  <c r="X435" i="7" s="1"/>
  <c r="M440" i="7"/>
  <c r="N440" i="7" s="1"/>
  <c r="O47" i="13" s="1"/>
  <c r="I39" i="21" s="1"/>
  <c r="W440" i="7"/>
  <c r="X440" i="7" s="1"/>
  <c r="M437" i="7"/>
  <c r="N437" i="7" s="1"/>
  <c r="L47" i="13" s="1"/>
  <c r="W437" i="7"/>
  <c r="X437" i="7" s="1"/>
  <c r="Y421" i="7"/>
  <c r="M431" i="7"/>
  <c r="N431" i="7" s="1"/>
  <c r="F47" i="13" s="1"/>
  <c r="D39" i="21" s="1"/>
  <c r="W431" i="7"/>
  <c r="X431" i="7" s="1"/>
  <c r="M434" i="7"/>
  <c r="N434" i="7" s="1"/>
  <c r="I47" i="13" s="1"/>
  <c r="E39" i="21" s="1"/>
  <c r="W434" i="7"/>
  <c r="X434" i="7" s="1"/>
  <c r="M432" i="7"/>
  <c r="N432" i="7" s="1"/>
  <c r="W432" i="7"/>
  <c r="X432" i="7" s="1"/>
  <c r="M436" i="7"/>
  <c r="N436" i="7" s="1"/>
  <c r="W436" i="7"/>
  <c r="X436" i="7" s="1"/>
  <c r="M433" i="7"/>
  <c r="N433" i="7" s="1"/>
  <c r="H47" i="13" s="1"/>
  <c r="F39" i="21" s="1"/>
  <c r="W433" i="7"/>
  <c r="X433" i="7" s="1"/>
  <c r="M439" i="7"/>
  <c r="N439" i="7" s="1"/>
  <c r="N47" i="13" s="1"/>
  <c r="W439" i="7"/>
  <c r="X439" i="7" s="1"/>
  <c r="M438" i="7"/>
  <c r="N438" i="7" s="1"/>
  <c r="M47" i="13" s="1"/>
  <c r="W438" i="7"/>
  <c r="X438" i="7" s="1"/>
  <c r="M441" i="7"/>
  <c r="N441" i="7" s="1"/>
  <c r="P47" i="13" s="1"/>
  <c r="H39" i="21" s="1"/>
  <c r="W441" i="7"/>
  <c r="X441" i="7" s="1"/>
  <c r="Y423" i="7"/>
  <c r="Y425" i="7"/>
  <c r="I43" i="18"/>
  <c r="K43" i="18" s="1"/>
  <c r="F43" i="18"/>
  <c r="L460" i="7" l="1"/>
  <c r="L459" i="7"/>
  <c r="L458" i="7"/>
  <c r="L457" i="7"/>
  <c r="L456" i="7"/>
  <c r="L453" i="7"/>
  <c r="L463" i="7"/>
  <c r="L455" i="7"/>
  <c r="L462" i="7"/>
  <c r="L454" i="7"/>
  <c r="L461" i="7"/>
  <c r="Y432" i="7"/>
  <c r="G39" i="21"/>
  <c r="K39" i="21" s="1"/>
  <c r="K47" i="13"/>
  <c r="Q46" i="13"/>
  <c r="T46" i="13" s="1"/>
  <c r="G47" i="13"/>
  <c r="Y431" i="7"/>
  <c r="Y433" i="7"/>
  <c r="Y438" i="7"/>
  <c r="Y434" i="7"/>
  <c r="Y439" i="7"/>
  <c r="Y437" i="7"/>
  <c r="Y435" i="7"/>
  <c r="Y436" i="7"/>
  <c r="M444" i="7"/>
  <c r="N444" i="7" s="1"/>
  <c r="H48" i="13" s="1"/>
  <c r="F11" i="21" s="1"/>
  <c r="W444" i="7"/>
  <c r="X444" i="7" s="1"/>
  <c r="M443" i="7"/>
  <c r="N443" i="7" s="1"/>
  <c r="W443" i="7"/>
  <c r="X443" i="7" s="1"/>
  <c r="M448" i="7"/>
  <c r="N448" i="7" s="1"/>
  <c r="L48" i="13" s="1"/>
  <c r="W448" i="7"/>
  <c r="X448" i="7" s="1"/>
  <c r="Y441" i="7"/>
  <c r="M445" i="7"/>
  <c r="N445" i="7" s="1"/>
  <c r="I48" i="13" s="1"/>
  <c r="E11" i="21" s="1"/>
  <c r="W445" i="7"/>
  <c r="X445" i="7" s="1"/>
  <c r="M450" i="7"/>
  <c r="N450" i="7" s="1"/>
  <c r="W450" i="7"/>
  <c r="X450" i="7" s="1"/>
  <c r="Y440" i="7"/>
  <c r="M447" i="7"/>
  <c r="N447" i="7" s="1"/>
  <c r="W447" i="7"/>
  <c r="X447" i="7" s="1"/>
  <c r="M452" i="7"/>
  <c r="N452" i="7" s="1"/>
  <c r="P48" i="13" s="1"/>
  <c r="H11" i="21" s="1"/>
  <c r="W452" i="7"/>
  <c r="X452" i="7" s="1"/>
  <c r="M442" i="7"/>
  <c r="N442" i="7" s="1"/>
  <c r="F48" i="13" s="1"/>
  <c r="D11" i="21" s="1"/>
  <c r="W442" i="7"/>
  <c r="X442" i="7" s="1"/>
  <c r="M449" i="7"/>
  <c r="N449" i="7" s="1"/>
  <c r="M48" i="13" s="1"/>
  <c r="W449" i="7"/>
  <c r="X449" i="7" s="1"/>
  <c r="M451" i="7"/>
  <c r="N451" i="7" s="1"/>
  <c r="O48" i="13" s="1"/>
  <c r="I11" i="21" s="1"/>
  <c r="W451" i="7"/>
  <c r="X451" i="7" s="1"/>
  <c r="M446" i="7"/>
  <c r="N446" i="7" s="1"/>
  <c r="J48" i="13" s="1"/>
  <c r="W446" i="7"/>
  <c r="X446" i="7" s="1"/>
  <c r="H44" i="18"/>
  <c r="I44" i="18" s="1"/>
  <c r="K44" i="18" s="1"/>
  <c r="F44" i="18"/>
  <c r="L468" i="7" l="1"/>
  <c r="L467" i="7"/>
  <c r="L469" i="7"/>
  <c r="L474" i="7"/>
  <c r="L466" i="7"/>
  <c r="L473" i="7"/>
  <c r="L465" i="7"/>
  <c r="L472" i="7"/>
  <c r="L464" i="7"/>
  <c r="L471" i="7"/>
  <c r="L470" i="7"/>
  <c r="G11" i="21"/>
  <c r="K11" i="21" s="1"/>
  <c r="K48" i="13"/>
  <c r="Q47" i="13"/>
  <c r="T47" i="13" s="1"/>
  <c r="G48" i="13"/>
  <c r="N48" i="13"/>
  <c r="Y452" i="7"/>
  <c r="Y445" i="7"/>
  <c r="Y446" i="7"/>
  <c r="Y450" i="7"/>
  <c r="Y442" i="7"/>
  <c r="Y448" i="7"/>
  <c r="Y447" i="7"/>
  <c r="Y444" i="7"/>
  <c r="M457" i="7"/>
  <c r="N457" i="7" s="1"/>
  <c r="J49" i="13" s="1"/>
  <c r="W457" i="7"/>
  <c r="X457" i="7" s="1"/>
  <c r="M461" i="7"/>
  <c r="N461" i="7" s="1"/>
  <c r="W461" i="7"/>
  <c r="X461" i="7" s="1"/>
  <c r="Y451" i="7"/>
  <c r="M454" i="7"/>
  <c r="N454" i="7" s="1"/>
  <c r="W454" i="7"/>
  <c r="X454" i="7" s="1"/>
  <c r="M458" i="7"/>
  <c r="N458" i="7" s="1"/>
  <c r="W458" i="7"/>
  <c r="X458" i="7" s="1"/>
  <c r="M460" i="7"/>
  <c r="N460" i="7" s="1"/>
  <c r="M49" i="13" s="1"/>
  <c r="W460" i="7"/>
  <c r="X460" i="7" s="1"/>
  <c r="M455" i="7"/>
  <c r="N455" i="7" s="1"/>
  <c r="H49" i="13" s="1"/>
  <c r="F12" i="21" s="1"/>
  <c r="W455" i="7"/>
  <c r="X455" i="7" s="1"/>
  <c r="Y449" i="7"/>
  <c r="Y443" i="7"/>
  <c r="M459" i="7"/>
  <c r="N459" i="7" s="1"/>
  <c r="L49" i="13" s="1"/>
  <c r="W459" i="7"/>
  <c r="X459" i="7" s="1"/>
  <c r="M463" i="7"/>
  <c r="N463" i="7" s="1"/>
  <c r="P49" i="13" s="1"/>
  <c r="H12" i="21" s="1"/>
  <c r="W463" i="7"/>
  <c r="X463" i="7" s="1"/>
  <c r="M456" i="7"/>
  <c r="N456" i="7" s="1"/>
  <c r="I49" i="13" s="1"/>
  <c r="E12" i="21" s="1"/>
  <c r="W456" i="7"/>
  <c r="X456" i="7" s="1"/>
  <c r="M453" i="7"/>
  <c r="N453" i="7" s="1"/>
  <c r="F49" i="13" s="1"/>
  <c r="D12" i="21" s="1"/>
  <c r="W453" i="7"/>
  <c r="X453" i="7" s="1"/>
  <c r="M462" i="7"/>
  <c r="N462" i="7" s="1"/>
  <c r="O49" i="13" s="1"/>
  <c r="I12" i="21" s="1"/>
  <c r="W462" i="7"/>
  <c r="X462" i="7" s="1"/>
  <c r="I45" i="18"/>
  <c r="K45" i="18" s="1"/>
  <c r="F45" i="18"/>
  <c r="L484" i="7" l="1"/>
  <c r="L476" i="7"/>
  <c r="L485" i="7"/>
  <c r="L483" i="7"/>
  <c r="L475" i="7"/>
  <c r="L482" i="7"/>
  <c r="L481" i="7"/>
  <c r="L480" i="7"/>
  <c r="L479" i="7"/>
  <c r="L478" i="7"/>
  <c r="L477" i="7"/>
  <c r="G12" i="21"/>
  <c r="K12" i="21" s="1"/>
  <c r="Y458" i="7"/>
  <c r="G49" i="13"/>
  <c r="Q48" i="13"/>
  <c r="T48" i="13" s="1"/>
  <c r="N49" i="13"/>
  <c r="K49" i="13"/>
  <c r="Y459" i="7"/>
  <c r="Y460" i="7"/>
  <c r="Y455" i="7"/>
  <c r="Y462" i="7"/>
  <c r="Y453" i="7"/>
  <c r="Y454" i="7"/>
  <c r="Y463" i="7"/>
  <c r="Y457" i="7"/>
  <c r="M467" i="7"/>
  <c r="N467" i="7" s="1"/>
  <c r="I50" i="13" s="1"/>
  <c r="E50" i="21" s="1"/>
  <c r="W467" i="7"/>
  <c r="X467" i="7" s="1"/>
  <c r="M469" i="7"/>
  <c r="N469" i="7" s="1"/>
  <c r="W469" i="7"/>
  <c r="X469" i="7" s="1"/>
  <c r="M473" i="7"/>
  <c r="N473" i="7" s="1"/>
  <c r="O50" i="13" s="1"/>
  <c r="I50" i="21" s="1"/>
  <c r="W473" i="7"/>
  <c r="X473" i="7" s="1"/>
  <c r="M464" i="7"/>
  <c r="N464" i="7" s="1"/>
  <c r="F50" i="13" s="1"/>
  <c r="D50" i="21" s="1"/>
  <c r="W464" i="7"/>
  <c r="X464" i="7" s="1"/>
  <c r="M474" i="7"/>
  <c r="N474" i="7" s="1"/>
  <c r="P50" i="13" s="1"/>
  <c r="H50" i="21" s="1"/>
  <c r="W474" i="7"/>
  <c r="X474" i="7" s="1"/>
  <c r="M468" i="7"/>
  <c r="N468" i="7" s="1"/>
  <c r="J50" i="13" s="1"/>
  <c r="W468" i="7"/>
  <c r="X468" i="7" s="1"/>
  <c r="M471" i="7"/>
  <c r="N471" i="7" s="1"/>
  <c r="M50" i="13" s="1"/>
  <c r="W471" i="7"/>
  <c r="X471" i="7" s="1"/>
  <c r="Y456" i="7"/>
  <c r="Y461" i="7"/>
  <c r="M472" i="7"/>
  <c r="N472" i="7" s="1"/>
  <c r="N50" i="13" s="1"/>
  <c r="W472" i="7"/>
  <c r="X472" i="7" s="1"/>
  <c r="M465" i="7"/>
  <c r="N465" i="7" s="1"/>
  <c r="W465" i="7"/>
  <c r="X465" i="7" s="1"/>
  <c r="M470" i="7"/>
  <c r="N470" i="7" s="1"/>
  <c r="L50" i="13" s="1"/>
  <c r="W470" i="7"/>
  <c r="X470" i="7" s="1"/>
  <c r="M466" i="7"/>
  <c r="N466" i="7" s="1"/>
  <c r="H50" i="13" s="1"/>
  <c r="F50" i="21" s="1"/>
  <c r="W466" i="7"/>
  <c r="X466" i="7" s="1"/>
  <c r="G50" i="21" l="1"/>
  <c r="K50" i="21" s="1"/>
  <c r="Q49" i="13"/>
  <c r="T49" i="13" s="1"/>
  <c r="G50" i="13"/>
  <c r="K50" i="13"/>
  <c r="Y474" i="7"/>
  <c r="Y467" i="7"/>
  <c r="Y471" i="7"/>
  <c r="Y473" i="7"/>
  <c r="M476" i="7"/>
  <c r="N476" i="7" s="1"/>
  <c r="W476" i="7"/>
  <c r="X476" i="7" s="1"/>
  <c r="Y466" i="7"/>
  <c r="Y464" i="7"/>
  <c r="M483" i="7"/>
  <c r="N483" i="7" s="1"/>
  <c r="W483" i="7"/>
  <c r="X483" i="7" s="1"/>
  <c r="Y470" i="7"/>
  <c r="M479" i="7"/>
  <c r="N479" i="7" s="1"/>
  <c r="J51" i="13" s="1"/>
  <c r="W479" i="7"/>
  <c r="X479" i="7" s="1"/>
  <c r="M485" i="7"/>
  <c r="N485" i="7" s="1"/>
  <c r="P51" i="13" s="1"/>
  <c r="W485" i="7"/>
  <c r="M475" i="7"/>
  <c r="N475" i="7" s="1"/>
  <c r="F51" i="13" s="1"/>
  <c r="W475" i="7"/>
  <c r="X475" i="7" s="1"/>
  <c r="Y465" i="7"/>
  <c r="Y468" i="7"/>
  <c r="Y469" i="7"/>
  <c r="M482" i="7"/>
  <c r="N482" i="7" s="1"/>
  <c r="M51" i="13" s="1"/>
  <c r="M53" i="13" s="1"/>
  <c r="W482" i="7"/>
  <c r="X482" i="7" s="1"/>
  <c r="M477" i="7"/>
  <c r="N477" i="7" s="1"/>
  <c r="H51" i="13" s="1"/>
  <c r="W477" i="7"/>
  <c r="X477" i="7" s="1"/>
  <c r="Y472" i="7"/>
  <c r="M481" i="7"/>
  <c r="N481" i="7" s="1"/>
  <c r="L51" i="13" s="1"/>
  <c r="L53" i="13" s="1"/>
  <c r="W481" i="7"/>
  <c r="X481" i="7" s="1"/>
  <c r="M480" i="7"/>
  <c r="N480" i="7" s="1"/>
  <c r="K51" i="13" s="1"/>
  <c r="W480" i="7"/>
  <c r="X480" i="7" s="1"/>
  <c r="M484" i="7"/>
  <c r="N484" i="7" s="1"/>
  <c r="O51" i="13" s="1"/>
  <c r="W484" i="7"/>
  <c r="X484" i="7" s="1"/>
  <c r="M478" i="7"/>
  <c r="N478" i="7" s="1"/>
  <c r="I51" i="13" s="1"/>
  <c r="W478" i="7"/>
  <c r="X478" i="7" s="1"/>
  <c r="F9" i="20" l="1"/>
  <c r="G9" i="20" s="1"/>
  <c r="F7" i="20"/>
  <c r="G7" i="20" s="1"/>
  <c r="Y480" i="7"/>
  <c r="G51" i="13"/>
  <c r="G53" i="13" s="1"/>
  <c r="O53" i="13"/>
  <c r="I16" i="21"/>
  <c r="J53" i="13"/>
  <c r="G16" i="21"/>
  <c r="I53" i="13"/>
  <c r="E16" i="21"/>
  <c r="F53" i="13"/>
  <c r="D16" i="21"/>
  <c r="P53" i="13"/>
  <c r="H16" i="21"/>
  <c r="H53" i="13"/>
  <c r="F16" i="21"/>
  <c r="Y479" i="7"/>
  <c r="Q50" i="13"/>
  <c r="T50" i="13" s="1"/>
  <c r="K53" i="13"/>
  <c r="Y475" i="7"/>
  <c r="N51" i="13"/>
  <c r="N53" i="13" s="1"/>
  <c r="Y477" i="7"/>
  <c r="Y478" i="7"/>
  <c r="Y484" i="7"/>
  <c r="Y481" i="7"/>
  <c r="Y482" i="7"/>
  <c r="Y476" i="7"/>
  <c r="Y483" i="7"/>
  <c r="X485" i="7"/>
  <c r="K16" i="21" l="1"/>
  <c r="K54" i="21" s="1"/>
  <c r="Q51" i="13"/>
  <c r="Q53" i="13" s="1"/>
  <c r="Y485" i="7"/>
  <c r="F10" i="20"/>
  <c r="G10" i="20" s="1"/>
  <c r="F11" i="20"/>
  <c r="G11" i="20" s="1"/>
  <c r="F4" i="20"/>
  <c r="G4" i="20" s="1"/>
  <c r="F6" i="20"/>
  <c r="G6" i="20" s="1"/>
  <c r="F3" i="20"/>
  <c r="G3" i="20" s="1"/>
  <c r="F5" i="20"/>
  <c r="G5" i="20" s="1"/>
  <c r="F8" i="20"/>
  <c r="G8" i="20" s="1"/>
  <c r="T51" i="13" l="1"/>
  <c r="T53" i="13" s="1"/>
  <c r="I12" i="20" s="1"/>
  <c r="G12" i="20"/>
  <c r="F12" i="20"/>
  <c r="I9" i="20" l="1"/>
  <c r="I7" i="20"/>
  <c r="I11" i="20"/>
  <c r="I4" i="20"/>
  <c r="I6" i="20"/>
  <c r="I3" i="20"/>
  <c r="K56" i="21"/>
  <c r="I5" i="20"/>
  <c r="I8" i="20"/>
  <c r="I10" i="20"/>
  <c r="F14" i="20"/>
  <c r="G14" i="20"/>
  <c r="E14" i="20"/>
  <c r="D14" i="20"/>
  <c r="C14" i="20"/>
</calcChain>
</file>

<file path=xl/sharedStrings.xml><?xml version="1.0" encoding="utf-8"?>
<sst xmlns="http://schemas.openxmlformats.org/spreadsheetml/2006/main" count="16493" uniqueCount="958">
  <si>
    <t>No.</t>
  </si>
  <si>
    <t>Name</t>
  </si>
  <si>
    <t>Item No.</t>
  </si>
  <si>
    <t>Description</t>
  </si>
  <si>
    <t>Invoiced Quantity</t>
  </si>
  <si>
    <t>Base Unit of Measure</t>
  </si>
  <si>
    <t>Sales Amount (Actual)</t>
  </si>
  <si>
    <t>Discount Amount</t>
  </si>
  <si>
    <t>Profit</t>
  </si>
  <si>
    <t>Profit %</t>
  </si>
  <si>
    <t>10BOC330B</t>
  </si>
  <si>
    <t>Booster Cider 330ml</t>
  </si>
  <si>
    <t>10CAB330B</t>
  </si>
  <si>
    <t>Castel Beer 330ml</t>
  </si>
  <si>
    <t>10CBG330B</t>
  </si>
  <si>
    <t>Carlsberg Green 330ml</t>
  </si>
  <si>
    <t>10CBS333B</t>
  </si>
  <si>
    <t>Carlsberg Special Brew 330ml</t>
  </si>
  <si>
    <t>10CCB330B</t>
  </si>
  <si>
    <t>Carlsberg Chill 330ml</t>
  </si>
  <si>
    <t>10CKR300B</t>
  </si>
  <si>
    <t>Coca Cola 300ml RGB</t>
  </si>
  <si>
    <t>10FTO300B</t>
  </si>
  <si>
    <t>Fanta Orange 300ml RGB</t>
  </si>
  <si>
    <t>10KCK330B</t>
  </si>
  <si>
    <t>KucheKuche 330ml</t>
  </si>
  <si>
    <t>10WT500SP</t>
  </si>
  <si>
    <t>Quench 500ml 12PK</t>
  </si>
  <si>
    <t>10CKR300P</t>
  </si>
  <si>
    <t>10MGN750B</t>
  </si>
  <si>
    <t>Malawi Gin 750ml</t>
  </si>
  <si>
    <t>10MVD750B</t>
  </si>
  <si>
    <t>Malawi Vodka 750ml</t>
  </si>
  <si>
    <t>10PMB750B</t>
  </si>
  <si>
    <t>Premier Brandy 750ml</t>
  </si>
  <si>
    <t>10PWB750B</t>
  </si>
  <si>
    <t>Powers Brandy 750ml</t>
  </si>
  <si>
    <t>10SBP300B</t>
  </si>
  <si>
    <t>Sobo Cocopina 300ml RGB</t>
  </si>
  <si>
    <t>10SBR300B</t>
  </si>
  <si>
    <t>Sobo Cherryplum 300ml RGB</t>
  </si>
  <si>
    <t>10BOB330B</t>
  </si>
  <si>
    <t>Booster Banana Mama 330ml</t>
  </si>
  <si>
    <t>10DPL330B</t>
  </si>
  <si>
    <t>Doppel Munich 330ml</t>
  </si>
  <si>
    <t>10SGA330B</t>
  </si>
  <si>
    <t>Sobo Ginger 330ml RGB</t>
  </si>
  <si>
    <t>10SPR300B</t>
  </si>
  <si>
    <t>Sprite 300ml RGB</t>
  </si>
  <si>
    <t>10SQA2LTP</t>
  </si>
  <si>
    <t>Squash Pineapple 2000ml</t>
  </si>
  <si>
    <t>10SQO2LTP</t>
  </si>
  <si>
    <t>Squash Orange 2000ml</t>
  </si>
  <si>
    <t>POPAT BLANTYRE</t>
  </si>
  <si>
    <t>10CBG640B</t>
  </si>
  <si>
    <t>Carlsberg Green 640ml</t>
  </si>
  <si>
    <t>10CBS640B</t>
  </si>
  <si>
    <t>Carlsberg Special Brew 640ml</t>
  </si>
  <si>
    <t>10COR300P</t>
  </si>
  <si>
    <t>10FTA300B</t>
  </si>
  <si>
    <t>Fanta Pineapple 300ml RGB</t>
  </si>
  <si>
    <t>10MGN700B</t>
  </si>
  <si>
    <t>Malawi Gin 700ml</t>
  </si>
  <si>
    <t>10PWR750B</t>
  </si>
  <si>
    <t>Powers N°1 750ml</t>
  </si>
  <si>
    <t>10SQ500SP</t>
  </si>
  <si>
    <t>Squash Orange 500ml 12PK</t>
  </si>
  <si>
    <t>10FTO300P</t>
  </si>
  <si>
    <t>10SPR300P</t>
  </si>
  <si>
    <t>10BLU330B</t>
  </si>
  <si>
    <t>Booster Blush 330ml</t>
  </si>
  <si>
    <t>10BOM330B</t>
  </si>
  <si>
    <t>PAMBA WHOLESALE</t>
  </si>
  <si>
    <t>10CBS64X6</t>
  </si>
  <si>
    <t>Carlsberg Special Brew 640ml x6 pack</t>
  </si>
  <si>
    <t>NAWISHA WHOLESALE</t>
  </si>
  <si>
    <t>MKISI ENTERPRISES</t>
  </si>
  <si>
    <t>SUCHI ROUTE DISTRIBITOR</t>
  </si>
  <si>
    <t>10CRP300P</t>
  </si>
  <si>
    <t>10PWB200B</t>
  </si>
  <si>
    <t>Powers Brandy 200ml</t>
  </si>
  <si>
    <t>SIZI MWANZA</t>
  </si>
  <si>
    <t>SIMBEKO</t>
  </si>
  <si>
    <t>CHIMALIRA ENTERPRISES</t>
  </si>
  <si>
    <t>FASH INVESTMENT</t>
  </si>
  <si>
    <t>POPAT LUCHENZA</t>
  </si>
  <si>
    <t>TEARS INVESTMENT</t>
  </si>
  <si>
    <t>CHATANGWA ENTERPRISES</t>
  </si>
  <si>
    <t>10SGA300P</t>
  </si>
  <si>
    <t>KACHIMBONDO ENTERPRISES</t>
  </si>
  <si>
    <t>NARANI ENTERPRISES</t>
  </si>
  <si>
    <t>THIRD WORLD ROUTE DISTRIBUTOR</t>
  </si>
  <si>
    <t>FESA TRADING</t>
  </si>
  <si>
    <t>CHIBOWA SSD</t>
  </si>
  <si>
    <t>10VFR750B</t>
  </si>
  <si>
    <t>Very Framboise 750ml WINE-WH</t>
  </si>
  <si>
    <t>10VPA750B</t>
  </si>
  <si>
    <t>Very Pamp 750ml WINE-WH</t>
  </si>
  <si>
    <t>10VPE750B</t>
  </si>
  <si>
    <t>Very Peach 750ml WINE-WH</t>
  </si>
  <si>
    <t>10CBT333B</t>
  </si>
  <si>
    <t>Carlsberg Stout 330ml</t>
  </si>
  <si>
    <t>HAPPY GENERAL DEALERS</t>
  </si>
  <si>
    <t>MBAMOYO TRADERS</t>
  </si>
  <si>
    <t>10WCO330B</t>
  </si>
  <si>
    <t>World Cola 330ml RGB</t>
  </si>
  <si>
    <t>MDECHI ENTERPRISES</t>
  </si>
  <si>
    <t>NDY INVESTMENTS</t>
  </si>
  <si>
    <t>CHINGA WHOLESALE</t>
  </si>
  <si>
    <t>FLYING DOVE</t>
  </si>
  <si>
    <t>10CBG64X6</t>
  </si>
  <si>
    <t>Carlsberg Green 640ml x6 pack</t>
  </si>
  <si>
    <t>NHLANHLEKA INVESTMENTS</t>
  </si>
  <si>
    <t>CRISO</t>
  </si>
  <si>
    <t>LIKOMA GENERAL TRADERS</t>
  </si>
  <si>
    <t>JATS GENERAL DEALERS</t>
  </si>
  <si>
    <t>MWANJUNI TRADERS</t>
  </si>
  <si>
    <t>CHISANGA DISTRIBUTORS</t>
  </si>
  <si>
    <t>THABOLAND DISTRIBUTORS</t>
  </si>
  <si>
    <t>DELCO TRADERS</t>
  </si>
  <si>
    <t>10WTR500P</t>
  </si>
  <si>
    <t>Quench 500ml</t>
  </si>
  <si>
    <t>DISTRIBUTORS WHO SUBMITTED ALL REQUIRED DOCUMENT</t>
  </si>
  <si>
    <t>CUSTOMER SALES VOLUME TARGET SETTING:</t>
  </si>
  <si>
    <t>TARGET WAS SET BY LOOKING AT THE GROWTH IN VOLUME:</t>
  </si>
  <si>
    <t xml:space="preserve">PER CUSTOMER AND PER CATEGORY </t>
  </si>
  <si>
    <t>ABOVE BGT AND PRIOR YEAR WITH A CHALLENGING LEVEL</t>
  </si>
  <si>
    <t>CREDIT NOTE CALCULATION:</t>
  </si>
  <si>
    <t>FOR EACH CATEGORY, WE TAKE THE SALES AMOUNT (MK) CORRESPONDING TO THE SALE VOLUME TARGET</t>
  </si>
  <si>
    <t>AND CALCULATE THE DISCOUNT USING THE RATE GIVEN ABOVE.</t>
  </si>
  <si>
    <t>Alcomix</t>
  </si>
  <si>
    <t>Spirits</t>
  </si>
  <si>
    <t>Water</t>
  </si>
  <si>
    <t>Squash</t>
  </si>
  <si>
    <t>Direct Margin</t>
  </si>
  <si>
    <t>Extra discount on Target</t>
  </si>
  <si>
    <t>Invoice</t>
  </si>
  <si>
    <t>Discount Scheme
Main Cities</t>
  </si>
  <si>
    <t>Category</t>
  </si>
  <si>
    <t>Booster</t>
  </si>
  <si>
    <t>SR</t>
  </si>
  <si>
    <t>Distributor</t>
  </si>
  <si>
    <t>NANDOR TRADING COMPANY - LIWONDE</t>
  </si>
  <si>
    <t>NANDOR TRADING COMPANY - NTAJA</t>
  </si>
  <si>
    <t>KANGAROO TRADING COMPANY</t>
  </si>
  <si>
    <t>CR</t>
  </si>
  <si>
    <t>ZINGATIKOME TRADING</t>
  </si>
  <si>
    <t>PENU GENERAL DEALERS</t>
  </si>
  <si>
    <t>WOODPECKER GENERAL DEALERS</t>
  </si>
  <si>
    <t>KUMANJA ENTERPRISES</t>
  </si>
  <si>
    <t>KAMAKANDA RN GENERAL DEALERS</t>
  </si>
  <si>
    <t>NR</t>
  </si>
  <si>
    <t>Region</t>
  </si>
  <si>
    <t>Customer Type</t>
  </si>
  <si>
    <t>Sales Amount (MK)</t>
  </si>
  <si>
    <t>Cl</t>
  </si>
  <si>
    <t>Nb</t>
  </si>
  <si>
    <t>HL</t>
  </si>
  <si>
    <t>Brand</t>
  </si>
  <si>
    <t>Pack</t>
  </si>
  <si>
    <t>Family</t>
  </si>
  <si>
    <t>Cans</t>
  </si>
  <si>
    <t>Wines</t>
  </si>
  <si>
    <t>Gross margin</t>
  </si>
  <si>
    <t>All products</t>
  </si>
  <si>
    <t>ALL</t>
  </si>
  <si>
    <t>All_categories</t>
  </si>
  <si>
    <t>Castel Beer</t>
  </si>
  <si>
    <t>RGB</t>
  </si>
  <si>
    <t xml:space="preserve">Coca Cola 300ml PET </t>
  </si>
  <si>
    <t>Coca Cola 300ml CAN</t>
  </si>
  <si>
    <t>AOC Cotes du Rhone 750ml WINE-RE</t>
  </si>
  <si>
    <t>Carlsberg</t>
  </si>
  <si>
    <t>Booster Cider 330ml x6 pack</t>
  </si>
  <si>
    <t>Coke Zero 300ml RGB</t>
  </si>
  <si>
    <t>Sobo Cocopina 300ml PET</t>
  </si>
  <si>
    <t>Sparl Creme Soda 300ml CAN</t>
  </si>
  <si>
    <t>Chateau Barreyres 13/14 750ml WINE-RE</t>
  </si>
  <si>
    <t>Malawi Gin 750ml Export (BLOCKED)</t>
  </si>
  <si>
    <t xml:space="preserve">SOBO Cherryplum 300ml PET </t>
  </si>
  <si>
    <t>Squash Orange 500ml</t>
  </si>
  <si>
    <t>Coke Zero 300ml CAN</t>
  </si>
  <si>
    <t>Chateau Cavalier Rose 750ml WINE-RS</t>
  </si>
  <si>
    <t>Fanta Orange 300ml PET</t>
  </si>
  <si>
    <t>Fanta Grape 300ml CAN</t>
  </si>
  <si>
    <t>Chateau Ferrande 13/14 750ml WINE-RE</t>
  </si>
  <si>
    <t>Booster Mojito 330ml</t>
  </si>
  <si>
    <t>Fanta Red Apple 300ml RGB</t>
  </si>
  <si>
    <t>Sobo Orange 300ml PET</t>
  </si>
  <si>
    <t>Fanta Orange 300ml CAN</t>
  </si>
  <si>
    <t>Chardonnay 750ml WINE-WH</t>
  </si>
  <si>
    <t>Fanta Passion 300ml RGB (BLOCKED)</t>
  </si>
  <si>
    <t>Sobo Tropical 300ml PET</t>
  </si>
  <si>
    <t>Fanta Pineapple 300ml CAN</t>
  </si>
  <si>
    <t>Maison Castel Ice Cuvée Blanche 750ml WINE-WH</t>
  </si>
  <si>
    <t>SOBO Ginger 300ml PET</t>
  </si>
  <si>
    <t>Twist Lemon 300ml CAN</t>
  </si>
  <si>
    <t>Maison Castel Ice Cuvée Blanche Ltd 750ml WINE-WH</t>
  </si>
  <si>
    <t>Malawi Gin 200ml</t>
  </si>
  <si>
    <t>Sobo Orange 300ml RGB</t>
  </si>
  <si>
    <t>Sprite 300ml PET</t>
  </si>
  <si>
    <t>Sparl Sparberry 300ml CAN</t>
  </si>
  <si>
    <t>Maison Castel Ice Cuvée Rose 750ml WINE-RS</t>
  </si>
  <si>
    <t>Malawi Vodka 200ml</t>
  </si>
  <si>
    <t>World Cola 300ml PET</t>
  </si>
  <si>
    <t>Sprite 300ml CAN</t>
  </si>
  <si>
    <t>Maison Castel Ice Cuvée Rose Ltd 750ml WINE-RS</t>
  </si>
  <si>
    <t>Kuchekuche</t>
  </si>
  <si>
    <t>Premier Brandy 200ml</t>
  </si>
  <si>
    <t>Fanta Orange 500ml PET</t>
  </si>
  <si>
    <t>Twist Grandilla 300ml CAN</t>
  </si>
  <si>
    <t>Maison Castel Merlot 750ml WINE-RE</t>
  </si>
  <si>
    <t>Doppel Munich</t>
  </si>
  <si>
    <t>Sobo Tropical 300ml RGB</t>
  </si>
  <si>
    <t>Sprite 500ml PET</t>
  </si>
  <si>
    <t>Schweppes Ginger Ale 200ml CAN</t>
  </si>
  <si>
    <t>Malta Tonic 330ml</t>
  </si>
  <si>
    <t>10MAT330B</t>
  </si>
  <si>
    <t>Malta Tonic</t>
  </si>
  <si>
    <t>Powers N°1 200ml</t>
  </si>
  <si>
    <t>Sobo Cocopina 350ml PET</t>
  </si>
  <si>
    <t>Schweppes Soda Water 200ml CAN</t>
  </si>
  <si>
    <t>Sobo Cherryplum 350ml PET</t>
  </si>
  <si>
    <t>Schweppes Tonic Water 200ml CAN</t>
  </si>
  <si>
    <t>10BOC33X6</t>
  </si>
  <si>
    <t>Sobo Tropical 350ml PET</t>
  </si>
  <si>
    <t>Coca Cola 330ml CAN</t>
  </si>
  <si>
    <t>Blue Top Champ Brut 750ml WINE-CH</t>
  </si>
  <si>
    <t>Sobo Ginger 350ml PET</t>
  </si>
  <si>
    <t>Coke Light 330ml CAN</t>
  </si>
  <si>
    <t>Chateau d'Arcins 750ml WINE-RE</t>
  </si>
  <si>
    <t>Sobo Orange 350ml PET</t>
  </si>
  <si>
    <t>Sparberry 330ml CAN</t>
  </si>
  <si>
    <t>Les Ormes de Cambras Merlot 5000ml WINE-RE</t>
  </si>
  <si>
    <t>World Cola 350ml PET</t>
  </si>
  <si>
    <t>Sprite 330ml CAN</t>
  </si>
  <si>
    <t>Chateau Malbec 750ml WINE-RE</t>
  </si>
  <si>
    <t>10MGN200B</t>
  </si>
  <si>
    <t>MDL</t>
  </si>
  <si>
    <t>OWB</t>
  </si>
  <si>
    <t>Crème Soda 330ml CAN</t>
  </si>
  <si>
    <t>Chateau Ferrande 15 750ml WINE-RE</t>
  </si>
  <si>
    <t>Coke Zero 330ml CAN</t>
  </si>
  <si>
    <t>Chateau Barreyres 15 750ml WINE-RE</t>
  </si>
  <si>
    <t>Fanta Grape 330ml CAN</t>
  </si>
  <si>
    <t>Maison Castel Chablis 750ml WINE-WH</t>
  </si>
  <si>
    <t>10MVD200B</t>
  </si>
  <si>
    <t>Fanta Orange 330ml CAN</t>
  </si>
  <si>
    <t>Chateau Tour Prignac 750ml WINE-RE</t>
  </si>
  <si>
    <t>Fanta Pineapple 330ml CAN</t>
  </si>
  <si>
    <t>Chateau Montlabert 750ml WINE-RE</t>
  </si>
  <si>
    <t>10PMB200B</t>
  </si>
  <si>
    <t>Twist Lemon 330ml CAN</t>
  </si>
  <si>
    <t>Les Ormes de Cambras Sauvignon 5000ml WINE-WH</t>
  </si>
  <si>
    <t>Twist Grenadilla 330ml CAN</t>
  </si>
  <si>
    <t>10PWR200B</t>
  </si>
  <si>
    <t>10MGE750B</t>
  </si>
  <si>
    <t>Coca-Cola</t>
  </si>
  <si>
    <t>10CKZ300B</t>
  </si>
  <si>
    <t>Fanta</t>
  </si>
  <si>
    <t>10FRA300B</t>
  </si>
  <si>
    <t>10FTP300B</t>
  </si>
  <si>
    <t>Sprite</t>
  </si>
  <si>
    <t>10SBO300B</t>
  </si>
  <si>
    <t>Sobo</t>
  </si>
  <si>
    <t>10SBT300B</t>
  </si>
  <si>
    <t>World Cola</t>
  </si>
  <si>
    <t>Coca Cola 500ml PET</t>
  </si>
  <si>
    <t>10CKR500P</t>
  </si>
  <si>
    <t>PET</t>
  </si>
  <si>
    <t>10FTO500P</t>
  </si>
  <si>
    <t>10SPR500P</t>
  </si>
  <si>
    <t>10COR350P</t>
  </si>
  <si>
    <t>10CRP350P</t>
  </si>
  <si>
    <t>10SBT350P</t>
  </si>
  <si>
    <t>10SGA350P</t>
  </si>
  <si>
    <t>10SBO350P</t>
  </si>
  <si>
    <t>10WCO350P</t>
  </si>
  <si>
    <t>Coca Cola</t>
  </si>
  <si>
    <t>Case</t>
  </si>
  <si>
    <t>10SBO300P</t>
  </si>
  <si>
    <t>10SBT300P</t>
  </si>
  <si>
    <t>10WCO300P</t>
  </si>
  <si>
    <t>10SQO500P</t>
  </si>
  <si>
    <t>Quench</t>
  </si>
  <si>
    <t>10CCC300C</t>
  </si>
  <si>
    <t>CAN</t>
  </si>
  <si>
    <t>10CRC300C</t>
  </si>
  <si>
    <t>Sparletta</t>
  </si>
  <si>
    <t>10CZC300C</t>
  </si>
  <si>
    <t>10FGC300C</t>
  </si>
  <si>
    <t>10FTO300C</t>
  </si>
  <si>
    <t>10FTP300C</t>
  </si>
  <si>
    <t>10LTC300C</t>
  </si>
  <si>
    <t>Twist</t>
  </si>
  <si>
    <t>10SPA300C</t>
  </si>
  <si>
    <t>10SPC300C</t>
  </si>
  <si>
    <t>10TGD300C</t>
  </si>
  <si>
    <t>10SGA200C</t>
  </si>
  <si>
    <t>Schweppes</t>
  </si>
  <si>
    <t>10SSW200C</t>
  </si>
  <si>
    <t>10STW200C</t>
  </si>
  <si>
    <t>10CCC330C</t>
  </si>
  <si>
    <t>10CLC330C</t>
  </si>
  <si>
    <t>10SPA330C</t>
  </si>
  <si>
    <t>10SPC330C</t>
  </si>
  <si>
    <t>10CRC330C</t>
  </si>
  <si>
    <t>10CZC330C</t>
  </si>
  <si>
    <t>10FGC330C</t>
  </si>
  <si>
    <t>10FTC330C</t>
  </si>
  <si>
    <t>10FTP330C</t>
  </si>
  <si>
    <t>10LTC330C</t>
  </si>
  <si>
    <t>10TGD330C</t>
  </si>
  <si>
    <t>10AOR750B</t>
  </si>
  <si>
    <t>WINES</t>
  </si>
  <si>
    <t>10CHB750B</t>
  </si>
  <si>
    <t>10CHC750B</t>
  </si>
  <si>
    <t>10CHF750B</t>
  </si>
  <si>
    <t>10CHV750B</t>
  </si>
  <si>
    <t>10MC-IC BB</t>
  </si>
  <si>
    <t>10MC-ICBLB</t>
  </si>
  <si>
    <t>10MC-ICRB</t>
  </si>
  <si>
    <t>10MC-ICRLB</t>
  </si>
  <si>
    <t>10MEL750B</t>
  </si>
  <si>
    <t>10BTB750B</t>
  </si>
  <si>
    <t>10CHD750B</t>
  </si>
  <si>
    <t>10MEP5LTS</t>
  </si>
  <si>
    <t>10BRC750B</t>
  </si>
  <si>
    <t>10GRF750B</t>
  </si>
  <si>
    <t>10HMB750B</t>
  </si>
  <si>
    <t>10MCC750B</t>
  </si>
  <si>
    <t>10PMS750B</t>
  </si>
  <si>
    <t>10SGM750B</t>
  </si>
  <si>
    <t>10SBP5LTS</t>
  </si>
  <si>
    <t>CANS</t>
  </si>
  <si>
    <t>Credit Note Value (MK)</t>
  </si>
  <si>
    <t>CREDIT NOTE AMOUNT BY CATEGORY (MWK)</t>
  </si>
  <si>
    <t>Sr.</t>
  </si>
  <si>
    <t>Acct No.</t>
  </si>
  <si>
    <t>TOTAL</t>
  </si>
  <si>
    <t>MONTH:</t>
  </si>
  <si>
    <t>YEAR:</t>
  </si>
  <si>
    <t>JANUARY</t>
  </si>
  <si>
    <t>NAMAUYA INVESTMENTS</t>
  </si>
  <si>
    <t>ARADIN TRADING</t>
  </si>
  <si>
    <t>INVEST GLOBAL</t>
  </si>
  <si>
    <t>GRAND TOTAL</t>
  </si>
  <si>
    <t>Approved for Sales by the Commercial &amp; Marketing Director</t>
  </si>
  <si>
    <t xml:space="preserve">Signature:            </t>
  </si>
  <si>
    <t>Approved by the CFO</t>
  </si>
  <si>
    <t>Prepared By:</t>
  </si>
  <si>
    <t>Signature :</t>
  </si>
  <si>
    <t>KO_RGB</t>
  </si>
  <si>
    <t>KO_PET</t>
  </si>
  <si>
    <t>SOBO_RGB</t>
  </si>
  <si>
    <t>SOBO_PET</t>
  </si>
  <si>
    <t>Other Beer</t>
  </si>
  <si>
    <t>Other Beers</t>
  </si>
  <si>
    <t>Budget (cases)</t>
  </si>
  <si>
    <t>Actual (cases)</t>
  </si>
  <si>
    <t>Reviewed by Controlling:</t>
  </si>
  <si>
    <t>FEBRUARY</t>
  </si>
  <si>
    <t>10SQA500P</t>
  </si>
  <si>
    <t>Squash Pineapple 500ml 12PK</t>
  </si>
  <si>
    <t>Calendar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</si>
  <si>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</si>
  <si>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</si>
  <si>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</si>
  <si>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</si>
  <si>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</si>
  <si>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</si>
  <si>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</si>
  <si>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</si>
  <si>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</si>
  <si>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</si>
  <si>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Execution (Coverage/ Distrbn)</t>
  </si>
  <si>
    <t>EG return rate</t>
  </si>
  <si>
    <t>Truck Turn around time</t>
  </si>
  <si>
    <t>BOUCLAGE EG Cust Cons_Decons</t>
  </si>
  <si>
    <t>Customer Budget Per category</t>
  </si>
  <si>
    <t>Commercial to provide monthly customer budgets per category</t>
  </si>
  <si>
    <t>Navision Sales Dump</t>
  </si>
  <si>
    <t>AVERAGE TIME</t>
  </si>
  <si>
    <t>STANDARD</t>
  </si>
  <si>
    <t>%AGE OF ADHERENCE</t>
  </si>
  <si>
    <t>Customer: Select All</t>
  </si>
  <si>
    <t>Company: SOBO</t>
  </si>
  <si>
    <t>Add Blocked Customer: False</t>
  </si>
  <si>
    <t>&gt;&gt;Delete other lines to remain with customer totals</t>
  </si>
  <si>
    <t>Total Discount (%)</t>
  </si>
  <si>
    <t>Castel Beer+KK</t>
  </si>
  <si>
    <t>Customer Num Distr.</t>
  </si>
  <si>
    <t>TT Around time</t>
  </si>
  <si>
    <t>Customer/Item/Sales</t>
  </si>
  <si>
    <t>Date filter</t>
  </si>
  <si>
    <t>TTA Time %</t>
  </si>
  <si>
    <t>EG Return Rate %</t>
  </si>
  <si>
    <t>Execution (Num Distr.) %</t>
  </si>
  <si>
    <t>Volume Target %</t>
  </si>
  <si>
    <t>Total Numeric Distr.</t>
  </si>
  <si>
    <t>Customer Number</t>
  </si>
  <si>
    <t>Customer Name</t>
  </si>
  <si>
    <t>Blocked Status</t>
  </si>
  <si>
    <t>Consignation Btlles</t>
  </si>
  <si>
    <t>Déconsignation Btlles</t>
  </si>
  <si>
    <t>% Décons btlles</t>
  </si>
  <si>
    <t>Consignation casiers</t>
  </si>
  <si>
    <t>Déconsignation casiers</t>
  </si>
  <si>
    <t>% Décons casiers</t>
  </si>
  <si>
    <t>10STO300C</t>
  </si>
  <si>
    <t>Stoney Zero 300ml CAN</t>
  </si>
  <si>
    <t>Logistics to provide monthly customer actuals</t>
  </si>
  <si>
    <t>Commercial to provide monthly actuals</t>
  </si>
  <si>
    <t>Check</t>
  </si>
  <si>
    <t>Distr. Tgts</t>
  </si>
  <si>
    <t>Bespat Building Contractors(Mchinji)</t>
  </si>
  <si>
    <t>Stoney</t>
  </si>
  <si>
    <t>Beers</t>
  </si>
  <si>
    <t>n/a</t>
  </si>
  <si>
    <t>INCENTIVE LOSS
STD TIME</t>
  </si>
  <si>
    <t>SUB TOTAL</t>
  </si>
  <si>
    <t xml:space="preserve">Check </t>
  </si>
  <si>
    <t>Diff</t>
  </si>
  <si>
    <t>Non-compliance</t>
  </si>
  <si>
    <t>Non-Compliance</t>
  </si>
  <si>
    <t>Volume Target (MK)</t>
  </si>
  <si>
    <t>Execution (Num Distr.) (MK)</t>
  </si>
  <si>
    <t>TTA Time (MK)</t>
  </si>
  <si>
    <t>EG Return Rate (MK)</t>
  </si>
  <si>
    <t>Credit not Value (MK)</t>
  </si>
  <si>
    <t xml:space="preserve"> Check</t>
  </si>
  <si>
    <t>Extra discount on Target
(MK)</t>
  </si>
  <si>
    <t>Execution (Coverage/ Distrbn)
(MK)</t>
  </si>
  <si>
    <t>EG return rate
(MK)</t>
  </si>
  <si>
    <t>Truck Turn around time
(MK)</t>
  </si>
  <si>
    <t>TOTAL before TT non compliance (MK)</t>
  </si>
  <si>
    <t>1010105134</t>
  </si>
  <si>
    <t>1010410048</t>
  </si>
  <si>
    <t>1010601015</t>
  </si>
  <si>
    <t>1010920019</t>
  </si>
  <si>
    <t>1011730003</t>
  </si>
  <si>
    <t>1120501001</t>
  </si>
  <si>
    <t>SIZI TRADING</t>
  </si>
  <si>
    <t>1200505027</t>
  </si>
  <si>
    <t>1210516003</t>
  </si>
  <si>
    <t>1300003024</t>
  </si>
  <si>
    <t>1300006430</t>
  </si>
  <si>
    <t>Kangaroo Trading Company</t>
  </si>
  <si>
    <t>1300006431</t>
  </si>
  <si>
    <t>1300006447</t>
  </si>
  <si>
    <t>1300006449</t>
  </si>
  <si>
    <t>1300006450</t>
  </si>
  <si>
    <t>Nandor Trading Company - Liwonde</t>
  </si>
  <si>
    <t>1300006451</t>
  </si>
  <si>
    <t>Nandor Trading Company - Ntaja</t>
  </si>
  <si>
    <t>1300006452</t>
  </si>
  <si>
    <t>Namauya Investments</t>
  </si>
  <si>
    <t>2010105040</t>
  </si>
  <si>
    <t>Andeth Logistics &amp; Suppliers</t>
  </si>
  <si>
    <t>2010301012</t>
  </si>
  <si>
    <t>2010605035</t>
  </si>
  <si>
    <t>4M GENERAL DEALERS (Kingwell)</t>
  </si>
  <si>
    <t>2010625010</t>
  </si>
  <si>
    <t>2010905029</t>
  </si>
  <si>
    <t>2011210001</t>
  </si>
  <si>
    <t>2011510034</t>
  </si>
  <si>
    <t>Kumanja Enterprises</t>
  </si>
  <si>
    <t>2013910053</t>
  </si>
  <si>
    <t>2013915007</t>
  </si>
  <si>
    <t>Zingatikome Trading</t>
  </si>
  <si>
    <t>2091006005</t>
  </si>
  <si>
    <t>2300001198</t>
  </si>
  <si>
    <t>2300001202</t>
  </si>
  <si>
    <t>PENU General Dealers</t>
  </si>
  <si>
    <t>2300002284</t>
  </si>
  <si>
    <t>2300002296</t>
  </si>
  <si>
    <t>Kamakanda RN General Dealers</t>
  </si>
  <si>
    <t>2300002301</t>
  </si>
  <si>
    <t>2300002312</t>
  </si>
  <si>
    <t>2300004631</t>
  </si>
  <si>
    <t>Woodpecker General Dealers</t>
  </si>
  <si>
    <t>2300004646</t>
  </si>
  <si>
    <t>Bespat Building Contractors</t>
  </si>
  <si>
    <t>2300004647</t>
  </si>
  <si>
    <t>Aradin Trading</t>
  </si>
  <si>
    <t>2300004648</t>
  </si>
  <si>
    <t>3050101021</t>
  </si>
  <si>
    <t>3300000846</t>
  </si>
  <si>
    <t>3300000887</t>
  </si>
  <si>
    <t>3300002021</t>
  </si>
  <si>
    <t>3300002022</t>
  </si>
  <si>
    <t>3300002027</t>
  </si>
  <si>
    <t>3300002028</t>
  </si>
  <si>
    <t>3300002029</t>
  </si>
  <si>
    <t>No</t>
  </si>
  <si>
    <t>3300002018</t>
  </si>
  <si>
    <t>Total</t>
  </si>
  <si>
    <t>CONTRIBUTION</t>
  </si>
  <si>
    <t>http://10.140.10.57/Reports/report/CONTROLLING/BOUCLAGE/Bouclage%20EG%20Cust%20Cons_Decons</t>
  </si>
  <si>
    <t>1300006459</t>
  </si>
  <si>
    <t>A and L Investments</t>
  </si>
  <si>
    <t>TRADITIONAL TRADE SUMMARY PER CATEGORY PER KPI</t>
  </si>
  <si>
    <r>
      <t xml:space="preserve">TOTAL
</t>
    </r>
    <r>
      <rPr>
        <b/>
        <i/>
        <sz val="11"/>
        <color theme="1"/>
        <rFont val="Calibri"/>
        <family val="2"/>
        <scheme val="minor"/>
      </rPr>
      <t>after non-compliance</t>
    </r>
  </si>
  <si>
    <t>Customer Global acct N°</t>
  </si>
  <si>
    <t>Nature</t>
  </si>
  <si>
    <t>CSD</t>
  </si>
  <si>
    <t>DST</t>
  </si>
  <si>
    <t>3300000845</t>
  </si>
  <si>
    <t>Invest Global</t>
  </si>
  <si>
    <t>MKISI ENTERPRISE(BLOCKED)</t>
  </si>
  <si>
    <t>2300004645</t>
  </si>
  <si>
    <t>MULTIMERCHANTS LTD</t>
  </si>
  <si>
    <t>1300006442</t>
  </si>
  <si>
    <t>POPAT WHOLESALERS GROUP</t>
  </si>
  <si>
    <t>COKE_RGB</t>
  </si>
  <si>
    <t>COKE_PET</t>
  </si>
  <si>
    <t>OKHALHAVO INVESTMENTS</t>
  </si>
  <si>
    <t>DAMALIPHETSA INVESTMENTS</t>
  </si>
  <si>
    <t>CTC General Dealers</t>
  </si>
  <si>
    <t>NEW</t>
  </si>
  <si>
    <t>Check 1</t>
  </si>
  <si>
    <t>Check 2</t>
  </si>
  <si>
    <t>Item Category Code : FG*</t>
  </si>
  <si>
    <t>1010102030</t>
  </si>
  <si>
    <t>DONATION SOUTH</t>
  </si>
  <si>
    <t>CASE</t>
  </si>
  <si>
    <t>Sobo Cherryplum 300ml PET 12PK</t>
  </si>
  <si>
    <t>Sobo Ginger 300ml PET 12PK</t>
  </si>
  <si>
    <t>1010105168</t>
  </si>
  <si>
    <t>KFC BLANTYRE</t>
  </si>
  <si>
    <t>Coca Cola 300ml PET 12PK</t>
  </si>
  <si>
    <t>1010105184</t>
  </si>
  <si>
    <t>METRO BLANTYRE</t>
  </si>
  <si>
    <t>Fanta Orange 300ml PET 12PK</t>
  </si>
  <si>
    <t>Sprite 300ml PET 12PK</t>
  </si>
  <si>
    <t>1010110003</t>
  </si>
  <si>
    <t>SPAR VICTORIA</t>
  </si>
  <si>
    <t>Sobo Cocopina 300ml PET 12PK</t>
  </si>
  <si>
    <t>Fanta Passion 300ml RGB</t>
  </si>
  <si>
    <t>1010601019</t>
  </si>
  <si>
    <t>USAVE LIMBE</t>
  </si>
  <si>
    <t>1011901007</t>
  </si>
  <si>
    <t>SHOPRITE BLANTYRE CHICHIRI</t>
  </si>
  <si>
    <t>1011901019</t>
  </si>
  <si>
    <t>SANA SOUTHERN REGION</t>
  </si>
  <si>
    <t>1011905032</t>
  </si>
  <si>
    <t>CHIPIKU STORES GINNERY CORNER</t>
  </si>
  <si>
    <t>1012015001</t>
  </si>
  <si>
    <t>Chipiku Stores- southern Region</t>
  </si>
  <si>
    <t>1083001002</t>
  </si>
  <si>
    <t>SHOPRITE USAVE ZOMBA</t>
  </si>
  <si>
    <t>1160105003</t>
  </si>
  <si>
    <t>CHIPIKU MALDECO</t>
  </si>
  <si>
    <t>Booster  Mojito 330ml</t>
  </si>
  <si>
    <t>1300003042</t>
  </si>
  <si>
    <t>SPAR NORTH GATE</t>
  </si>
  <si>
    <t>1300003047</t>
  </si>
  <si>
    <t>Chipiku Chitawira</t>
  </si>
  <si>
    <t>1300006440</t>
  </si>
  <si>
    <t>SHAAN CASH &amp; CARRY</t>
  </si>
  <si>
    <t>1300006455</t>
  </si>
  <si>
    <t>AGORA GROUP</t>
  </si>
  <si>
    <t>1300006456</t>
  </si>
  <si>
    <t>AGORA LIMBE 1</t>
  </si>
  <si>
    <t>1300006460</t>
  </si>
  <si>
    <t>1300006461</t>
  </si>
  <si>
    <t>2010301016</t>
  </si>
  <si>
    <t>CHIPIKU AREA 23</t>
  </si>
  <si>
    <t>2010606012</t>
  </si>
  <si>
    <t>DONATION CENTRAL</t>
  </si>
  <si>
    <t>2010625058</t>
  </si>
  <si>
    <t>CHIPIKU AREA 25(</t>
  </si>
  <si>
    <t>2013305169</t>
  </si>
  <si>
    <t>CHIPIKU LOCAL KAWALE</t>
  </si>
  <si>
    <t>2015725014</t>
  </si>
  <si>
    <t>CHIPIKU CHILAMBULA</t>
  </si>
  <si>
    <t>2015730002</t>
  </si>
  <si>
    <t>SHOPRITE MAIN LILONGWE</t>
  </si>
  <si>
    <t>2015735039</t>
  </si>
  <si>
    <t>Peoples Trading Centre Ltd</t>
  </si>
  <si>
    <t>2015735040</t>
  </si>
  <si>
    <t>Chipiku Stores- Central Region</t>
  </si>
  <si>
    <t>2015735041</t>
  </si>
  <si>
    <t>Shoprite Group-Central Region</t>
  </si>
  <si>
    <t>2015735043</t>
  </si>
  <si>
    <t>Shoprite Gateway Mall</t>
  </si>
  <si>
    <t>2015735069</t>
  </si>
  <si>
    <t>Chipiku Lilongwe City</t>
  </si>
  <si>
    <t>2018710061</t>
  </si>
  <si>
    <t>CHIPIKU AREA 24</t>
  </si>
  <si>
    <t>2020501090</t>
  </si>
  <si>
    <t>CHIPIKU DEDZA</t>
  </si>
  <si>
    <t>2052005035</t>
  </si>
  <si>
    <t>CHIPIKU KASUNGU</t>
  </si>
  <si>
    <t>2061010024</t>
  </si>
  <si>
    <t>CHIPIKU MCHINJI</t>
  </si>
  <si>
    <t>2070105004</t>
  </si>
  <si>
    <t>CHIPIKU MADISI</t>
  </si>
  <si>
    <t>2300001197</t>
  </si>
  <si>
    <t>SPAR CITY CENTER</t>
  </si>
  <si>
    <t>2300001207</t>
  </si>
  <si>
    <t>SANA CENTRAL REGION</t>
  </si>
  <si>
    <t>2300001217</t>
  </si>
  <si>
    <t>FARMERS WORLD LTD HEAD OFFICE (LILONGWE)</t>
  </si>
  <si>
    <t>2300001218</t>
  </si>
  <si>
    <t>Farmers World Salima</t>
  </si>
  <si>
    <t>2300001219</t>
  </si>
  <si>
    <t>Farmers World Dedza</t>
  </si>
  <si>
    <t>2300001221</t>
  </si>
  <si>
    <t>Farmers World Lizulu</t>
  </si>
  <si>
    <t>2300001222</t>
  </si>
  <si>
    <t>Farmers World Chimbiya</t>
  </si>
  <si>
    <t>2300001223</t>
  </si>
  <si>
    <t>Farmers World Kayoyo</t>
  </si>
  <si>
    <t>2300001224</t>
  </si>
  <si>
    <t>Farmers World Nkhotakota</t>
  </si>
  <si>
    <t>2300001225</t>
  </si>
  <si>
    <t>Farmers World Dwangwa</t>
  </si>
  <si>
    <t>2300001226</t>
  </si>
  <si>
    <t>Farmers World Thete</t>
  </si>
  <si>
    <t>2300001227</t>
  </si>
  <si>
    <t>Farmers World Lumbadzi</t>
  </si>
  <si>
    <t>2300001228</t>
  </si>
  <si>
    <t>Farmers World Mvera</t>
  </si>
  <si>
    <t>2300001229</t>
  </si>
  <si>
    <t>Farmers World Linthipe</t>
  </si>
  <si>
    <t>2300001230</t>
  </si>
  <si>
    <t>Farmers World Nathenje</t>
  </si>
  <si>
    <t>2300001231</t>
  </si>
  <si>
    <t>Farmers World Nkhoma</t>
  </si>
  <si>
    <t>2300001232</t>
  </si>
  <si>
    <t>Farmers World Area 25</t>
  </si>
  <si>
    <t>2300001235</t>
  </si>
  <si>
    <t>Farmers World Area 23</t>
  </si>
  <si>
    <t>2300001237</t>
  </si>
  <si>
    <t>Farmers World Kamwendo</t>
  </si>
  <si>
    <t>2300001238</t>
  </si>
  <si>
    <t>Farmers World Mchinji</t>
  </si>
  <si>
    <t>2300001239</t>
  </si>
  <si>
    <t>Farmers World Waliranji</t>
  </si>
  <si>
    <t>2300001240</t>
  </si>
  <si>
    <t>Farmers World Msundwe</t>
  </si>
  <si>
    <t>2300001241</t>
  </si>
  <si>
    <t>Farmers World Mpingu</t>
  </si>
  <si>
    <t>2300001242</t>
  </si>
  <si>
    <t>Farmers World Kasiya</t>
  </si>
  <si>
    <t>2300001244</t>
  </si>
  <si>
    <t>Farmers World Namitete</t>
  </si>
  <si>
    <t>2300001245</t>
  </si>
  <si>
    <t>Farmers World Mkanda</t>
  </si>
  <si>
    <t>2300001246</t>
  </si>
  <si>
    <t>Farmers World Mitundu</t>
  </si>
  <si>
    <t>2300001247</t>
  </si>
  <si>
    <t>Farmers World Santhe</t>
  </si>
  <si>
    <t>2300001248</t>
  </si>
  <si>
    <t>Farmers World Kapiri</t>
  </si>
  <si>
    <t>2300001249</t>
  </si>
  <si>
    <t>Farmers World Kasungu</t>
  </si>
  <si>
    <t>2300001250</t>
  </si>
  <si>
    <t>Farmers World Kasungu II</t>
  </si>
  <si>
    <t>2300001251</t>
  </si>
  <si>
    <t>Farmers World Bowe</t>
  </si>
  <si>
    <t>2300001253</t>
  </si>
  <si>
    <t>Farmers World Nkhamenya</t>
  </si>
  <si>
    <t>2300001254</t>
  </si>
  <si>
    <t>Farmers World Chatoloma</t>
  </si>
  <si>
    <t>2300001255</t>
  </si>
  <si>
    <t>Farmers World Chamama</t>
  </si>
  <si>
    <t>2300001256</t>
  </si>
  <si>
    <t>Farmers World Mtunthama</t>
  </si>
  <si>
    <t>2300001257</t>
  </si>
  <si>
    <t>Farmers World Malomo</t>
  </si>
  <si>
    <t>2300001258</t>
  </si>
  <si>
    <t>Farmers World Nambuma</t>
  </si>
  <si>
    <t>2300001259</t>
  </si>
  <si>
    <t>Farmers World Ngwangwa</t>
  </si>
  <si>
    <t>2300001260</t>
  </si>
  <si>
    <t>Farmers World Mponela</t>
  </si>
  <si>
    <t>2300001261</t>
  </si>
  <si>
    <t>Farmers World Madisi</t>
  </si>
  <si>
    <t>2300001262</t>
  </si>
  <si>
    <t>Farmers World Dowa</t>
  </si>
  <si>
    <t>2300001263</t>
  </si>
  <si>
    <t>Farmers World Ntchisi</t>
  </si>
  <si>
    <t>2300001271</t>
  </si>
  <si>
    <t>KFC LILONGWE</t>
  </si>
  <si>
    <t>2300004629</t>
  </si>
  <si>
    <t>Farmers World Mwami Border</t>
  </si>
  <si>
    <t>2300004630</t>
  </si>
  <si>
    <t>Farmers World Nsaru</t>
  </si>
  <si>
    <t>2300004649</t>
  </si>
  <si>
    <t>3011001042</t>
  </si>
  <si>
    <t>CHIPIKU EKWENDENI</t>
  </si>
  <si>
    <t>3014501102</t>
  </si>
  <si>
    <t>CHIPIKU BUS DEPOT</t>
  </si>
  <si>
    <t>3014501134</t>
  </si>
  <si>
    <t>CHIPIKU  MZUZU</t>
  </si>
  <si>
    <t>3014501158</t>
  </si>
  <si>
    <t>SHOPRITE MZUZU</t>
  </si>
  <si>
    <t>3014505003</t>
  </si>
  <si>
    <t>CHIPIKU PLUS</t>
  </si>
  <si>
    <t>3014506011</t>
  </si>
  <si>
    <t>DONATION NORTH</t>
  </si>
  <si>
    <t>3030101001</t>
  </si>
  <si>
    <t>CHIPIKU NKHATABAY</t>
  </si>
  <si>
    <t>3050101024</t>
  </si>
  <si>
    <t>CHIPIKU CHITIPA</t>
  </si>
  <si>
    <t>3060115001</t>
  </si>
  <si>
    <t>CHIPIKU JENDA</t>
  </si>
  <si>
    <t>3300000857</t>
  </si>
  <si>
    <t>Farmers World Nkhata Bay</t>
  </si>
  <si>
    <t>3300000858</t>
  </si>
  <si>
    <t>Farmers World Dwambazi</t>
  </si>
  <si>
    <t>3300000859</t>
  </si>
  <si>
    <t>Farmers World Enukweni</t>
  </si>
  <si>
    <t>3300000860</t>
  </si>
  <si>
    <t>Farmers World Rumphi</t>
  </si>
  <si>
    <t>3300000861</t>
  </si>
  <si>
    <t>Farmers World Bolero</t>
  </si>
  <si>
    <t>3300000863</t>
  </si>
  <si>
    <t>Farmers World Uliwa</t>
  </si>
  <si>
    <t>3300000865</t>
  </si>
  <si>
    <t>Farmers World Karonga</t>
  </si>
  <si>
    <t>3300000866</t>
  </si>
  <si>
    <t>Farmers World Chitipa</t>
  </si>
  <si>
    <t>3300000868</t>
  </si>
  <si>
    <t>Farmers World Hewe</t>
  </si>
  <si>
    <t>3300000869</t>
  </si>
  <si>
    <t>Farmers World Kapoka</t>
  </si>
  <si>
    <t>3300000870</t>
  </si>
  <si>
    <t>Farmers World Mzimba</t>
  </si>
  <si>
    <t>3300000872</t>
  </si>
  <si>
    <t>Farmers World Embangweni</t>
  </si>
  <si>
    <t>3300000873</t>
  </si>
  <si>
    <t>Farmers World Champhira</t>
  </si>
  <si>
    <t>3300000874</t>
  </si>
  <si>
    <t>Farmers World Manyamula</t>
  </si>
  <si>
    <t>3300000875</t>
  </si>
  <si>
    <t>Farmers World Kafukule</t>
  </si>
  <si>
    <t>3300000877</t>
  </si>
  <si>
    <t>Farmers World Mpherembe</t>
  </si>
  <si>
    <t>3300000878</t>
  </si>
  <si>
    <t>Farmers World Euthini</t>
  </si>
  <si>
    <t>3300000879</t>
  </si>
  <si>
    <t>Farmers World Mzuzu</t>
  </si>
  <si>
    <t>3300000880</t>
  </si>
  <si>
    <t>Farmers World Ekwendeni</t>
  </si>
  <si>
    <t>3300000881</t>
  </si>
  <si>
    <t>Farmers World Bulala</t>
  </si>
  <si>
    <t>3300000882</t>
  </si>
  <si>
    <t>Farmers World Luwinga Shop</t>
  </si>
  <si>
    <t>3300000883</t>
  </si>
  <si>
    <t>Farmers World Edingeni</t>
  </si>
  <si>
    <t>3300000884</t>
  </si>
  <si>
    <t>Farmers World Chikangawa</t>
  </si>
  <si>
    <t>3300002017</t>
  </si>
  <si>
    <t>SANA NORTHERN REGION</t>
  </si>
  <si>
    <t>3300002026</t>
  </si>
  <si>
    <t>Farmers World Mpamba</t>
  </si>
  <si>
    <t>3300002030</t>
  </si>
  <si>
    <t>YAP Enterprises &amp; Distributors</t>
  </si>
  <si>
    <t>CD000001</t>
  </si>
  <si>
    <t>WORKFORCE RECRUITMENT SERVICES</t>
  </si>
  <si>
    <t>CDV10086</t>
  </si>
  <si>
    <t>Billioti  Lameck</t>
  </si>
  <si>
    <t>CDV10198</t>
  </si>
  <si>
    <t>Chimalawanthu  Macdonald</t>
  </si>
  <si>
    <t>CDV10201</t>
  </si>
  <si>
    <t>Chimaliro  James</t>
  </si>
  <si>
    <t>CDV10222</t>
  </si>
  <si>
    <t>Chimwala  Rex</t>
  </si>
  <si>
    <t>CDV10280</t>
  </si>
  <si>
    <t>Chiumya  Benard</t>
  </si>
  <si>
    <t>CDV10325</t>
  </si>
  <si>
    <t>Dzoole  Patrice</t>
  </si>
  <si>
    <t>World Cola 300ml PET 12PK</t>
  </si>
  <si>
    <t>CDV10331</t>
  </si>
  <si>
    <t>Emmanuel  Dyson</t>
  </si>
  <si>
    <t>CDV10348</t>
  </si>
  <si>
    <t>Gama  Geoffrey</t>
  </si>
  <si>
    <t>CDV10364</t>
  </si>
  <si>
    <t>Gilbert  Austin</t>
  </si>
  <si>
    <t>CDV10522</t>
  </si>
  <si>
    <t>Kalumbi  Peter</t>
  </si>
  <si>
    <t>CDV10581</t>
  </si>
  <si>
    <t>Kanongwa  Samson</t>
  </si>
  <si>
    <t>CDV10610</t>
  </si>
  <si>
    <t>Kapyanga  Leonard</t>
  </si>
  <si>
    <t>CDV10634</t>
  </si>
  <si>
    <t>Katunga  Cecil</t>
  </si>
  <si>
    <t>CDV10642</t>
  </si>
  <si>
    <t>Kaunga  Mike</t>
  </si>
  <si>
    <t>CDV10663</t>
  </si>
  <si>
    <t>Kennedy  Elson</t>
  </si>
  <si>
    <t>CDV10677</t>
  </si>
  <si>
    <t>Khoza  George</t>
  </si>
  <si>
    <t>CDV10681</t>
  </si>
  <si>
    <t>Killi  Samuel</t>
  </si>
  <si>
    <t>CDV10724</t>
  </si>
  <si>
    <t>Lipipa  Edward</t>
  </si>
  <si>
    <t>CDV10750</t>
  </si>
  <si>
    <t>M'Mbaya  Vincent</t>
  </si>
  <si>
    <t>CDV10838</t>
  </si>
  <si>
    <t>Manda  Dennis</t>
  </si>
  <si>
    <t>CDV10839</t>
  </si>
  <si>
    <t>Manda  Richard</t>
  </si>
  <si>
    <t>CDV10849</t>
  </si>
  <si>
    <t>Mankhwala  Timothy</t>
  </si>
  <si>
    <t>CDV10981</t>
  </si>
  <si>
    <t>Mkandawire  James</t>
  </si>
  <si>
    <t>CDV11015</t>
  </si>
  <si>
    <t>Moffat  Lonjezo</t>
  </si>
  <si>
    <t>CDV11030</t>
  </si>
  <si>
    <t>Moyonkudya   Micholas</t>
  </si>
  <si>
    <t>CDV11061</t>
  </si>
  <si>
    <t>Msiska  Moses</t>
  </si>
  <si>
    <t>CDV11134</t>
  </si>
  <si>
    <t>Muonjeza  Michael</t>
  </si>
  <si>
    <t>CDV11139</t>
  </si>
  <si>
    <t>Musisi  Samuel</t>
  </si>
  <si>
    <t>CDV11156</t>
  </si>
  <si>
    <t>Mwakilasa  Stanley</t>
  </si>
  <si>
    <t>CDV11198</t>
  </si>
  <si>
    <t>Mwatikana  Patrick</t>
  </si>
  <si>
    <t>CDV11199</t>
  </si>
  <si>
    <t>Mwaungulu  Romani</t>
  </si>
  <si>
    <t>CDV11253</t>
  </si>
  <si>
    <t>Ngoma  Joel</t>
  </si>
  <si>
    <t>CDV11339</t>
  </si>
  <si>
    <t>Nyirongo  Lameck</t>
  </si>
  <si>
    <t>CDV11372</t>
  </si>
  <si>
    <t>Phiri  Innocent</t>
  </si>
  <si>
    <t>CDV11402</t>
  </si>
  <si>
    <t>Phungu  Chancy</t>
  </si>
  <si>
    <t>CDV11465</t>
  </si>
  <si>
    <t>Sibanda  Tambudzai</t>
  </si>
  <si>
    <t>CDV11485</t>
  </si>
  <si>
    <t>Simwaka  Habson</t>
  </si>
  <si>
    <t>CDV11491</t>
  </si>
  <si>
    <t>Sinjani  Joseph</t>
  </si>
  <si>
    <t>CDV11499</t>
  </si>
  <si>
    <t>Skia  Frank</t>
  </si>
  <si>
    <t>CDV11540</t>
  </si>
  <si>
    <t>Tembo  Mabvuto</t>
  </si>
  <si>
    <t>CDV11579</t>
  </si>
  <si>
    <t>Wasili  Precious</t>
  </si>
  <si>
    <t>CDV11585</t>
  </si>
  <si>
    <t>Zailani  Dastan</t>
  </si>
  <si>
    <t>CDV11608</t>
  </si>
  <si>
    <t>Kalongonda  Richard</t>
  </si>
  <si>
    <t>CDV11637</t>
  </si>
  <si>
    <t>Mswelo   Charles</t>
  </si>
  <si>
    <t>CDV11651</t>
  </si>
  <si>
    <t>Byson  Victor</t>
  </si>
  <si>
    <t>CDV11875</t>
  </si>
  <si>
    <t>KAPITO  REUBEN</t>
  </si>
  <si>
    <t>CDV11936</t>
  </si>
  <si>
    <t>Makuzula  Joseph</t>
  </si>
  <si>
    <t>CDV12032</t>
  </si>
  <si>
    <t>Alubi  John</t>
  </si>
  <si>
    <t>CDV12034</t>
  </si>
  <si>
    <t>Singano  Emmanuel</t>
  </si>
  <si>
    <t>CDV12035</t>
  </si>
  <si>
    <t>Mussa  Kettie</t>
  </si>
  <si>
    <t>CDV12038</t>
  </si>
  <si>
    <t>Yusufu  Geofrey</t>
  </si>
  <si>
    <t>CDV12041</t>
  </si>
  <si>
    <t>Singini  Chikondi</t>
  </si>
  <si>
    <t>CDV12059</t>
  </si>
  <si>
    <t>Mponda  Matilda</t>
  </si>
  <si>
    <t>CDV12175</t>
  </si>
  <si>
    <t>Beya  Fanny</t>
  </si>
  <si>
    <t>CDV12176</t>
  </si>
  <si>
    <t>Kamba  Moses</t>
  </si>
  <si>
    <t>CDV12186</t>
  </si>
  <si>
    <t>Panyanja  Kelvin</t>
  </si>
  <si>
    <t>CDV12324</t>
  </si>
  <si>
    <t>Mkandawire  Newton Themba</t>
  </si>
  <si>
    <t>CDV12384</t>
  </si>
  <si>
    <t>Makuwira  Dalitso</t>
  </si>
  <si>
    <t>CDV12385</t>
  </si>
  <si>
    <t>Nsabwe  Stuart</t>
  </si>
  <si>
    <t>CDV12386</t>
  </si>
  <si>
    <t>Msadala  Patrick</t>
  </si>
  <si>
    <t>CDV12391</t>
  </si>
  <si>
    <t>Malimero  David</t>
  </si>
  <si>
    <t>CDV12400</t>
  </si>
  <si>
    <t>Wisted  Benjamin</t>
  </si>
  <si>
    <t>CDV12413</t>
  </si>
  <si>
    <t>Chakanika  Kwacha</t>
  </si>
  <si>
    <t>CDV12430</t>
  </si>
  <si>
    <t>Misasi  Patrick</t>
  </si>
  <si>
    <t>DC0000004</t>
  </si>
  <si>
    <t>Onions  Davie</t>
  </si>
  <si>
    <t>DC0000006</t>
  </si>
  <si>
    <t>Sumani  Chikondi</t>
  </si>
  <si>
    <t>DC0000011</t>
  </si>
  <si>
    <t>Gome  Emmanuel</t>
  </si>
  <si>
    <t>DC0000015</t>
  </si>
  <si>
    <t>Mbekeyani  Jasper</t>
  </si>
  <si>
    <t>DC0000025</t>
  </si>
  <si>
    <t>Mandala  Wilfred</t>
  </si>
  <si>
    <t>DC0000026</t>
  </si>
  <si>
    <t>Kunje  Steven</t>
  </si>
  <si>
    <t>DC0000031</t>
  </si>
  <si>
    <t>Kalonga  Francis</t>
  </si>
  <si>
    <t>DC0000033</t>
  </si>
  <si>
    <t>Owen Kausiwa</t>
  </si>
  <si>
    <t>DC0000040</t>
  </si>
  <si>
    <t>Kapanga  Joseph</t>
  </si>
  <si>
    <t>DC0000041</t>
  </si>
  <si>
    <t>Kaphagawani  Jimmy</t>
  </si>
  <si>
    <t>DC0000042</t>
  </si>
  <si>
    <t>Chimpeni  Joshuah</t>
  </si>
  <si>
    <t>DC0000047</t>
  </si>
  <si>
    <t>Nkhata  Euwen</t>
  </si>
  <si>
    <t>DC0000049</t>
  </si>
  <si>
    <t>Elisa  Cirrus</t>
  </si>
  <si>
    <t>DC0000056</t>
  </si>
  <si>
    <t>Kazembe  Damiano</t>
  </si>
  <si>
    <t>DC0000058</t>
  </si>
  <si>
    <t>Chimwala  Madalitso</t>
  </si>
  <si>
    <t>DC0000059</t>
  </si>
  <si>
    <t>Similton  Akimu</t>
  </si>
  <si>
    <t>DC0000068</t>
  </si>
  <si>
    <t>Mshamboza  Rabson</t>
  </si>
  <si>
    <t>DC0000084</t>
  </si>
  <si>
    <t>Kapyanga  John</t>
  </si>
  <si>
    <t>DC0000087</t>
  </si>
  <si>
    <t>Gomani  Dingaka</t>
  </si>
  <si>
    <t>DC0000091</t>
  </si>
  <si>
    <t>Thengo  Frank</t>
  </si>
  <si>
    <t>DC0000092</t>
  </si>
  <si>
    <t>Happy Mwandira</t>
  </si>
  <si>
    <t>DRINK-CENTRAL</t>
  </si>
  <si>
    <t>Drinkage Allowance Central Region</t>
  </si>
  <si>
    <t>DRINK-NORTH</t>
  </si>
  <si>
    <t>Drinkage Allowance Northern Region</t>
  </si>
  <si>
    <t>DRINK-SOUTH</t>
  </si>
  <si>
    <t>Drinkage Allowance Southern Region</t>
  </si>
  <si>
    <t>INSTITUTIONAL DRINK</t>
  </si>
  <si>
    <t>INSTITUTIONAL DRINKAGE</t>
  </si>
  <si>
    <t>TRANS _L11656</t>
  </si>
  <si>
    <t>Load Master</t>
  </si>
  <si>
    <t>TRANS_L10153</t>
  </si>
  <si>
    <t>Siku Transport</t>
  </si>
  <si>
    <t>TRANS_L112009</t>
  </si>
  <si>
    <t>BIG 5 MOTORS</t>
  </si>
  <si>
    <t>TRANS_L11910</t>
  </si>
  <si>
    <t>Fermak Trading</t>
  </si>
  <si>
    <t>TRANS_L11915</t>
  </si>
  <si>
    <t>Chimalira Enterprises</t>
  </si>
  <si>
    <t>TRANS_L11916</t>
  </si>
  <si>
    <t>Tapuwa Enterprise</t>
  </si>
  <si>
    <t>TRANS_L12011</t>
  </si>
  <si>
    <t>Chikweta Logistics</t>
  </si>
  <si>
    <t>=&gt; Bank Guarantee non renewal</t>
  </si>
  <si>
    <t xml:space="preserve">=&gt; stopped distributing in Ekwendeni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</si>
</sst>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#,##0.0000"/>
    <numFmt numFmtId="168" formatCode="[$-10409]#,##0;\-#,##0"/>
    <numFmt numFmtId="169" formatCode="[$-10409]0%"/>
    <numFmt numFmtId="170" formatCode="[h]:mm"/>
    <numFmt numFmtId="171" formatCode="[h]:mm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Segoe UI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3D3D3"/>
        <bgColor rgb="FFD3D3D3"/>
      </patternFill>
    </fill>
    <fill>
      <patternFill patternType="solid">
        <fgColor rgb="FFE6E6E8"/>
        <bgColor rgb="FFE6E6E8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8" fillId="0" borderId="0"/>
    <xf numFmtId="0" fontId="12" fillId="0" borderId="0" applyNumberFormat="0" applyFill="0" applyBorder="0" applyAlignment="0" applyProtection="0"/>
  </cellStyleXfs>
  <cellXfs count="182">
    <xf numFmtId="0" fontId="0" fillId="0" borderId="0" xfId="0"/>
    <xf numFmtId="49" fontId="3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1" applyNumberFormat="1" applyFont="1"/>
    <xf numFmtId="43" fontId="0" fillId="0" borderId="0" xfId="1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Border="1"/>
    <xf numFmtId="165" fontId="0" fillId="0" borderId="0" xfId="1" applyNumberFormat="1" applyFont="1"/>
    <xf numFmtId="0" fontId="0" fillId="0" borderId="0" xfId="0" applyFill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Continuous"/>
    </xf>
    <xf numFmtId="9" fontId="2" fillId="2" borderId="2" xfId="0" applyNumberFormat="1" applyFont="1" applyFill="1" applyBorder="1"/>
    <xf numFmtId="0" fontId="2" fillId="0" borderId="0" xfId="0" applyFont="1"/>
    <xf numFmtId="0" fontId="3" fillId="3" borderId="2" xfId="3" applyFont="1" applyFill="1" applyBorder="1" applyAlignment="1">
      <alignment horizontal="center"/>
    </xf>
    <xf numFmtId="0" fontId="5" fillId="0" borderId="0" xfId="3" applyFont="1" applyFill="1" applyBorder="1"/>
    <xf numFmtId="0" fontId="3" fillId="3" borderId="3" xfId="3" applyFont="1" applyFill="1" applyBorder="1" applyAlignment="1">
      <alignment horizontal="center"/>
    </xf>
    <xf numFmtId="0" fontId="4" fillId="0" borderId="4" xfId="3" applyBorder="1" applyAlignment="1">
      <alignment horizontal="center"/>
    </xf>
    <xf numFmtId="0" fontId="4" fillId="0" borderId="5" xfId="3" applyBorder="1" applyAlignment="1">
      <alignment horizontal="center"/>
    </xf>
    <xf numFmtId="0" fontId="3" fillId="0" borderId="2" xfId="3" applyFont="1" applyFill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3" fillId="0" borderId="8" xfId="3" applyFont="1" applyFill="1" applyBorder="1" applyAlignment="1">
      <alignment horizontal="center"/>
    </xf>
    <xf numFmtId="0" fontId="4" fillId="0" borderId="2" xfId="3" applyBorder="1" applyAlignment="1">
      <alignment horizontal="center"/>
    </xf>
    <xf numFmtId="9" fontId="5" fillId="0" borderId="2" xfId="3" applyNumberFormat="1" applyFont="1" applyFill="1" applyBorder="1"/>
    <xf numFmtId="0" fontId="4" fillId="0" borderId="2" xfId="3" applyBorder="1" applyAlignment="1">
      <alignment horizontal="left"/>
    </xf>
    <xf numFmtId="0" fontId="5" fillId="0" borderId="2" xfId="3" applyFont="1" applyFill="1" applyBorder="1"/>
    <xf numFmtId="0" fontId="4" fillId="0" borderId="8" xfId="3" applyBorder="1" applyAlignment="1">
      <alignment horizontal="center"/>
    </xf>
    <xf numFmtId="167" fontId="4" fillId="0" borderId="2" xfId="3" applyNumberFormat="1" applyBorder="1" applyAlignment="1">
      <alignment horizontal="center"/>
    </xf>
    <xf numFmtId="49" fontId="4" fillId="0" borderId="2" xfId="3" applyNumberFormat="1" applyBorder="1" applyAlignment="1">
      <alignment horizontal="left"/>
    </xf>
    <xf numFmtId="49" fontId="4" fillId="0" borderId="2" xfId="3" applyNumberFormat="1" applyBorder="1" applyAlignment="1">
      <alignment horizontal="center"/>
    </xf>
    <xf numFmtId="0" fontId="3" fillId="3" borderId="2" xfId="3" applyFont="1" applyFill="1" applyBorder="1" applyAlignment="1">
      <alignment horizontal="centerContinuous"/>
    </xf>
    <xf numFmtId="166" fontId="4" fillId="0" borderId="2" xfId="2" applyNumberFormat="1" applyFont="1" applyBorder="1" applyAlignment="1">
      <alignment horizontal="center"/>
    </xf>
    <xf numFmtId="9" fontId="3" fillId="0" borderId="2" xfId="2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left"/>
    </xf>
    <xf numFmtId="165" fontId="2" fillId="0" borderId="0" xfId="1" applyNumberFormat="1" applyFont="1" applyFill="1" applyBorder="1"/>
    <xf numFmtId="0" fontId="2" fillId="0" borderId="0" xfId="0" applyFont="1" applyFill="1" applyBorder="1" applyAlignment="1"/>
    <xf numFmtId="43" fontId="0" fillId="0" borderId="9" xfId="1" applyFont="1" applyFill="1" applyBorder="1"/>
    <xf numFmtId="0" fontId="0" fillId="0" borderId="10" xfId="0" applyFill="1" applyBorder="1"/>
    <xf numFmtId="43" fontId="0" fillId="0" borderId="10" xfId="1" applyFont="1" applyFill="1" applyBorder="1"/>
    <xf numFmtId="0" fontId="0" fillId="0" borderId="11" xfId="0" applyFill="1" applyBorder="1"/>
    <xf numFmtId="43" fontId="0" fillId="0" borderId="11" xfId="1" applyFont="1" applyFill="1" applyBorder="1"/>
    <xf numFmtId="43" fontId="2" fillId="4" borderId="2" xfId="0" applyNumberFormat="1" applyFont="1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7" xfId="0" applyFont="1" applyFill="1" applyBorder="1" applyAlignment="1">
      <alignment horizontal="right"/>
    </xf>
    <xf numFmtId="0" fontId="0" fillId="0" borderId="9" xfId="0" applyBorder="1"/>
    <xf numFmtId="165" fontId="0" fillId="0" borderId="9" xfId="1" applyNumberFormat="1" applyFont="1" applyBorder="1"/>
    <xf numFmtId="0" fontId="0" fillId="0" borderId="10" xfId="0" applyBorder="1"/>
    <xf numFmtId="165" fontId="0" fillId="0" borderId="10" xfId="1" applyNumberFormat="1" applyFont="1" applyBorder="1"/>
    <xf numFmtId="0" fontId="0" fillId="0" borderId="11" xfId="0" applyBorder="1"/>
    <xf numFmtId="165" fontId="0" fillId="0" borderId="11" xfId="1" applyNumberFormat="1" applyFont="1" applyBorder="1"/>
    <xf numFmtId="0" fontId="0" fillId="0" borderId="13" xfId="0" applyFill="1" applyBorder="1"/>
    <xf numFmtId="0" fontId="0" fillId="2" borderId="12" xfId="0" applyFill="1" applyBorder="1"/>
    <xf numFmtId="0" fontId="2" fillId="2" borderId="8" xfId="0" applyFont="1" applyFill="1" applyBorder="1" applyAlignment="1"/>
    <xf numFmtId="43" fontId="2" fillId="0" borderId="9" xfId="1" applyFont="1" applyFill="1" applyBorder="1"/>
    <xf numFmtId="43" fontId="2" fillId="0" borderId="10" xfId="1" applyFont="1" applyFill="1" applyBorder="1"/>
    <xf numFmtId="43" fontId="2" fillId="0" borderId="11" xfId="1" applyFont="1" applyFill="1" applyBorder="1"/>
    <xf numFmtId="43" fontId="0" fillId="0" borderId="9" xfId="1" applyFont="1" applyBorder="1"/>
    <xf numFmtId="43" fontId="0" fillId="0" borderId="10" xfId="1" applyFont="1" applyBorder="1"/>
    <xf numFmtId="43" fontId="0" fillId="0" borderId="11" xfId="1" applyFont="1" applyBorder="1"/>
    <xf numFmtId="165" fontId="2" fillId="2" borderId="2" xfId="1" applyNumberFormat="1" applyFont="1" applyFill="1" applyBorder="1"/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0" fillId="0" borderId="0" xfId="0" applyFont="1"/>
    <xf numFmtId="0" fontId="2" fillId="2" borderId="2" xfId="0" applyFont="1" applyFill="1" applyBorder="1" applyAlignment="1">
      <alignment wrapText="1"/>
    </xf>
    <xf numFmtId="0" fontId="5" fillId="0" borderId="0" xfId="3" applyFont="1"/>
    <xf numFmtId="0" fontId="5" fillId="0" borderId="0" xfId="3" applyFont="1" applyAlignment="1"/>
    <xf numFmtId="166" fontId="0" fillId="0" borderId="9" xfId="2" applyNumberFormat="1" applyFont="1" applyBorder="1"/>
    <xf numFmtId="166" fontId="0" fillId="0" borderId="10" xfId="2" applyNumberFormat="1" applyFont="1" applyBorder="1"/>
    <xf numFmtId="166" fontId="0" fillId="0" borderId="11" xfId="2" applyNumberFormat="1" applyFont="1" applyBorder="1"/>
    <xf numFmtId="0" fontId="11" fillId="0" borderId="0" xfId="0" applyFont="1"/>
    <xf numFmtId="0" fontId="12" fillId="0" borderId="0" xfId="5"/>
    <xf numFmtId="166" fontId="0" fillId="0" borderId="2" xfId="2" applyNumberFormat="1" applyFont="1" applyFill="1" applyBorder="1"/>
    <xf numFmtId="10" fontId="0" fillId="0" borderId="2" xfId="2" applyNumberFormat="1" applyFont="1" applyFill="1" applyBorder="1"/>
    <xf numFmtId="0" fontId="0" fillId="0" borderId="9" xfId="0" applyFill="1" applyBorder="1"/>
    <xf numFmtId="9" fontId="0" fillId="0" borderId="9" xfId="2" applyFont="1" applyFill="1" applyBorder="1"/>
    <xf numFmtId="9" fontId="0" fillId="0" borderId="10" xfId="2" applyFont="1" applyFill="1" applyBorder="1"/>
    <xf numFmtId="9" fontId="0" fillId="0" borderId="11" xfId="2" applyFont="1" applyFill="1" applyBorder="1"/>
    <xf numFmtId="166" fontId="0" fillId="0" borderId="0" xfId="0" applyNumberFormat="1"/>
    <xf numFmtId="166" fontId="0" fillId="0" borderId="9" xfId="2" applyNumberFormat="1" applyFont="1" applyFill="1" applyBorder="1"/>
    <xf numFmtId="0" fontId="2" fillId="2" borderId="2" xfId="0" applyFont="1" applyFill="1" applyBorder="1" applyAlignment="1">
      <alignment horizontal="center"/>
    </xf>
    <xf numFmtId="0" fontId="13" fillId="5" borderId="14" xfId="0" applyFont="1" applyFill="1" applyBorder="1" applyAlignment="1">
      <alignment horizontal="center" vertical="center" wrapText="1" readingOrder="1"/>
    </xf>
    <xf numFmtId="0" fontId="14" fillId="5" borderId="14" xfId="0" applyFont="1" applyFill="1" applyBorder="1" applyAlignment="1">
      <alignment horizontal="center" vertical="center" wrapText="1" readingOrder="1"/>
    </xf>
    <xf numFmtId="0" fontId="14" fillId="6" borderId="14" xfId="0" applyFont="1" applyFill="1" applyBorder="1" applyAlignment="1">
      <alignment vertical="top" wrapText="1" readingOrder="1"/>
    </xf>
    <xf numFmtId="0" fontId="13" fillId="6" borderId="14" xfId="0" applyFont="1" applyFill="1" applyBorder="1" applyAlignment="1">
      <alignment vertical="top" wrapText="1" readingOrder="1"/>
    </xf>
    <xf numFmtId="0" fontId="13" fillId="6" borderId="14" xfId="0" applyFont="1" applyFill="1" applyBorder="1" applyAlignment="1">
      <alignment horizontal="center" vertical="center" wrapText="1" readingOrder="1"/>
    </xf>
    <xf numFmtId="168" fontId="14" fillId="6" borderId="14" xfId="0" applyNumberFormat="1" applyFont="1" applyFill="1" applyBorder="1" applyAlignment="1">
      <alignment horizontal="right" vertical="top" wrapText="1" readingOrder="1"/>
    </xf>
    <xf numFmtId="168" fontId="13" fillId="6" borderId="14" xfId="0" applyNumberFormat="1" applyFont="1" applyFill="1" applyBorder="1" applyAlignment="1">
      <alignment horizontal="right" vertical="top" wrapText="1" readingOrder="1"/>
    </xf>
    <xf numFmtId="169" fontId="13" fillId="6" borderId="14" xfId="0" applyNumberFormat="1" applyFont="1" applyFill="1" applyBorder="1" applyAlignment="1">
      <alignment horizontal="right" vertical="top" wrapText="1" readingOrder="1"/>
    </xf>
    <xf numFmtId="165" fontId="2" fillId="0" borderId="9" xfId="1" applyNumberFormat="1" applyFont="1" applyBorder="1"/>
    <xf numFmtId="165" fontId="2" fillId="0" borderId="10" xfId="1" applyNumberFormat="1" applyFont="1" applyBorder="1"/>
    <xf numFmtId="164" fontId="0" fillId="0" borderId="0" xfId="0" applyNumberFormat="1"/>
    <xf numFmtId="0" fontId="15" fillId="0" borderId="0" xfId="0" applyFont="1"/>
    <xf numFmtId="165" fontId="2" fillId="2" borderId="0" xfId="1" applyNumberFormat="1" applyFont="1" applyFill="1" applyBorder="1"/>
    <xf numFmtId="165" fontId="0" fillId="0" borderId="0" xfId="0" applyNumberFormat="1"/>
    <xf numFmtId="9" fontId="0" fillId="7" borderId="10" xfId="2" applyFont="1" applyFill="1" applyBorder="1"/>
    <xf numFmtId="165" fontId="0" fillId="0" borderId="13" xfId="1" applyNumberFormat="1" applyFont="1" applyBorder="1"/>
    <xf numFmtId="0" fontId="2" fillId="0" borderId="2" xfId="0" applyFont="1" applyFill="1" applyBorder="1"/>
    <xf numFmtId="0" fontId="2" fillId="2" borderId="15" xfId="0" applyFont="1" applyFill="1" applyBorder="1"/>
    <xf numFmtId="0" fontId="2" fillId="2" borderId="6" xfId="0" applyFont="1" applyFill="1" applyBorder="1" applyAlignment="1">
      <alignment horizontal="centerContinuous" wrapText="1"/>
    </xf>
    <xf numFmtId="0" fontId="0" fillId="2" borderId="4" xfId="0" applyFill="1" applyBorder="1" applyAlignment="1">
      <alignment horizontal="centerContinuous"/>
    </xf>
    <xf numFmtId="0" fontId="0" fillId="2" borderId="7" xfId="0" applyFill="1" applyBorder="1" applyAlignment="1">
      <alignment horizontal="centerContinuous"/>
    </xf>
    <xf numFmtId="171" fontId="0" fillId="0" borderId="2" xfId="0" applyNumberFormat="1" applyBorder="1"/>
    <xf numFmtId="9" fontId="0" fillId="0" borderId="10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2" borderId="4" xfId="0" applyFont="1" applyFill="1" applyBorder="1" applyAlignment="1">
      <alignment horizontal="centerContinuous"/>
    </xf>
    <xf numFmtId="0" fontId="7" fillId="2" borderId="7" xfId="0" applyFont="1" applyFill="1" applyBorder="1" applyAlignment="1">
      <alignment horizontal="centerContinuous"/>
    </xf>
    <xf numFmtId="20" fontId="2" fillId="2" borderId="2" xfId="0" applyNumberFormat="1" applyFont="1" applyFill="1" applyBorder="1" applyAlignment="1">
      <alignment horizontal="center"/>
    </xf>
    <xf numFmtId="0" fontId="0" fillId="0" borderId="0" xfId="0" quotePrefix="1"/>
    <xf numFmtId="0" fontId="2" fillId="2" borderId="17" xfId="0" applyFont="1" applyFill="1" applyBorder="1" applyAlignment="1"/>
    <xf numFmtId="0" fontId="2" fillId="2" borderId="18" xfId="0" applyFont="1" applyFill="1" applyBorder="1" applyAlignment="1">
      <alignment horizontal="center"/>
    </xf>
    <xf numFmtId="9" fontId="0" fillId="0" borderId="13" xfId="2" applyFont="1" applyBorder="1" applyAlignment="1">
      <alignment horizontal="center"/>
    </xf>
    <xf numFmtId="9" fontId="0" fillId="0" borderId="0" xfId="0" applyNumberFormat="1"/>
    <xf numFmtId="9" fontId="0" fillId="0" borderId="2" xfId="2" applyFont="1" applyBorder="1"/>
    <xf numFmtId="43" fontId="3" fillId="0" borderId="10" xfId="1" applyFont="1" applyFill="1" applyBorder="1"/>
    <xf numFmtId="168" fontId="14" fillId="8" borderId="14" xfId="0" applyNumberFormat="1" applyFont="1" applyFill="1" applyBorder="1" applyAlignment="1">
      <alignment horizontal="right" vertical="top" wrapText="1" readingOrder="1"/>
    </xf>
    <xf numFmtId="168" fontId="13" fillId="8" borderId="14" xfId="0" applyNumberFormat="1" applyFont="1" applyFill="1" applyBorder="1" applyAlignment="1">
      <alignment horizontal="right" vertical="top" wrapText="1" readingOrder="1"/>
    </xf>
    <xf numFmtId="169" fontId="13" fillId="8" borderId="14" xfId="0" applyNumberFormat="1" applyFont="1" applyFill="1" applyBorder="1" applyAlignment="1">
      <alignment horizontal="right" vertical="top" wrapText="1" readingOrder="1"/>
    </xf>
    <xf numFmtId="0" fontId="2" fillId="2" borderId="2" xfId="0" applyFont="1" applyFill="1" applyBorder="1" applyAlignment="1">
      <alignment horizontal="center" wrapText="1"/>
    </xf>
    <xf numFmtId="170" fontId="0" fillId="0" borderId="9" xfId="0" applyNumberFormat="1" applyFill="1" applyBorder="1"/>
    <xf numFmtId="170" fontId="0" fillId="0" borderId="10" xfId="0" applyNumberFormat="1" applyFill="1" applyBorder="1"/>
    <xf numFmtId="165" fontId="0" fillId="0" borderId="10" xfId="1" applyNumberFormat="1" applyFont="1" applyFill="1" applyBorder="1"/>
    <xf numFmtId="165" fontId="2" fillId="0" borderId="10" xfId="1" applyNumberFormat="1" applyFont="1" applyFill="1" applyBorder="1"/>
    <xf numFmtId="0" fontId="2" fillId="2" borderId="21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2" fillId="0" borderId="22" xfId="0" applyFont="1" applyFill="1" applyBorder="1"/>
    <xf numFmtId="43" fontId="0" fillId="0" borderId="22" xfId="1" applyFont="1" applyBorder="1"/>
    <xf numFmtId="0" fontId="2" fillId="9" borderId="2" xfId="0" applyFont="1" applyFill="1" applyBorder="1"/>
    <xf numFmtId="43" fontId="2" fillId="9" borderId="2" xfId="1" applyFont="1" applyFill="1" applyBorder="1"/>
    <xf numFmtId="4" fontId="3" fillId="0" borderId="1" xfId="0" applyNumberFormat="1" applyFont="1" applyBorder="1"/>
    <xf numFmtId="4" fontId="0" fillId="0" borderId="0" xfId="0" applyNumberFormat="1"/>
    <xf numFmtId="166" fontId="0" fillId="10" borderId="2" xfId="2" applyNumberFormat="1" applyFont="1" applyFill="1" applyBorder="1"/>
    <xf numFmtId="0" fontId="11" fillId="0" borderId="0" xfId="0" quotePrefix="1" applyFont="1"/>
    <xf numFmtId="9" fontId="2" fillId="9" borderId="2" xfId="2" applyFont="1" applyFill="1" applyBorder="1" applyAlignment="1">
      <alignment horizontal="center"/>
    </xf>
    <xf numFmtId="0" fontId="2" fillId="10" borderId="2" xfId="0" applyFont="1" applyFill="1" applyBorder="1"/>
    <xf numFmtId="10" fontId="0" fillId="10" borderId="2" xfId="2" applyNumberFormat="1" applyFont="1" applyFill="1" applyBorder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0" fontId="2" fillId="2" borderId="2" xfId="0" applyFont="1" applyFill="1" applyBorder="1" applyAlignment="1">
      <alignment horizontal="center" wrapText="1"/>
    </xf>
    <xf numFmtId="49" fontId="0" fillId="0" borderId="0" xfId="0" applyNumberFormat="1"/>
    <xf numFmtId="0" fontId="0" fillId="11" borderId="0" xfId="0" applyFill="1"/>
    <xf numFmtId="4" fontId="0" fillId="11" borderId="0" xfId="0" applyNumberFormat="1" applyFill="1"/>
    <xf numFmtId="9" fontId="8" fillId="0" borderId="10" xfId="2" applyFont="1" applyBorder="1" applyAlignment="1">
      <alignment horizontal="center"/>
    </xf>
    <xf numFmtId="0" fontId="0" fillId="7" borderId="10" xfId="0" applyFill="1" applyBorder="1"/>
    <xf numFmtId="165" fontId="0" fillId="7" borderId="10" xfId="1" applyNumberFormat="1" applyFont="1" applyFill="1" applyBorder="1"/>
    <xf numFmtId="165" fontId="2" fillId="7" borderId="10" xfId="1" applyNumberFormat="1" applyFont="1" applyFill="1" applyBorder="1"/>
    <xf numFmtId="0" fontId="0" fillId="7" borderId="0" xfId="0" applyFill="1"/>
    <xf numFmtId="165" fontId="0" fillId="7" borderId="0" xfId="1" applyNumberFormat="1" applyFont="1" applyFill="1"/>
    <xf numFmtId="165" fontId="0" fillId="7" borderId="0" xfId="0" applyNumberFormat="1" applyFill="1"/>
    <xf numFmtId="0" fontId="15" fillId="0" borderId="0" xfId="0" applyFont="1" applyFill="1"/>
    <xf numFmtId="170" fontId="0" fillId="7" borderId="10" xfId="0" applyNumberFormat="1" applyFill="1" applyBorder="1"/>
    <xf numFmtId="0" fontId="8" fillId="0" borderId="0" xfId="4"/>
    <xf numFmtId="49" fontId="8" fillId="0" borderId="0" xfId="4" applyNumberFormat="1"/>
    <xf numFmtId="4" fontId="8" fillId="0" borderId="0" xfId="4" applyNumberFormat="1"/>
    <xf numFmtId="0" fontId="0" fillId="7" borderId="11" xfId="0" applyFill="1" applyBorder="1"/>
    <xf numFmtId="0" fontId="17" fillId="0" borderId="0" xfId="0" quotePrefix="1" applyFont="1"/>
    <xf numFmtId="9" fontId="17" fillId="0" borderId="10" xfId="2" applyFont="1" applyBorder="1" applyAlignment="1">
      <alignment horizontal="center"/>
    </xf>
    <xf numFmtId="0" fontId="0" fillId="12" borderId="10" xfId="0" applyFill="1" applyBorder="1"/>
    <xf numFmtId="0" fontId="10" fillId="2" borderId="6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vertical="top" wrapText="1" readingOrder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2" fillId="2" borderId="2" xfId="0" applyFont="1" applyFill="1" applyBorder="1" applyAlignment="1">
      <alignment horizontal="center" wrapText="1"/>
    </xf>
    <xf numFmtId="166" fontId="0" fillId="0" borderId="12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2" xfId="0" applyNumberFormat="1" applyFill="1" applyBorder="1" applyAlignment="1">
      <alignment horizontal="center" vertical="center"/>
    </xf>
    <xf numFmtId="166" fontId="0" fillId="0" borderId="16" xfId="0" applyNumberFormat="1" applyFill="1" applyBorder="1" applyAlignment="1">
      <alignment horizontal="center" vertical="center"/>
    </xf>
    <xf numFmtId="166" fontId="0" fillId="0" borderId="8" xfId="0" applyNumberFormat="1" applyFill="1" applyBorder="1" applyAlignment="1">
      <alignment horizontal="center" vertical="center"/>
    </xf>
    <xf numFmtId="0" fontId="3" fillId="3" borderId="6" xfId="3" applyFont="1" applyFill="1" applyBorder="1" applyAlignment="1">
      <alignment horizontal="center"/>
    </xf>
    <xf numFmtId="0" fontId="3" fillId="3" borderId="7" xfId="3" applyFont="1" applyFill="1" applyBorder="1" applyAlignment="1">
      <alignment horizontal="center"/>
    </xf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2000000}"/>
    <cellStyle name="Normal 3" xfId="4" xr:uid="{A664F8E5-4AF9-4361-8174-310EABE69EE8}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13</xdr:col>
      <xdr:colOff>0</xdr:colOff>
      <xdr:row>39</xdr:row>
      <xdr:rowOff>73936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25296F-D630-4600-B2AE-3887EF51D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0"/>
          <a:ext cx="7315200" cy="1788436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4</xdr:row>
      <xdr:rowOff>190499</xdr:rowOff>
    </xdr:from>
    <xdr:to>
      <xdr:col>6</xdr:col>
      <xdr:colOff>0</xdr:colOff>
      <xdr:row>23</xdr:row>
      <xdr:rowOff>22038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45CB14-5428-4E87-9468-5C8E266A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4" y="761999"/>
          <a:ext cx="3038476" cy="34510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10.140.10.57/Reports/report/CONTROLLING/BOUCLAGE/Bouclage%20EG%20Cust%20Cons_Decon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25F0-F4CB-4BCD-9643-353180A07656}">
  <sheetPr codeName="Sheet1"/>
  <dimension ref="B1:I14"/>
  <sheetViews>
    <sheetView workbookViewId="0">
      <selection activeCell="E37" sqref="E37"/>
    </sheetView>
  </sheetViews>
  <sheetFormatPr defaultRowHeight="15" x14ac:dyDescent="0.25"/>
  <cols>
    <col min="2" max="2" width="14.85546875" bestFit="1" customWidth="1"/>
    <col min="3" max="3" width="19.140625" customWidth="1"/>
    <col min="4" max="4" width="19.140625" hidden="1" customWidth="1"/>
    <col min="5" max="6" width="19.140625" customWidth="1"/>
    <col min="7" max="7" width="16.7109375" customWidth="1"/>
    <col min="8" max="8" width="7.140625" customWidth="1"/>
    <col min="9" max="9" width="15.28515625" bestFit="1" customWidth="1"/>
  </cols>
  <sheetData>
    <row r="1" spans="2:9" ht="18.75" x14ac:dyDescent="0.3">
      <c r="B1" s="164" t="s">
        <v>501</v>
      </c>
      <c r="C1" s="165"/>
      <c r="D1" s="165"/>
      <c r="E1" s="165"/>
      <c r="F1" s="165"/>
      <c r="G1" s="166"/>
    </row>
    <row r="2" spans="2:9" ht="45" x14ac:dyDescent="0.25">
      <c r="B2" s="123" t="s">
        <v>138</v>
      </c>
      <c r="C2" s="123" t="s">
        <v>431</v>
      </c>
      <c r="D2" s="123" t="s">
        <v>432</v>
      </c>
      <c r="E2" s="123" t="s">
        <v>433</v>
      </c>
      <c r="F2" s="123" t="s">
        <v>434</v>
      </c>
      <c r="G2" s="123" t="s">
        <v>435</v>
      </c>
      <c r="I2" s="144" t="s">
        <v>502</v>
      </c>
    </row>
    <row r="3" spans="2:9" x14ac:dyDescent="0.25">
      <c r="B3" s="129" t="s">
        <v>417</v>
      </c>
      <c r="C3" s="61">
        <f>SUMIF(Workings!$E:$E,'Summary Per Category per KPI'!$B3,Workings!T:T)</f>
        <v>34323785.379120179</v>
      </c>
      <c r="D3" s="61">
        <f>SUMIF(Workings!$E:$E,'Summary Per Category per KPI'!$B3,Workings!U:U)</f>
        <v>0</v>
      </c>
      <c r="E3" s="61">
        <f>SUMIF(Workings!$E:$E,'Summary Per Category per KPI'!$B3,Workings!V:V)</f>
        <v>1781876.0441061619</v>
      </c>
      <c r="F3" s="61">
        <f>SUMIF(Workings!$E:$E,'Summary Per Category per KPI'!$B3,Workings!W:W)</f>
        <v>29308768.039469287</v>
      </c>
      <c r="G3" s="61">
        <f>SUM(C3:F3)</f>
        <v>65414429.462695628</v>
      </c>
      <c r="I3" s="61">
        <f t="shared" ref="I3:I11" si="0">G3*($I$12/$G$12)</f>
        <v>61930940.01912494</v>
      </c>
    </row>
    <row r="4" spans="2:9" x14ac:dyDescent="0.25">
      <c r="B4" s="130" t="s">
        <v>130</v>
      </c>
      <c r="C4" s="62">
        <f>SUMIF(Workings!$E:$E,'Summary Per Category per KPI'!$B4,Workings!T:T)</f>
        <v>2185434.2360868906</v>
      </c>
      <c r="D4" s="62">
        <f>SUMIF(Workings!$E:$E,'Summary Per Category per KPI'!$B4,Workings!U:U)</f>
        <v>0</v>
      </c>
      <c r="E4" s="62">
        <f>SUMIF(Workings!$E:$E,'Summary Per Category per KPI'!$B4,Workings!V:V)</f>
        <v>36636.989149371424</v>
      </c>
      <c r="F4" s="62">
        <f>SUMIF(Workings!$E:$E,'Summary Per Category per KPI'!$B4,Workings!W:W)</f>
        <v>722514.68643510714</v>
      </c>
      <c r="G4" s="62">
        <f t="shared" ref="G4:G11" si="1">SUM(C4:F4)</f>
        <v>2944585.9116713693</v>
      </c>
      <c r="I4" s="62">
        <f t="shared" si="0"/>
        <v>2787779.011064772</v>
      </c>
    </row>
    <row r="5" spans="2:9" x14ac:dyDescent="0.25">
      <c r="B5" s="130" t="s">
        <v>131</v>
      </c>
      <c r="C5" s="62">
        <f>SUMIF(Workings!$E:$E,'Summary Per Category per KPI'!$B5,Workings!T:T)</f>
        <v>3190988.8656537505</v>
      </c>
      <c r="D5" s="62">
        <f>SUMIF(Workings!$E:$E,'Summary Per Category per KPI'!$B5,Workings!U:U)</f>
        <v>0</v>
      </c>
      <c r="E5" s="62">
        <f>SUMIF(Workings!$E:$E,'Summary Per Category per KPI'!$B5,Workings!V:V)</f>
        <v>119321.41034103747</v>
      </c>
      <c r="F5" s="62">
        <f>SUMIF(Workings!$E:$E,'Summary Per Category per KPI'!$B5,Workings!W:W)</f>
        <v>726594.34416600293</v>
      </c>
      <c r="G5" s="62">
        <f t="shared" si="1"/>
        <v>4036904.6201607911</v>
      </c>
      <c r="I5" s="62">
        <f t="shared" si="0"/>
        <v>3821928.891647384</v>
      </c>
    </row>
    <row r="6" spans="2:9" x14ac:dyDescent="0.25">
      <c r="B6" s="130" t="s">
        <v>514</v>
      </c>
      <c r="C6" s="62">
        <f>SUMIF(Workings!$E:$E,'Summary Per Category per KPI'!$B6,Workings!T:T)</f>
        <v>15745642.22185928</v>
      </c>
      <c r="D6" s="62">
        <f>SUMIF(Workings!$E:$E,'Summary Per Category per KPI'!$B6,Workings!U:U)</f>
        <v>0</v>
      </c>
      <c r="E6" s="62">
        <f>SUMIF(Workings!$E:$E,'Summary Per Category per KPI'!$B6,Workings!V:V)</f>
        <v>354590.92526025046</v>
      </c>
      <c r="F6" s="62">
        <f>SUMIF(Workings!$E:$E,'Summary Per Category per KPI'!$B6,Workings!W:W)</f>
        <v>3394084.4065823168</v>
      </c>
      <c r="G6" s="62">
        <f t="shared" si="1"/>
        <v>19494317.553701848</v>
      </c>
      <c r="I6" s="62">
        <f t="shared" si="0"/>
        <v>18456194.16157379</v>
      </c>
    </row>
    <row r="7" spans="2:9" x14ac:dyDescent="0.25">
      <c r="B7" s="130" t="s">
        <v>515</v>
      </c>
      <c r="C7" s="62">
        <f>SUMIF(Workings!$E:$E,'Summary Per Category per KPI'!$B7,Workings!T:T)</f>
        <v>683450.5015135234</v>
      </c>
      <c r="D7" s="62">
        <f>SUMIF(Workings!$E:$E,'Summary Per Category per KPI'!$B7,Workings!U:U)</f>
        <v>0</v>
      </c>
      <c r="E7" s="62">
        <f>SUMIF(Workings!$E:$E,'Summary Per Category per KPI'!$B7,Workings!V:V)</f>
        <v>30023.753659028138</v>
      </c>
      <c r="F7" s="62">
        <f>SUMIF(Workings!$E:$E,'Summary Per Category per KPI'!$B7,Workings!W:W)</f>
        <v>261612.10495497062</v>
      </c>
      <c r="G7" s="62">
        <f t="shared" ref="G7" si="2">SUM(C7:F7)</f>
        <v>975086.36012752214</v>
      </c>
      <c r="I7" s="62">
        <f t="shared" si="0"/>
        <v>923160.46136215795</v>
      </c>
    </row>
    <row r="8" spans="2:9" x14ac:dyDescent="0.25">
      <c r="B8" s="130" t="s">
        <v>354</v>
      </c>
      <c r="C8" s="62">
        <f>SUMIF(Workings!$E:$E,'Summary Per Category per KPI'!$B8,Workings!T:T)</f>
        <v>3289504.7820421513</v>
      </c>
      <c r="D8" s="62">
        <f>SUMIF(Workings!$E:$E,'Summary Per Category per KPI'!$B8,Workings!U:U)</f>
        <v>0</v>
      </c>
      <c r="E8" s="62">
        <f>SUMIF(Workings!$E:$E,'Summary Per Category per KPI'!$B8,Workings!V:V)</f>
        <v>123015.59679517927</v>
      </c>
      <c r="F8" s="62">
        <f>SUMIF(Workings!$E:$E,'Summary Per Category per KPI'!$B8,Workings!W:W)</f>
        <v>1166018.9794664201</v>
      </c>
      <c r="G8" s="62">
        <f t="shared" si="1"/>
        <v>4578539.3583037509</v>
      </c>
      <c r="I8" s="62">
        <f t="shared" si="0"/>
        <v>4334720.1634773314</v>
      </c>
    </row>
    <row r="9" spans="2:9" x14ac:dyDescent="0.25">
      <c r="B9" s="130" t="s">
        <v>355</v>
      </c>
      <c r="C9" s="62">
        <f>SUMIF(Workings!$E:$E,'Summary Per Category per KPI'!$B9,Workings!T:T)</f>
        <v>195111.33674947635</v>
      </c>
      <c r="D9" s="62">
        <f>SUMIF(Workings!$E:$E,'Summary Per Category per KPI'!$B9,Workings!U:U)</f>
        <v>0</v>
      </c>
      <c r="E9" s="62">
        <f>SUMIF(Workings!$E:$E,'Summary Per Category per KPI'!$B9,Workings!V:V)</f>
        <v>51993.275411587267</v>
      </c>
      <c r="F9" s="62">
        <f>SUMIF(Workings!$E:$E,'Summary Per Category per KPI'!$B9,Workings!W:W)</f>
        <v>469313.07923345006</v>
      </c>
      <c r="G9" s="62">
        <f t="shared" ref="G9" si="3">SUM(C9:F9)</f>
        <v>716417.69139451371</v>
      </c>
      <c r="I9" s="62">
        <f t="shared" si="0"/>
        <v>678266.5757208186</v>
      </c>
    </row>
    <row r="10" spans="2:9" x14ac:dyDescent="0.25">
      <c r="B10" s="130" t="s">
        <v>132</v>
      </c>
      <c r="C10" s="62">
        <f>SUMIF(Workings!$E:$E,'Summary Per Category per KPI'!$B10,Workings!T:T)</f>
        <v>241798.29981421138</v>
      </c>
      <c r="D10" s="62">
        <f>SUMIF(Workings!$E:$E,'Summary Per Category per KPI'!$B10,Workings!U:U)</f>
        <v>0</v>
      </c>
      <c r="E10" s="62">
        <f>SUMIF(Workings!$E:$E,'Summary Per Category per KPI'!$B10,Workings!V:V)</f>
        <v>16507.292522505682</v>
      </c>
      <c r="F10" s="62">
        <f>SUMIF(Workings!$E:$E,'Summary Per Category per KPI'!$B10,Workings!W:W)</f>
        <v>107227.74769213141</v>
      </c>
      <c r="G10" s="62">
        <f t="shared" si="1"/>
        <v>365533.3400288485</v>
      </c>
      <c r="I10" s="62">
        <f t="shared" si="0"/>
        <v>346067.73371350515</v>
      </c>
    </row>
    <row r="11" spans="2:9" x14ac:dyDescent="0.25">
      <c r="B11" s="131" t="s">
        <v>133</v>
      </c>
      <c r="C11" s="132">
        <f>SUMIF(Workings!$E:$E,'Summary Per Category per KPI'!$B11,Workings!T:T)</f>
        <v>2484704.1206045649</v>
      </c>
      <c r="D11" s="132">
        <f>SUMIF(Workings!$E:$E,'Summary Per Category per KPI'!$B11,Workings!U:U)</f>
        <v>0</v>
      </c>
      <c r="E11" s="132">
        <f>SUMIF(Workings!$E:$E,'Summary Per Category per KPI'!$B11,Workings!V:V)</f>
        <v>82252.675891107676</v>
      </c>
      <c r="F11" s="132">
        <f>SUMIF(Workings!$E:$E,'Summary Per Category per KPI'!$B11,Workings!W:W)</f>
        <v>547077.13189392653</v>
      </c>
      <c r="G11" s="132">
        <f t="shared" si="1"/>
        <v>3114033.9283895995</v>
      </c>
      <c r="I11" s="132">
        <f t="shared" si="0"/>
        <v>2948203.4777448783</v>
      </c>
    </row>
    <row r="12" spans="2:9" x14ac:dyDescent="0.25">
      <c r="B12" s="133" t="s">
        <v>339</v>
      </c>
      <c r="C12" s="134">
        <f>SUM(C3:C11)</f>
        <v>62340419.74344404</v>
      </c>
      <c r="D12" s="134">
        <f>SUM(D3:D11)</f>
        <v>0</v>
      </c>
      <c r="E12" s="134">
        <f>SUM(E3:E11)</f>
        <v>2596217.9631362297</v>
      </c>
      <c r="F12" s="134">
        <f>SUM(F3:F11)</f>
        <v>36703210.519893616</v>
      </c>
      <c r="G12" s="134">
        <f>SUM(G3:G11)</f>
        <v>101639848.22647387</v>
      </c>
      <c r="I12" s="134">
        <f>'Credit Note Approval Form'!T53</f>
        <v>96227260.495429575</v>
      </c>
    </row>
    <row r="14" spans="2:9" x14ac:dyDescent="0.25">
      <c r="B14" s="133" t="s">
        <v>497</v>
      </c>
      <c r="C14" s="139">
        <f>C12/$G$12</f>
        <v>0.61334624983438724</v>
      </c>
      <c r="D14" s="139">
        <f t="shared" ref="D14:G14" si="4">D12/$G$12</f>
        <v>0</v>
      </c>
      <c r="E14" s="139">
        <f t="shared" si="4"/>
        <v>2.5543308145751436E-2</v>
      </c>
      <c r="F14" s="139">
        <f t="shared" si="4"/>
        <v>0.36111044201986153</v>
      </c>
      <c r="G14" s="139">
        <f t="shared" si="4"/>
        <v>1</v>
      </c>
    </row>
  </sheetData>
  <mergeCells count="1">
    <mergeCell ref="B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pageSetUpPr fitToPage="1"/>
  </sheetPr>
  <dimension ref="B1:Q25"/>
  <sheetViews>
    <sheetView workbookViewId="0">
      <selection activeCell="D30" sqref="D30"/>
    </sheetView>
  </sheetViews>
  <sheetFormatPr defaultRowHeight="15" x14ac:dyDescent="0.25"/>
  <cols>
    <col min="2" max="2" width="25.85546875" customWidth="1"/>
    <col min="3" max="3" width="12.85546875" bestFit="1" customWidth="1"/>
    <col min="7" max="8" width="11" customWidth="1"/>
    <col min="9" max="9" width="13.5703125" customWidth="1"/>
    <col min="13" max="13" width="12.140625" bestFit="1" customWidth="1"/>
  </cols>
  <sheetData>
    <row r="1" spans="2:17" x14ac:dyDescent="0.25">
      <c r="B1" s="14" t="s">
        <v>122</v>
      </c>
    </row>
    <row r="3" spans="2:17" ht="45" x14ac:dyDescent="0.25">
      <c r="B3" s="173" t="s">
        <v>137</v>
      </c>
      <c r="C3" s="11" t="s">
        <v>136</v>
      </c>
      <c r="D3" s="12" t="s">
        <v>135</v>
      </c>
      <c r="E3" s="12"/>
      <c r="F3" s="12"/>
      <c r="G3" s="68" t="s">
        <v>375</v>
      </c>
      <c r="H3" s="68" t="s">
        <v>376</v>
      </c>
      <c r="I3" s="68" t="s">
        <v>377</v>
      </c>
      <c r="L3" s="103" t="s">
        <v>419</v>
      </c>
      <c r="M3" s="104"/>
      <c r="N3" s="105"/>
    </row>
    <row r="4" spans="2:17" x14ac:dyDescent="0.25">
      <c r="B4" s="173"/>
      <c r="C4" s="11" t="s">
        <v>134</v>
      </c>
      <c r="D4" s="13">
        <v>1</v>
      </c>
      <c r="E4" s="13">
        <v>1.05</v>
      </c>
      <c r="F4" s="13">
        <v>1.1499999999999999</v>
      </c>
      <c r="G4" s="13">
        <v>0.75</v>
      </c>
      <c r="H4" s="13">
        <v>1.1000000000000001</v>
      </c>
      <c r="I4" s="13">
        <v>0</v>
      </c>
      <c r="L4" s="112">
        <v>0</v>
      </c>
      <c r="M4" s="112">
        <v>2.0833333333333343E-2</v>
      </c>
      <c r="N4" s="112">
        <v>4.1666666666666657E-2</v>
      </c>
    </row>
    <row r="5" spans="2:17" x14ac:dyDescent="0.25">
      <c r="B5" s="101" t="s">
        <v>417</v>
      </c>
      <c r="C5" s="76">
        <v>0.08</v>
      </c>
      <c r="D5" s="76">
        <v>1.4999999999999999E-2</v>
      </c>
      <c r="E5" s="77">
        <v>3.5000000000000003E-2</v>
      </c>
      <c r="F5" s="76">
        <v>4.5000000000000005E-2</v>
      </c>
      <c r="G5" s="137">
        <v>0</v>
      </c>
      <c r="H5" s="76">
        <v>5.0000000000000001E-3</v>
      </c>
      <c r="I5" s="76">
        <v>0.01</v>
      </c>
      <c r="K5" s="82"/>
      <c r="L5" s="174">
        <v>0.1</v>
      </c>
      <c r="M5" s="177">
        <v>0.15</v>
      </c>
      <c r="N5" s="177">
        <v>0.25</v>
      </c>
      <c r="Q5" s="82"/>
    </row>
    <row r="6" spans="2:17" x14ac:dyDescent="0.25">
      <c r="B6" s="140" t="s">
        <v>418</v>
      </c>
      <c r="C6" s="137">
        <v>0</v>
      </c>
      <c r="D6" s="137">
        <v>0</v>
      </c>
      <c r="E6" s="141">
        <v>0</v>
      </c>
      <c r="F6" s="137">
        <v>0</v>
      </c>
      <c r="G6" s="137">
        <v>0</v>
      </c>
      <c r="H6" s="137">
        <v>0</v>
      </c>
      <c r="I6" s="137">
        <v>0</v>
      </c>
      <c r="K6" s="82"/>
      <c r="L6" s="175"/>
      <c r="M6" s="178"/>
      <c r="N6" s="178"/>
      <c r="Q6" s="82"/>
    </row>
    <row r="7" spans="2:17" x14ac:dyDescent="0.25">
      <c r="B7" s="101" t="s">
        <v>130</v>
      </c>
      <c r="C7" s="76">
        <v>0.08</v>
      </c>
      <c r="D7" s="76">
        <v>1.4999999999999999E-2</v>
      </c>
      <c r="E7" s="77">
        <v>3.5000000000000003E-2</v>
      </c>
      <c r="F7" s="76">
        <v>4.5000000000000005E-2</v>
      </c>
      <c r="G7" s="137">
        <v>0</v>
      </c>
      <c r="H7" s="76">
        <v>5.0000000000000001E-3</v>
      </c>
      <c r="I7" s="76">
        <v>0.01</v>
      </c>
      <c r="K7" s="82"/>
      <c r="L7" s="175"/>
      <c r="M7" s="178"/>
      <c r="N7" s="178"/>
    </row>
    <row r="8" spans="2:17" x14ac:dyDescent="0.25">
      <c r="B8" s="101" t="s">
        <v>131</v>
      </c>
      <c r="C8" s="76">
        <v>0.08</v>
      </c>
      <c r="D8" s="76">
        <v>0.01</v>
      </c>
      <c r="E8" s="77">
        <v>0.03</v>
      </c>
      <c r="F8" s="76">
        <v>0.04</v>
      </c>
      <c r="G8" s="137">
        <v>0</v>
      </c>
      <c r="H8" s="76">
        <v>5.0000000000000001E-3</v>
      </c>
      <c r="I8" s="76">
        <v>5.0000000000000001E-3</v>
      </c>
      <c r="K8" s="82"/>
      <c r="L8" s="175"/>
      <c r="M8" s="178"/>
      <c r="N8" s="178"/>
    </row>
    <row r="9" spans="2:17" x14ac:dyDescent="0.25">
      <c r="B9" s="101" t="s">
        <v>514</v>
      </c>
      <c r="C9" s="76">
        <v>0.08</v>
      </c>
      <c r="D9" s="76">
        <v>0.01</v>
      </c>
      <c r="E9" s="77">
        <v>0.03</v>
      </c>
      <c r="F9" s="76">
        <v>0.04</v>
      </c>
      <c r="G9" s="137">
        <v>0</v>
      </c>
      <c r="H9" s="76">
        <v>5.0000000000000001E-3</v>
      </c>
      <c r="I9" s="76">
        <v>5.0000000000000001E-3</v>
      </c>
      <c r="K9" s="82"/>
      <c r="L9" s="175"/>
      <c r="M9" s="178"/>
      <c r="N9" s="178"/>
    </row>
    <row r="10" spans="2:17" x14ac:dyDescent="0.25">
      <c r="B10" s="101" t="s">
        <v>515</v>
      </c>
      <c r="C10" s="76">
        <v>0.06</v>
      </c>
      <c r="D10" s="76">
        <v>0.01</v>
      </c>
      <c r="E10" s="77">
        <v>0.03</v>
      </c>
      <c r="F10" s="76">
        <v>0.03</v>
      </c>
      <c r="G10" s="137">
        <v>0</v>
      </c>
      <c r="H10" s="76">
        <v>5.0000000000000001E-3</v>
      </c>
      <c r="I10" s="76">
        <v>5.0000000000000001E-3</v>
      </c>
      <c r="K10" s="82"/>
      <c r="L10" s="175"/>
      <c r="M10" s="178"/>
      <c r="N10" s="178"/>
    </row>
    <row r="11" spans="2:17" x14ac:dyDescent="0.25">
      <c r="B11" s="101" t="s">
        <v>354</v>
      </c>
      <c r="C11" s="76">
        <v>0.08</v>
      </c>
      <c r="D11" s="76">
        <v>0.01</v>
      </c>
      <c r="E11" s="77">
        <v>0.03</v>
      </c>
      <c r="F11" s="76">
        <v>0.04</v>
      </c>
      <c r="G11" s="137">
        <v>0</v>
      </c>
      <c r="H11" s="76">
        <v>5.0000000000000001E-3</v>
      </c>
      <c r="I11" s="76">
        <v>5.0000000000000001E-3</v>
      </c>
      <c r="K11" s="82"/>
      <c r="L11" s="175"/>
      <c r="M11" s="178"/>
      <c r="N11" s="178"/>
    </row>
    <row r="12" spans="2:17" x14ac:dyDescent="0.25">
      <c r="B12" s="101" t="s">
        <v>355</v>
      </c>
      <c r="C12" s="76">
        <v>0.06</v>
      </c>
      <c r="D12" s="76">
        <v>0.01</v>
      </c>
      <c r="E12" s="77">
        <v>0.03</v>
      </c>
      <c r="F12" s="76">
        <v>0.03</v>
      </c>
      <c r="G12" s="137">
        <v>0</v>
      </c>
      <c r="H12" s="76">
        <v>5.0000000000000001E-3</v>
      </c>
      <c r="I12" s="76">
        <v>5.0000000000000001E-3</v>
      </c>
      <c r="K12" s="82"/>
      <c r="L12" s="175"/>
      <c r="M12" s="178"/>
      <c r="N12" s="178"/>
    </row>
    <row r="13" spans="2:17" x14ac:dyDescent="0.25">
      <c r="B13" s="101" t="s">
        <v>132</v>
      </c>
      <c r="C13" s="76">
        <v>7.0000000000000007E-2</v>
      </c>
      <c r="D13" s="76">
        <v>0.01</v>
      </c>
      <c r="E13" s="77">
        <v>0.03</v>
      </c>
      <c r="F13" s="76">
        <v>0.04</v>
      </c>
      <c r="G13" s="137">
        <v>0</v>
      </c>
      <c r="H13" s="76">
        <v>5.0000000000000001E-3</v>
      </c>
      <c r="I13" s="76">
        <v>5.0000000000000001E-3</v>
      </c>
      <c r="K13" s="82"/>
      <c r="L13" s="175"/>
      <c r="M13" s="178"/>
      <c r="N13" s="178"/>
    </row>
    <row r="14" spans="2:17" x14ac:dyDescent="0.25">
      <c r="B14" s="101" t="s">
        <v>133</v>
      </c>
      <c r="C14" s="76">
        <v>7.0000000000000007E-2</v>
      </c>
      <c r="D14" s="76">
        <v>0.01</v>
      </c>
      <c r="E14" s="77">
        <v>0.03</v>
      </c>
      <c r="F14" s="76">
        <v>0.04</v>
      </c>
      <c r="G14" s="137">
        <v>0</v>
      </c>
      <c r="H14" s="76">
        <v>5.0000000000000001E-3</v>
      </c>
      <c r="I14" s="76">
        <v>5.0000000000000001E-3</v>
      </c>
      <c r="K14" s="82"/>
      <c r="L14" s="175"/>
      <c r="M14" s="178"/>
      <c r="N14" s="178"/>
    </row>
    <row r="15" spans="2:17" x14ac:dyDescent="0.25">
      <c r="B15" s="101" t="s">
        <v>334</v>
      </c>
      <c r="C15" s="76">
        <v>0</v>
      </c>
      <c r="D15" s="76">
        <v>0</v>
      </c>
      <c r="E15" s="77">
        <v>0</v>
      </c>
      <c r="F15" s="76">
        <v>0</v>
      </c>
      <c r="G15" s="137">
        <v>0</v>
      </c>
      <c r="H15" s="76">
        <v>0</v>
      </c>
      <c r="I15" s="76">
        <v>0</v>
      </c>
      <c r="K15" s="82"/>
      <c r="L15" s="175"/>
      <c r="M15" s="178"/>
      <c r="N15" s="178"/>
    </row>
    <row r="16" spans="2:17" x14ac:dyDescent="0.25">
      <c r="B16" s="101" t="s">
        <v>162</v>
      </c>
      <c r="C16" s="76">
        <v>0</v>
      </c>
      <c r="D16" s="76">
        <v>0</v>
      </c>
      <c r="E16" s="77">
        <v>0</v>
      </c>
      <c r="F16" s="76">
        <v>0</v>
      </c>
      <c r="G16" s="137">
        <v>0</v>
      </c>
      <c r="H16" s="76">
        <v>0</v>
      </c>
      <c r="I16" s="76">
        <v>0</v>
      </c>
      <c r="K16" s="82"/>
      <c r="L16" s="176"/>
      <c r="M16" s="179"/>
      <c r="N16" s="179"/>
    </row>
    <row r="18" spans="2:3" x14ac:dyDescent="0.25">
      <c r="B18" s="14" t="s">
        <v>123</v>
      </c>
      <c r="C18" t="s">
        <v>124</v>
      </c>
    </row>
    <row r="19" spans="2:3" x14ac:dyDescent="0.25">
      <c r="B19" s="14">
        <v>1</v>
      </c>
      <c r="C19" t="s">
        <v>125</v>
      </c>
    </row>
    <row r="20" spans="2:3" x14ac:dyDescent="0.25">
      <c r="B20" s="14">
        <v>2</v>
      </c>
      <c r="C20" t="s">
        <v>126</v>
      </c>
    </row>
    <row r="24" spans="2:3" x14ac:dyDescent="0.25">
      <c r="B24" t="s">
        <v>127</v>
      </c>
      <c r="C24" t="s">
        <v>128</v>
      </c>
    </row>
    <row r="25" spans="2:3" x14ac:dyDescent="0.25">
      <c r="C25" t="s">
        <v>129</v>
      </c>
    </row>
  </sheetData>
  <mergeCells count="4">
    <mergeCell ref="B3:B4"/>
    <mergeCell ref="L5:L16"/>
    <mergeCell ref="M5:M16"/>
    <mergeCell ref="N5:N16"/>
  </mergeCells>
  <pageMargins left="0.7" right="0.7" top="0.75" bottom="0.75" header="0.3" footer="0.3"/>
  <pageSetup paperSize="9" scale="6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>
    <tabColor theme="0" tint="-0.249977111117893"/>
  </sheetPr>
  <dimension ref="B2:AR118"/>
  <sheetViews>
    <sheetView workbookViewId="0">
      <selection activeCell="J3" sqref="J3"/>
    </sheetView>
  </sheetViews>
  <sheetFormatPr defaultColWidth="9.140625" defaultRowHeight="15" x14ac:dyDescent="0.25"/>
  <cols>
    <col min="1" max="1" width="9.140625" style="16"/>
    <col min="2" max="2" width="54.42578125" style="16" bestFit="1" customWidth="1"/>
    <col min="3" max="3" width="11.5703125" style="16" bestFit="1" customWidth="1"/>
    <col min="4" max="4" width="5.5703125" style="16" bestFit="1" customWidth="1"/>
    <col min="5" max="5" width="3.5703125" style="16" bestFit="1" customWidth="1"/>
    <col min="6" max="6" width="7" style="16" bestFit="1" customWidth="1"/>
    <col min="7" max="7" width="14.5703125" style="16" bestFit="1" customWidth="1"/>
    <col min="8" max="8" width="8.140625" style="16" customWidth="1"/>
    <col min="9" max="9" width="14.7109375" style="16" customWidth="1"/>
    <col min="10" max="10" width="13.42578125" style="16" bestFit="1" customWidth="1"/>
    <col min="11" max="13" width="9.85546875" style="16" customWidth="1"/>
    <col min="14" max="14" width="2.42578125" style="16" customWidth="1"/>
    <col min="15" max="15" width="15.28515625" style="16" customWidth="1"/>
    <col min="16" max="16" width="2.42578125" style="16" customWidth="1"/>
    <col min="17" max="17" width="34.28515625" style="16" customWidth="1"/>
    <col min="18" max="18" width="2.42578125" style="16" customWidth="1"/>
    <col min="19" max="19" width="39.140625" style="16" customWidth="1"/>
    <col min="20" max="20" width="2.42578125" style="16" customWidth="1"/>
    <col min="21" max="21" width="29" style="16" customWidth="1"/>
    <col min="22" max="22" width="2.42578125" style="16" customWidth="1"/>
    <col min="23" max="23" width="33.28515625" style="16" bestFit="1" customWidth="1"/>
    <col min="24" max="24" width="2.42578125" style="16" customWidth="1"/>
    <col min="25" max="25" width="33.28515625" style="16" bestFit="1" customWidth="1"/>
    <col min="26" max="26" width="2.42578125" style="16" customWidth="1"/>
    <col min="27" max="27" width="22.42578125" style="16" bestFit="1" customWidth="1"/>
    <col min="28" max="28" width="2.42578125" style="16" customWidth="1"/>
    <col min="29" max="29" width="30.28515625" style="16" customWidth="1"/>
    <col min="30" max="30" width="2.42578125" style="16" customWidth="1"/>
    <col min="31" max="31" width="28.42578125" style="16" customWidth="1"/>
    <col min="32" max="32" width="2.42578125" style="16" customWidth="1"/>
    <col min="33" max="33" width="28.28515625" style="16" customWidth="1"/>
    <col min="34" max="34" width="2.42578125" style="16" customWidth="1"/>
    <col min="35" max="35" width="20.140625" style="16" customWidth="1"/>
    <col min="36" max="36" width="2.42578125" style="16" customWidth="1"/>
    <col min="37" max="37" width="35.7109375" style="16" bestFit="1" customWidth="1"/>
    <col min="38" max="38" width="2.42578125" style="16" customWidth="1"/>
    <col min="39" max="39" width="53.140625" style="16" customWidth="1"/>
    <col min="40" max="40" width="2.42578125" style="16" customWidth="1"/>
    <col min="41" max="41" width="11.5703125" style="16" bestFit="1" customWidth="1"/>
    <col min="42" max="42" width="9.140625" style="16"/>
    <col min="43" max="43" width="2.42578125" style="16" customWidth="1"/>
    <col min="44" max="44" width="11.140625" style="16" bestFit="1" customWidth="1"/>
    <col min="45" max="16384" width="9.140625" style="16"/>
  </cols>
  <sheetData>
    <row r="2" spans="2:44" ht="15.75" thickBot="1" x14ac:dyDescent="0.3">
      <c r="B2" s="15" t="s">
        <v>3</v>
      </c>
      <c r="C2" s="15" t="s">
        <v>2</v>
      </c>
      <c r="D2" s="15" t="s">
        <v>155</v>
      </c>
      <c r="E2" s="15" t="s">
        <v>156</v>
      </c>
      <c r="F2" s="15" t="s">
        <v>157</v>
      </c>
      <c r="G2" s="15" t="s">
        <v>158</v>
      </c>
      <c r="H2" s="15" t="s">
        <v>159</v>
      </c>
      <c r="I2" s="15" t="s">
        <v>160</v>
      </c>
      <c r="J2" s="15" t="s">
        <v>136</v>
      </c>
      <c r="K2" s="31" t="s">
        <v>135</v>
      </c>
      <c r="L2" s="31"/>
      <c r="M2" s="31"/>
      <c r="O2" s="17" t="s">
        <v>160</v>
      </c>
      <c r="Q2" s="15" t="s">
        <v>417</v>
      </c>
      <c r="S2" s="15" t="s">
        <v>390</v>
      </c>
      <c r="U2" s="15" t="s">
        <v>130</v>
      </c>
      <c r="W2" s="15" t="s">
        <v>131</v>
      </c>
      <c r="Y2" s="15" t="s">
        <v>352</v>
      </c>
      <c r="AA2" s="15" t="s">
        <v>353</v>
      </c>
      <c r="AC2" s="15" t="s">
        <v>354</v>
      </c>
      <c r="AE2" s="15" t="s">
        <v>355</v>
      </c>
      <c r="AG2" s="15" t="s">
        <v>133</v>
      </c>
      <c r="AH2" s="18"/>
      <c r="AI2" s="15" t="s">
        <v>132</v>
      </c>
      <c r="AJ2" s="18"/>
      <c r="AK2" s="15" t="s">
        <v>161</v>
      </c>
      <c r="AL2" s="19"/>
      <c r="AM2" s="15" t="s">
        <v>162</v>
      </c>
      <c r="AO2" s="180" t="s">
        <v>163</v>
      </c>
      <c r="AP2" s="181"/>
      <c r="AR2" s="15" t="s">
        <v>364</v>
      </c>
    </row>
    <row r="3" spans="2:44" x14ac:dyDescent="0.25">
      <c r="B3" s="20" t="s">
        <v>164</v>
      </c>
      <c r="C3" s="20" t="s">
        <v>165</v>
      </c>
      <c r="D3" s="20"/>
      <c r="E3" s="20"/>
      <c r="F3" s="20"/>
      <c r="G3" s="20"/>
      <c r="H3" s="20"/>
      <c r="I3" s="20"/>
      <c r="J3" s="20" t="s">
        <v>134</v>
      </c>
      <c r="K3" s="33">
        <v>1</v>
      </c>
      <c r="L3" s="33">
        <v>1.05</v>
      </c>
      <c r="M3" s="33">
        <v>1.1499999999999999</v>
      </c>
      <c r="O3" s="21" t="s">
        <v>166</v>
      </c>
      <c r="Q3" s="20" t="s">
        <v>164</v>
      </c>
      <c r="S3" s="20" t="s">
        <v>164</v>
      </c>
      <c r="U3" s="22" t="s">
        <v>164</v>
      </c>
      <c r="W3" s="20" t="s">
        <v>164</v>
      </c>
      <c r="Y3" s="20" t="s">
        <v>164</v>
      </c>
      <c r="AA3" s="20" t="s">
        <v>164</v>
      </c>
      <c r="AC3" s="20" t="s">
        <v>164</v>
      </c>
      <c r="AE3" s="20" t="s">
        <v>164</v>
      </c>
      <c r="AG3" s="20" t="s">
        <v>164</v>
      </c>
      <c r="AI3" s="20" t="s">
        <v>164</v>
      </c>
      <c r="AK3" s="20" t="s">
        <v>164</v>
      </c>
      <c r="AM3" s="20" t="s">
        <v>164</v>
      </c>
      <c r="AO3" s="23" t="s">
        <v>357</v>
      </c>
      <c r="AP3" s="24">
        <v>0.08</v>
      </c>
      <c r="AR3" s="26" t="s">
        <v>342</v>
      </c>
    </row>
    <row r="4" spans="2:44" x14ac:dyDescent="0.25">
      <c r="B4" s="25" t="s">
        <v>13</v>
      </c>
      <c r="C4" s="23" t="s">
        <v>12</v>
      </c>
      <c r="D4" s="23">
        <v>330</v>
      </c>
      <c r="E4" s="23">
        <v>20</v>
      </c>
      <c r="F4" s="23">
        <f t="shared" ref="F4:F100" si="0">+D4*E4/100000</f>
        <v>6.6000000000000003E-2</v>
      </c>
      <c r="G4" s="23" t="s">
        <v>167</v>
      </c>
      <c r="H4" s="23" t="s">
        <v>168</v>
      </c>
      <c r="I4" s="23" t="s">
        <v>417</v>
      </c>
      <c r="J4" s="32">
        <f>VLOOKUP($I4,'Discount Scheme Target'!$B$3:$F$16,2,FALSE)</f>
        <v>0.08</v>
      </c>
      <c r="K4" s="32">
        <f>VLOOKUP($I4,'Discount Scheme Target'!$B$3:$F$16,3,FALSE)</f>
        <v>1.4999999999999999E-2</v>
      </c>
      <c r="L4" s="32">
        <f>VLOOKUP($I4,'Discount Scheme Target'!$B$3:$F$16,4,FALSE)</f>
        <v>3.5000000000000003E-2</v>
      </c>
      <c r="M4" s="32">
        <f>VLOOKUP($I4,'Discount Scheme Target'!$B$3:$F$16,5,FALSE)</f>
        <v>4.5000000000000005E-2</v>
      </c>
      <c r="O4" s="23" t="s">
        <v>356</v>
      </c>
      <c r="Q4" s="26" t="s">
        <v>15</v>
      </c>
      <c r="U4" s="26" t="s">
        <v>11</v>
      </c>
      <c r="W4" s="26" t="s">
        <v>30</v>
      </c>
      <c r="Y4" s="26" t="s">
        <v>21</v>
      </c>
      <c r="AA4" s="26" t="s">
        <v>169</v>
      </c>
      <c r="AC4" s="26" t="s">
        <v>199</v>
      </c>
      <c r="AE4" s="26" t="s">
        <v>175</v>
      </c>
      <c r="AG4" s="26" t="s">
        <v>50</v>
      </c>
      <c r="AI4" s="26" t="s">
        <v>121</v>
      </c>
      <c r="AK4" s="26" t="s">
        <v>170</v>
      </c>
      <c r="AM4" s="26" t="s">
        <v>171</v>
      </c>
      <c r="AO4" s="23" t="s">
        <v>167</v>
      </c>
      <c r="AP4" s="24">
        <v>0.08</v>
      </c>
      <c r="AR4" s="26" t="s">
        <v>361</v>
      </c>
    </row>
    <row r="5" spans="2:44" x14ac:dyDescent="0.25">
      <c r="B5" s="25" t="s">
        <v>15</v>
      </c>
      <c r="C5" s="23" t="s">
        <v>14</v>
      </c>
      <c r="D5" s="23">
        <v>330</v>
      </c>
      <c r="E5" s="23">
        <v>20</v>
      </c>
      <c r="F5" s="23">
        <f t="shared" si="0"/>
        <v>6.6000000000000003E-2</v>
      </c>
      <c r="G5" s="23" t="s">
        <v>172</v>
      </c>
      <c r="H5" s="23" t="s">
        <v>168</v>
      </c>
      <c r="I5" s="23" t="s">
        <v>417</v>
      </c>
      <c r="J5" s="32">
        <f>VLOOKUP($I5,'Discount Scheme Target'!$B$3:$F$16,2,FALSE)</f>
        <v>0.08</v>
      </c>
      <c r="K5" s="32">
        <f>VLOOKUP($I5,'Discount Scheme Target'!$B$3:$F$16,3,FALSE)</f>
        <v>1.4999999999999999E-2</v>
      </c>
      <c r="L5" s="32">
        <f>VLOOKUP($I5,'Discount Scheme Target'!$B$3:$F$16,4,FALSE)</f>
        <v>3.5000000000000003E-2</v>
      </c>
      <c r="M5" s="32">
        <f>VLOOKUP($I5,'Discount Scheme Target'!$B$3:$F$16,5,FALSE)</f>
        <v>4.5000000000000005E-2</v>
      </c>
      <c r="O5" s="23" t="s">
        <v>167</v>
      </c>
      <c r="Q5" s="26" t="s">
        <v>55</v>
      </c>
      <c r="U5" s="26" t="s">
        <v>173</v>
      </c>
      <c r="W5" s="26" t="s">
        <v>62</v>
      </c>
      <c r="Y5" s="26" t="s">
        <v>174</v>
      </c>
      <c r="AA5" s="26" t="s">
        <v>183</v>
      </c>
      <c r="AC5" s="26" t="s">
        <v>38</v>
      </c>
      <c r="AE5" s="26" t="s">
        <v>179</v>
      </c>
      <c r="AG5" s="26" t="s">
        <v>52</v>
      </c>
      <c r="AI5" s="26" t="s">
        <v>27</v>
      </c>
      <c r="AK5" s="26" t="s">
        <v>176</v>
      </c>
      <c r="AM5" s="26" t="s">
        <v>177</v>
      </c>
      <c r="AO5" s="27" t="s">
        <v>130</v>
      </c>
      <c r="AP5" s="24">
        <v>0.08</v>
      </c>
      <c r="AR5" s="26" t="s">
        <v>365</v>
      </c>
    </row>
    <row r="6" spans="2:44" x14ac:dyDescent="0.25">
      <c r="B6" s="25" t="s">
        <v>55</v>
      </c>
      <c r="C6" s="23" t="s">
        <v>54</v>
      </c>
      <c r="D6" s="23">
        <v>640</v>
      </c>
      <c r="E6" s="23">
        <v>12</v>
      </c>
      <c r="F6" s="23">
        <f t="shared" si="0"/>
        <v>7.6799999999999993E-2</v>
      </c>
      <c r="G6" s="23" t="s">
        <v>172</v>
      </c>
      <c r="H6" s="23" t="s">
        <v>168</v>
      </c>
      <c r="I6" s="23" t="s">
        <v>417</v>
      </c>
      <c r="J6" s="32">
        <f>VLOOKUP($I6,'Discount Scheme Target'!$B$3:$F$16,2,FALSE)</f>
        <v>0.08</v>
      </c>
      <c r="K6" s="32">
        <f>VLOOKUP($I6,'Discount Scheme Target'!$B$3:$F$16,3,FALSE)</f>
        <v>1.4999999999999999E-2</v>
      </c>
      <c r="L6" s="32">
        <f>VLOOKUP($I6,'Discount Scheme Target'!$B$3:$F$16,4,FALSE)</f>
        <v>3.5000000000000003E-2</v>
      </c>
      <c r="M6" s="32">
        <f>VLOOKUP($I6,'Discount Scheme Target'!$B$3:$F$16,5,FALSE)</f>
        <v>4.5000000000000005E-2</v>
      </c>
      <c r="O6" s="27" t="s">
        <v>130</v>
      </c>
      <c r="Q6" s="26" t="s">
        <v>17</v>
      </c>
      <c r="U6" s="26" t="s">
        <v>70</v>
      </c>
      <c r="W6" s="26" t="s">
        <v>178</v>
      </c>
      <c r="Y6" s="26" t="s">
        <v>60</v>
      </c>
      <c r="AA6" s="26" t="s">
        <v>200</v>
      </c>
      <c r="AC6" s="26" t="s">
        <v>40</v>
      </c>
      <c r="AE6" s="26" t="s">
        <v>188</v>
      </c>
      <c r="AG6" s="26" t="s">
        <v>180</v>
      </c>
      <c r="AK6" s="26" t="s">
        <v>181</v>
      </c>
      <c r="AM6" s="26" t="s">
        <v>182</v>
      </c>
      <c r="AO6" s="23" t="s">
        <v>131</v>
      </c>
      <c r="AP6" s="24">
        <v>0.08</v>
      </c>
      <c r="AR6" s="26" t="s">
        <v>366</v>
      </c>
    </row>
    <row r="7" spans="2:44" x14ac:dyDescent="0.25">
      <c r="B7" s="25" t="s">
        <v>17</v>
      </c>
      <c r="C7" s="23" t="s">
        <v>16</v>
      </c>
      <c r="D7" s="23">
        <v>330</v>
      </c>
      <c r="E7" s="23">
        <v>20</v>
      </c>
      <c r="F7" s="23">
        <f t="shared" si="0"/>
        <v>6.6000000000000003E-2</v>
      </c>
      <c r="G7" s="23" t="s">
        <v>172</v>
      </c>
      <c r="H7" s="23" t="s">
        <v>168</v>
      </c>
      <c r="I7" s="23" t="s">
        <v>417</v>
      </c>
      <c r="J7" s="32">
        <f>VLOOKUP($I7,'Discount Scheme Target'!$B$3:$F$16,2,FALSE)</f>
        <v>0.08</v>
      </c>
      <c r="K7" s="32">
        <f>VLOOKUP($I7,'Discount Scheme Target'!$B$3:$F$16,3,FALSE)</f>
        <v>1.4999999999999999E-2</v>
      </c>
      <c r="L7" s="32">
        <f>VLOOKUP($I7,'Discount Scheme Target'!$B$3:$F$16,4,FALSE)</f>
        <v>3.5000000000000003E-2</v>
      </c>
      <c r="M7" s="32">
        <f>VLOOKUP($I7,'Discount Scheme Target'!$B$3:$F$16,5,FALSE)</f>
        <v>4.5000000000000005E-2</v>
      </c>
      <c r="O7" s="23" t="s">
        <v>131</v>
      </c>
      <c r="Q7" s="26" t="s">
        <v>57</v>
      </c>
      <c r="U7" s="26" t="s">
        <v>42</v>
      </c>
      <c r="W7" s="26" t="s">
        <v>32</v>
      </c>
      <c r="Y7" s="26" t="s">
        <v>23</v>
      </c>
      <c r="AA7" s="26" t="s">
        <v>209</v>
      </c>
      <c r="AC7" s="26" t="s">
        <v>213</v>
      </c>
      <c r="AE7" s="26" t="s">
        <v>192</v>
      </c>
      <c r="AG7" s="26" t="s">
        <v>66</v>
      </c>
      <c r="AK7" s="26" t="s">
        <v>184</v>
      </c>
      <c r="AM7" s="26" t="s">
        <v>185</v>
      </c>
      <c r="AO7" s="23" t="s">
        <v>352</v>
      </c>
      <c r="AP7" s="24">
        <v>0.08</v>
      </c>
      <c r="AR7" s="26" t="s">
        <v>367</v>
      </c>
    </row>
    <row r="8" spans="2:44" x14ac:dyDescent="0.25">
      <c r="B8" s="25" t="s">
        <v>57</v>
      </c>
      <c r="C8" s="23" t="s">
        <v>56</v>
      </c>
      <c r="D8" s="23">
        <v>640</v>
      </c>
      <c r="E8" s="23">
        <v>12</v>
      </c>
      <c r="F8" s="23">
        <f t="shared" si="0"/>
        <v>7.6799999999999993E-2</v>
      </c>
      <c r="G8" s="23" t="s">
        <v>172</v>
      </c>
      <c r="H8" s="23" t="s">
        <v>168</v>
      </c>
      <c r="I8" s="23" t="s">
        <v>417</v>
      </c>
      <c r="J8" s="32">
        <f>VLOOKUP($I8,'Discount Scheme Target'!$B$3:$F$16,2,FALSE)</f>
        <v>0.08</v>
      </c>
      <c r="K8" s="32">
        <f>VLOOKUP($I8,'Discount Scheme Target'!$B$3:$F$16,3,FALSE)</f>
        <v>1.4999999999999999E-2</v>
      </c>
      <c r="L8" s="32">
        <f>VLOOKUP($I8,'Discount Scheme Target'!$B$3:$F$16,4,FALSE)</f>
        <v>3.5000000000000003E-2</v>
      </c>
      <c r="M8" s="32">
        <f>VLOOKUP($I8,'Discount Scheme Target'!$B$3:$F$16,5,FALSE)</f>
        <v>4.5000000000000005E-2</v>
      </c>
      <c r="O8" s="23" t="s">
        <v>352</v>
      </c>
      <c r="Q8" s="26" t="s">
        <v>111</v>
      </c>
      <c r="U8" s="26" t="s">
        <v>186</v>
      </c>
      <c r="W8" s="26" t="s">
        <v>34</v>
      </c>
      <c r="Y8" s="26" t="s">
        <v>187</v>
      </c>
      <c r="AA8" s="26" t="s">
        <v>214</v>
      </c>
      <c r="AC8" s="26" t="s">
        <v>46</v>
      </c>
      <c r="AE8" s="26" t="s">
        <v>195</v>
      </c>
      <c r="AG8" s="25" t="s">
        <v>363</v>
      </c>
      <c r="AK8" s="26" t="s">
        <v>189</v>
      </c>
      <c r="AM8" s="26" t="s">
        <v>190</v>
      </c>
      <c r="AO8" s="23" t="s">
        <v>353</v>
      </c>
      <c r="AP8" s="24">
        <v>0.06</v>
      </c>
      <c r="AR8" s="26" t="s">
        <v>368</v>
      </c>
    </row>
    <row r="9" spans="2:44" x14ac:dyDescent="0.25">
      <c r="B9" s="25" t="s">
        <v>101</v>
      </c>
      <c r="C9" s="23" t="s">
        <v>100</v>
      </c>
      <c r="D9" s="23">
        <v>330</v>
      </c>
      <c r="E9" s="23">
        <v>20</v>
      </c>
      <c r="F9" s="23">
        <f t="shared" si="0"/>
        <v>6.6000000000000003E-2</v>
      </c>
      <c r="G9" s="23" t="s">
        <v>172</v>
      </c>
      <c r="H9" s="23" t="s">
        <v>168</v>
      </c>
      <c r="I9" s="23" t="s">
        <v>417</v>
      </c>
      <c r="J9" s="32">
        <f>VLOOKUP($I9,'Discount Scheme Target'!$B$3:$F$16,2,FALSE)</f>
        <v>0.08</v>
      </c>
      <c r="K9" s="32">
        <f>VLOOKUP($I9,'Discount Scheme Target'!$B$3:$F$16,3,FALSE)</f>
        <v>1.4999999999999999E-2</v>
      </c>
      <c r="L9" s="32">
        <f>VLOOKUP($I9,'Discount Scheme Target'!$B$3:$F$16,4,FALSE)</f>
        <v>3.5000000000000003E-2</v>
      </c>
      <c r="M9" s="32">
        <f>VLOOKUP($I9,'Discount Scheme Target'!$B$3:$F$16,5,FALSE)</f>
        <v>4.5000000000000005E-2</v>
      </c>
      <c r="O9" s="23" t="s">
        <v>353</v>
      </c>
      <c r="Q9" s="26" t="s">
        <v>74</v>
      </c>
      <c r="W9" s="26" t="s">
        <v>36</v>
      </c>
      <c r="Y9" s="26" t="s">
        <v>191</v>
      </c>
      <c r="AC9" s="26" t="s">
        <v>105</v>
      </c>
      <c r="AE9" s="26" t="s">
        <v>204</v>
      </c>
      <c r="AK9" s="26" t="s">
        <v>193</v>
      </c>
      <c r="AM9" s="26" t="s">
        <v>194</v>
      </c>
      <c r="AO9" s="23" t="s">
        <v>354</v>
      </c>
      <c r="AP9" s="24">
        <v>0.08</v>
      </c>
      <c r="AR9" s="26" t="s">
        <v>369</v>
      </c>
    </row>
    <row r="10" spans="2:44" x14ac:dyDescent="0.25">
      <c r="B10" s="25" t="s">
        <v>19</v>
      </c>
      <c r="C10" s="23" t="s">
        <v>18</v>
      </c>
      <c r="D10" s="23">
        <v>330</v>
      </c>
      <c r="E10" s="23">
        <v>20</v>
      </c>
      <c r="F10" s="23">
        <f t="shared" si="0"/>
        <v>6.6000000000000003E-2</v>
      </c>
      <c r="G10" s="23" t="s">
        <v>172</v>
      </c>
      <c r="H10" s="23" t="s">
        <v>168</v>
      </c>
      <c r="I10" s="23" t="s">
        <v>417</v>
      </c>
      <c r="J10" s="32">
        <f>VLOOKUP($I10,'Discount Scheme Target'!$B$3:$F$16,2,FALSE)</f>
        <v>0.08</v>
      </c>
      <c r="K10" s="32">
        <f>VLOOKUP($I10,'Discount Scheme Target'!$B$3:$F$16,3,FALSE)</f>
        <v>1.4999999999999999E-2</v>
      </c>
      <c r="L10" s="32">
        <f>VLOOKUP($I10,'Discount Scheme Target'!$B$3:$F$16,4,FALSE)</f>
        <v>3.5000000000000003E-2</v>
      </c>
      <c r="M10" s="32">
        <f>VLOOKUP($I10,'Discount Scheme Target'!$B$3:$F$16,5,FALSE)</f>
        <v>4.5000000000000005E-2</v>
      </c>
      <c r="O10" s="23" t="s">
        <v>354</v>
      </c>
      <c r="Q10" s="26" t="s">
        <v>101</v>
      </c>
      <c r="W10" s="26" t="s">
        <v>64</v>
      </c>
      <c r="Y10" s="26" t="s">
        <v>48</v>
      </c>
      <c r="AE10" s="26" t="s">
        <v>220</v>
      </c>
      <c r="AK10" s="26" t="s">
        <v>196</v>
      </c>
      <c r="AM10" s="26" t="s">
        <v>197</v>
      </c>
      <c r="AO10" s="23" t="s">
        <v>355</v>
      </c>
      <c r="AP10" s="24">
        <v>0.06</v>
      </c>
      <c r="AR10" s="26" t="s">
        <v>370</v>
      </c>
    </row>
    <row r="11" spans="2:44" x14ac:dyDescent="0.25">
      <c r="B11" s="25" t="s">
        <v>111</v>
      </c>
      <c r="C11" s="23" t="s">
        <v>110</v>
      </c>
      <c r="D11" s="23">
        <v>640</v>
      </c>
      <c r="E11" s="23">
        <v>6</v>
      </c>
      <c r="F11" s="23">
        <f t="shared" si="0"/>
        <v>3.8399999999999997E-2</v>
      </c>
      <c r="G11" s="23" t="s">
        <v>172</v>
      </c>
      <c r="H11" s="23" t="s">
        <v>168</v>
      </c>
      <c r="I11" s="23" t="s">
        <v>417</v>
      </c>
      <c r="J11" s="32">
        <f>VLOOKUP($I11,'Discount Scheme Target'!$B$3:$F$16,2,FALSE)</f>
        <v>0.08</v>
      </c>
      <c r="K11" s="32">
        <f>VLOOKUP($I11,'Discount Scheme Target'!$B$3:$F$16,3,FALSE)</f>
        <v>1.4999999999999999E-2</v>
      </c>
      <c r="L11" s="32">
        <f>VLOOKUP($I11,'Discount Scheme Target'!$B$3:$F$16,4,FALSE)</f>
        <v>3.5000000000000003E-2</v>
      </c>
      <c r="M11" s="32">
        <f>VLOOKUP($I11,'Discount Scheme Target'!$B$3:$F$16,5,FALSE)</f>
        <v>4.5000000000000005E-2</v>
      </c>
      <c r="O11" s="23" t="s">
        <v>355</v>
      </c>
      <c r="Q11" s="26" t="s">
        <v>19</v>
      </c>
      <c r="W11" s="26" t="s">
        <v>198</v>
      </c>
      <c r="AE11" s="26" t="s">
        <v>222</v>
      </c>
      <c r="AK11" s="26" t="s">
        <v>201</v>
      </c>
      <c r="AM11" s="26" t="s">
        <v>202</v>
      </c>
      <c r="AO11" s="23" t="s">
        <v>133</v>
      </c>
      <c r="AP11" s="24">
        <v>7.0000000000000007E-2</v>
      </c>
      <c r="AR11" s="26" t="s">
        <v>371</v>
      </c>
    </row>
    <row r="12" spans="2:44" x14ac:dyDescent="0.25">
      <c r="B12" s="25" t="s">
        <v>74</v>
      </c>
      <c r="C12" s="23" t="s">
        <v>73</v>
      </c>
      <c r="D12" s="23">
        <v>640</v>
      </c>
      <c r="E12" s="23">
        <v>6</v>
      </c>
      <c r="F12" s="23">
        <f t="shared" si="0"/>
        <v>3.8399999999999997E-2</v>
      </c>
      <c r="G12" s="23" t="s">
        <v>172</v>
      </c>
      <c r="H12" s="23" t="s">
        <v>168</v>
      </c>
      <c r="I12" s="23" t="s">
        <v>417</v>
      </c>
      <c r="J12" s="32">
        <f>VLOOKUP($I12,'Discount Scheme Target'!$B$3:$F$16,2,FALSE)</f>
        <v>0.08</v>
      </c>
      <c r="K12" s="32">
        <f>VLOOKUP($I12,'Discount Scheme Target'!$B$3:$F$16,3,FALSE)</f>
        <v>1.4999999999999999E-2</v>
      </c>
      <c r="L12" s="32">
        <f>VLOOKUP($I12,'Discount Scheme Target'!$B$3:$F$16,4,FALSE)</f>
        <v>3.5000000000000003E-2</v>
      </c>
      <c r="M12" s="32">
        <f>VLOOKUP($I12,'Discount Scheme Target'!$B$3:$F$16,5,FALSE)</f>
        <v>4.5000000000000005E-2</v>
      </c>
      <c r="O12" s="23" t="s">
        <v>133</v>
      </c>
      <c r="Q12" s="26" t="s">
        <v>44</v>
      </c>
      <c r="W12" s="26" t="s">
        <v>203</v>
      </c>
      <c r="AE12" s="26" t="s">
        <v>225</v>
      </c>
      <c r="AK12" s="26" t="s">
        <v>205</v>
      </c>
      <c r="AM12" s="26" t="s">
        <v>206</v>
      </c>
      <c r="AO12" s="23" t="s">
        <v>132</v>
      </c>
      <c r="AP12" s="24">
        <v>7.0000000000000007E-2</v>
      </c>
      <c r="AR12" s="26" t="s">
        <v>372</v>
      </c>
    </row>
    <row r="13" spans="2:44" x14ac:dyDescent="0.25">
      <c r="B13" s="25" t="s">
        <v>25</v>
      </c>
      <c r="C13" s="23" t="s">
        <v>24</v>
      </c>
      <c r="D13" s="23">
        <v>330</v>
      </c>
      <c r="E13" s="23">
        <v>20</v>
      </c>
      <c r="F13" s="23">
        <f t="shared" si="0"/>
        <v>6.6000000000000003E-2</v>
      </c>
      <c r="G13" s="23" t="s">
        <v>207</v>
      </c>
      <c r="H13" s="23" t="s">
        <v>168</v>
      </c>
      <c r="I13" s="23" t="s">
        <v>417</v>
      </c>
      <c r="J13" s="32">
        <f>VLOOKUP($I13,'Discount Scheme Target'!$B$3:$F$16,2,FALSE)</f>
        <v>0.08</v>
      </c>
      <c r="K13" s="32">
        <f>VLOOKUP($I13,'Discount Scheme Target'!$B$3:$F$16,3,FALSE)</f>
        <v>1.4999999999999999E-2</v>
      </c>
      <c r="L13" s="32">
        <f>VLOOKUP($I13,'Discount Scheme Target'!$B$3:$F$16,4,FALSE)</f>
        <v>3.5000000000000003E-2</v>
      </c>
      <c r="M13" s="32">
        <f>VLOOKUP($I13,'Discount Scheme Target'!$B$3:$F$16,5,FALSE)</f>
        <v>4.5000000000000005E-2</v>
      </c>
      <c r="O13" s="23" t="s">
        <v>132</v>
      </c>
      <c r="Q13" s="26" t="s">
        <v>13</v>
      </c>
      <c r="W13" s="26" t="s">
        <v>208</v>
      </c>
      <c r="AE13" s="26" t="s">
        <v>228</v>
      </c>
      <c r="AK13" s="26" t="s">
        <v>210</v>
      </c>
      <c r="AM13" s="26" t="s">
        <v>211</v>
      </c>
      <c r="AO13" s="23" t="s">
        <v>161</v>
      </c>
      <c r="AP13" s="24">
        <v>0.08</v>
      </c>
      <c r="AR13" s="26" t="s">
        <v>373</v>
      </c>
    </row>
    <row r="14" spans="2:44" x14ac:dyDescent="0.25">
      <c r="B14" s="25" t="s">
        <v>44</v>
      </c>
      <c r="C14" s="23" t="s">
        <v>43</v>
      </c>
      <c r="D14" s="23">
        <v>330</v>
      </c>
      <c r="E14" s="23">
        <v>20</v>
      </c>
      <c r="F14" s="23">
        <v>6.6000000000000003E-2</v>
      </c>
      <c r="G14" s="23" t="s">
        <v>212</v>
      </c>
      <c r="H14" s="23" t="s">
        <v>168</v>
      </c>
      <c r="I14" s="23" t="s">
        <v>417</v>
      </c>
      <c r="J14" s="32">
        <f>VLOOKUP($I14,'Discount Scheme Target'!$B$3:$F$16,2,FALSE)</f>
        <v>0.08</v>
      </c>
      <c r="K14" s="32">
        <f>VLOOKUP($I14,'Discount Scheme Target'!$B$3:$F$16,3,FALSE)</f>
        <v>1.4999999999999999E-2</v>
      </c>
      <c r="L14" s="32">
        <f>VLOOKUP($I14,'Discount Scheme Target'!$B$3:$F$16,4,FALSE)</f>
        <v>3.5000000000000003E-2</v>
      </c>
      <c r="M14" s="32">
        <f>VLOOKUP($I14,'Discount Scheme Target'!$B$3:$F$16,5,FALSE)</f>
        <v>4.5000000000000005E-2</v>
      </c>
      <c r="O14" s="23" t="s">
        <v>161</v>
      </c>
      <c r="Q14" s="26" t="s">
        <v>25</v>
      </c>
      <c r="W14" s="26" t="s">
        <v>80</v>
      </c>
      <c r="AE14" s="26" t="s">
        <v>231</v>
      </c>
      <c r="AK14" s="26" t="s">
        <v>215</v>
      </c>
      <c r="AM14" s="26" t="s">
        <v>95</v>
      </c>
      <c r="AO14" s="23" t="s">
        <v>162</v>
      </c>
      <c r="AP14" s="24">
        <v>0.08</v>
      </c>
      <c r="AR14" s="26" t="s">
        <v>374</v>
      </c>
    </row>
    <row r="15" spans="2:44" x14ac:dyDescent="0.25">
      <c r="B15" s="25" t="s">
        <v>216</v>
      </c>
      <c r="C15" s="23" t="s">
        <v>217</v>
      </c>
      <c r="D15" s="23">
        <v>330</v>
      </c>
      <c r="E15" s="23">
        <v>20</v>
      </c>
      <c r="F15" s="23">
        <v>6.6000000000000003E-2</v>
      </c>
      <c r="G15" s="23" t="s">
        <v>218</v>
      </c>
      <c r="H15" s="23" t="s">
        <v>168</v>
      </c>
      <c r="I15" s="23" t="s">
        <v>417</v>
      </c>
      <c r="J15" s="32">
        <f>VLOOKUP($I15,'Discount Scheme Target'!$B$3:$F$16,2,FALSE)</f>
        <v>0.08</v>
      </c>
      <c r="K15" s="32">
        <f>VLOOKUP($I15,'Discount Scheme Target'!$B$3:$F$16,3,FALSE)</f>
        <v>1.4999999999999999E-2</v>
      </c>
      <c r="L15" s="32">
        <f>VLOOKUP($I15,'Discount Scheme Target'!$B$3:$F$16,4,FALSE)</f>
        <v>3.5000000000000003E-2</v>
      </c>
      <c r="M15" s="32">
        <f>VLOOKUP($I15,'Discount Scheme Target'!$B$3:$F$16,5,FALSE)</f>
        <v>4.5000000000000005E-2</v>
      </c>
      <c r="O15" s="23" t="s">
        <v>162</v>
      </c>
      <c r="Q15" s="26" t="s">
        <v>216</v>
      </c>
      <c r="W15" s="26" t="s">
        <v>219</v>
      </c>
      <c r="AE15" s="26" t="s">
        <v>234</v>
      </c>
      <c r="AK15" s="26" t="s">
        <v>221</v>
      </c>
      <c r="AM15" s="26" t="s">
        <v>97</v>
      </c>
    </row>
    <row r="16" spans="2:44" x14ac:dyDescent="0.25">
      <c r="B16" s="25" t="s">
        <v>11</v>
      </c>
      <c r="C16" s="23" t="s">
        <v>10</v>
      </c>
      <c r="D16" s="23">
        <v>330</v>
      </c>
      <c r="E16" s="23">
        <v>20</v>
      </c>
      <c r="F16" s="23">
        <f>+D16*E16/100000</f>
        <v>6.6000000000000003E-2</v>
      </c>
      <c r="G16" s="23" t="s">
        <v>139</v>
      </c>
      <c r="H16" s="23" t="s">
        <v>168</v>
      </c>
      <c r="I16" s="23" t="s">
        <v>130</v>
      </c>
      <c r="J16" s="32">
        <f>VLOOKUP($I16,'Discount Scheme Target'!$B$3:$F$16,2,FALSE)</f>
        <v>0.08</v>
      </c>
      <c r="K16" s="32">
        <f>VLOOKUP($I16,'Discount Scheme Target'!$B$3:$F$16,3,FALSE)</f>
        <v>1.4999999999999999E-2</v>
      </c>
      <c r="L16" s="32">
        <f>VLOOKUP($I16,'Discount Scheme Target'!$B$3:$F$16,4,FALSE)</f>
        <v>3.5000000000000003E-2</v>
      </c>
      <c r="M16" s="32">
        <f>VLOOKUP($I16,'Discount Scheme Target'!$B$3:$F$16,5,FALSE)</f>
        <v>4.5000000000000005E-2</v>
      </c>
      <c r="AK16" s="26" t="s">
        <v>223</v>
      </c>
      <c r="AM16" s="26" t="s">
        <v>99</v>
      </c>
    </row>
    <row r="17" spans="2:39" x14ac:dyDescent="0.25">
      <c r="B17" s="25" t="s">
        <v>173</v>
      </c>
      <c r="C17" s="23" t="s">
        <v>224</v>
      </c>
      <c r="D17" s="23">
        <v>330</v>
      </c>
      <c r="E17" s="23">
        <v>6</v>
      </c>
      <c r="F17" s="23">
        <f>+D17*E17/100000</f>
        <v>1.9800000000000002E-2</v>
      </c>
      <c r="G17" s="23" t="s">
        <v>139</v>
      </c>
      <c r="H17" s="23" t="s">
        <v>168</v>
      </c>
      <c r="I17" s="23" t="s">
        <v>130</v>
      </c>
      <c r="J17" s="32">
        <f>VLOOKUP($I17,'Discount Scheme Target'!$B$3:$F$16,2,FALSE)</f>
        <v>0.08</v>
      </c>
      <c r="K17" s="32">
        <f>VLOOKUP($I17,'Discount Scheme Target'!$B$3:$F$16,3,FALSE)</f>
        <v>1.4999999999999999E-2</v>
      </c>
      <c r="L17" s="32">
        <f>VLOOKUP($I17,'Discount Scheme Target'!$B$3:$F$16,4,FALSE)</f>
        <v>3.5000000000000003E-2</v>
      </c>
      <c r="M17" s="32">
        <f>VLOOKUP($I17,'Discount Scheme Target'!$B$3:$F$16,5,FALSE)</f>
        <v>4.5000000000000005E-2</v>
      </c>
      <c r="AK17" s="26" t="s">
        <v>226</v>
      </c>
      <c r="AM17" s="26" t="s">
        <v>227</v>
      </c>
    </row>
    <row r="18" spans="2:39" x14ac:dyDescent="0.25">
      <c r="B18" s="25" t="s">
        <v>42</v>
      </c>
      <c r="C18" s="23" t="s">
        <v>41</v>
      </c>
      <c r="D18" s="23">
        <v>330</v>
      </c>
      <c r="E18" s="23">
        <v>20</v>
      </c>
      <c r="F18" s="23">
        <f t="shared" ref="F18:F20" si="1">+D18*E18/100000</f>
        <v>6.6000000000000003E-2</v>
      </c>
      <c r="G18" s="23" t="s">
        <v>139</v>
      </c>
      <c r="H18" s="23" t="s">
        <v>168</v>
      </c>
      <c r="I18" s="23" t="s">
        <v>130</v>
      </c>
      <c r="J18" s="32">
        <f>VLOOKUP($I18,'Discount Scheme Target'!$B$3:$F$16,2,FALSE)</f>
        <v>0.08</v>
      </c>
      <c r="K18" s="32">
        <f>VLOOKUP($I18,'Discount Scheme Target'!$B$3:$F$16,3,FALSE)</f>
        <v>1.4999999999999999E-2</v>
      </c>
      <c r="L18" s="32">
        <f>VLOOKUP($I18,'Discount Scheme Target'!$B$3:$F$16,4,FALSE)</f>
        <v>3.5000000000000003E-2</v>
      </c>
      <c r="M18" s="32">
        <f>VLOOKUP($I18,'Discount Scheme Target'!$B$3:$F$16,5,FALSE)</f>
        <v>4.5000000000000005E-2</v>
      </c>
      <c r="AK18" s="26" t="s">
        <v>229</v>
      </c>
      <c r="AM18" s="26" t="s">
        <v>230</v>
      </c>
    </row>
    <row r="19" spans="2:39" x14ac:dyDescent="0.25">
      <c r="B19" s="25" t="s">
        <v>70</v>
      </c>
      <c r="C19" s="23" t="s">
        <v>69</v>
      </c>
      <c r="D19" s="23">
        <v>330</v>
      </c>
      <c r="E19" s="23">
        <v>20</v>
      </c>
      <c r="F19" s="23">
        <f t="shared" si="1"/>
        <v>6.6000000000000003E-2</v>
      </c>
      <c r="G19" s="23" t="s">
        <v>139</v>
      </c>
      <c r="H19" s="23" t="s">
        <v>168</v>
      </c>
      <c r="I19" s="23" t="s">
        <v>130</v>
      </c>
      <c r="J19" s="32">
        <f>VLOOKUP($I19,'Discount Scheme Target'!$B$3:$F$16,2,FALSE)</f>
        <v>0.08</v>
      </c>
      <c r="K19" s="32">
        <f>VLOOKUP($I19,'Discount Scheme Target'!$B$3:$F$16,3,FALSE)</f>
        <v>1.4999999999999999E-2</v>
      </c>
      <c r="L19" s="32">
        <f>VLOOKUP($I19,'Discount Scheme Target'!$B$3:$F$16,4,FALSE)</f>
        <v>3.5000000000000003E-2</v>
      </c>
      <c r="M19" s="32">
        <f>VLOOKUP($I19,'Discount Scheme Target'!$B$3:$F$16,5,FALSE)</f>
        <v>4.5000000000000005E-2</v>
      </c>
      <c r="AK19" s="26" t="s">
        <v>232</v>
      </c>
      <c r="AM19" s="26" t="s">
        <v>233</v>
      </c>
    </row>
    <row r="20" spans="2:39" x14ac:dyDescent="0.25">
      <c r="B20" s="25" t="s">
        <v>186</v>
      </c>
      <c r="C20" s="23" t="s">
        <v>71</v>
      </c>
      <c r="D20" s="23">
        <v>330</v>
      </c>
      <c r="E20" s="23">
        <v>20</v>
      </c>
      <c r="F20" s="23">
        <f t="shared" si="1"/>
        <v>6.6000000000000003E-2</v>
      </c>
      <c r="G20" s="23" t="s">
        <v>139</v>
      </c>
      <c r="H20" s="23" t="s">
        <v>168</v>
      </c>
      <c r="I20" s="23" t="s">
        <v>130</v>
      </c>
      <c r="J20" s="32">
        <f>VLOOKUP($I20,'Discount Scheme Target'!$B$3:$F$16,2,FALSE)</f>
        <v>0.08</v>
      </c>
      <c r="K20" s="32">
        <f>VLOOKUP($I20,'Discount Scheme Target'!$B$3:$F$16,3,FALSE)</f>
        <v>1.4999999999999999E-2</v>
      </c>
      <c r="L20" s="32">
        <f>VLOOKUP($I20,'Discount Scheme Target'!$B$3:$F$16,4,FALSE)</f>
        <v>3.5000000000000003E-2</v>
      </c>
      <c r="M20" s="32">
        <f>VLOOKUP($I20,'Discount Scheme Target'!$B$3:$F$16,5,FALSE)</f>
        <v>4.5000000000000005E-2</v>
      </c>
      <c r="AK20" s="26" t="s">
        <v>235</v>
      </c>
      <c r="AM20" s="26" t="s">
        <v>236</v>
      </c>
    </row>
    <row r="21" spans="2:39" x14ac:dyDescent="0.25">
      <c r="B21" s="25" t="s">
        <v>198</v>
      </c>
      <c r="C21" s="23" t="s">
        <v>237</v>
      </c>
      <c r="D21" s="23">
        <v>200</v>
      </c>
      <c r="E21" s="23">
        <v>24</v>
      </c>
      <c r="F21" s="23">
        <f t="shared" si="0"/>
        <v>4.8000000000000001E-2</v>
      </c>
      <c r="G21" s="23" t="s">
        <v>238</v>
      </c>
      <c r="H21" s="23" t="s">
        <v>239</v>
      </c>
      <c r="I21" s="23" t="s">
        <v>131</v>
      </c>
      <c r="J21" s="32">
        <f>VLOOKUP($I21,'Discount Scheme Target'!$B$3:$F$16,2,FALSE)</f>
        <v>0.08</v>
      </c>
      <c r="K21" s="32">
        <f>VLOOKUP($I21,'Discount Scheme Target'!$B$3:$F$16,3,FALSE)</f>
        <v>0.01</v>
      </c>
      <c r="L21" s="32">
        <f>VLOOKUP($I21,'Discount Scheme Target'!$B$3:$F$16,4,FALSE)</f>
        <v>0.03</v>
      </c>
      <c r="M21" s="32">
        <f>VLOOKUP($I21,'Discount Scheme Target'!$B$3:$F$16,5,FALSE)</f>
        <v>0.04</v>
      </c>
      <c r="AK21" s="26" t="s">
        <v>240</v>
      </c>
      <c r="AM21" s="26" t="s">
        <v>241</v>
      </c>
    </row>
    <row r="22" spans="2:39" x14ac:dyDescent="0.25">
      <c r="B22" s="25" t="s">
        <v>62</v>
      </c>
      <c r="C22" s="23" t="s">
        <v>61</v>
      </c>
      <c r="D22" s="23">
        <v>700</v>
      </c>
      <c r="E22" s="23">
        <v>12</v>
      </c>
      <c r="F22" s="23">
        <f t="shared" si="0"/>
        <v>8.4000000000000005E-2</v>
      </c>
      <c r="G22" s="23" t="str">
        <f t="shared" ref="G22:G32" si="2">+G21</f>
        <v>MDL</v>
      </c>
      <c r="H22" s="23" t="s">
        <v>239</v>
      </c>
      <c r="I22" s="23" t="s">
        <v>131</v>
      </c>
      <c r="J22" s="32">
        <f>VLOOKUP($I22,'Discount Scheme Target'!$B$3:$F$16,2,FALSE)</f>
        <v>0.08</v>
      </c>
      <c r="K22" s="32">
        <f>VLOOKUP($I22,'Discount Scheme Target'!$B$3:$F$16,3,FALSE)</f>
        <v>0.01</v>
      </c>
      <c r="L22" s="32">
        <f>VLOOKUP($I22,'Discount Scheme Target'!$B$3:$F$16,4,FALSE)</f>
        <v>0.03</v>
      </c>
      <c r="M22" s="32">
        <f>VLOOKUP($I22,'Discount Scheme Target'!$B$3:$F$16,5,FALSE)</f>
        <v>0.04</v>
      </c>
      <c r="AK22" s="26" t="s">
        <v>242</v>
      </c>
      <c r="AM22" s="26" t="s">
        <v>243</v>
      </c>
    </row>
    <row r="23" spans="2:39" x14ac:dyDescent="0.25">
      <c r="B23" s="25" t="s">
        <v>30</v>
      </c>
      <c r="C23" s="23" t="s">
        <v>29</v>
      </c>
      <c r="D23" s="23">
        <v>750</v>
      </c>
      <c r="E23" s="23">
        <v>12</v>
      </c>
      <c r="F23" s="23">
        <f t="shared" si="0"/>
        <v>0.09</v>
      </c>
      <c r="G23" s="23" t="str">
        <f t="shared" si="2"/>
        <v>MDL</v>
      </c>
      <c r="H23" s="23" t="s">
        <v>239</v>
      </c>
      <c r="I23" s="23" t="s">
        <v>131</v>
      </c>
      <c r="J23" s="32">
        <f>VLOOKUP($I23,'Discount Scheme Target'!$B$3:$F$16,2,FALSE)</f>
        <v>0.08</v>
      </c>
      <c r="K23" s="32">
        <f>VLOOKUP($I23,'Discount Scheme Target'!$B$3:$F$16,3,FALSE)</f>
        <v>0.01</v>
      </c>
      <c r="L23" s="32">
        <f>VLOOKUP($I23,'Discount Scheme Target'!$B$3:$F$16,4,FALSE)</f>
        <v>0.03</v>
      </c>
      <c r="M23" s="32">
        <f>VLOOKUP($I23,'Discount Scheme Target'!$B$3:$F$16,5,FALSE)</f>
        <v>0.04</v>
      </c>
      <c r="AK23" s="26" t="s">
        <v>244</v>
      </c>
      <c r="AM23" s="26" t="s">
        <v>245</v>
      </c>
    </row>
    <row r="24" spans="2:39" x14ac:dyDescent="0.25">
      <c r="B24" s="25" t="s">
        <v>203</v>
      </c>
      <c r="C24" s="23" t="s">
        <v>246</v>
      </c>
      <c r="D24" s="23">
        <v>200</v>
      </c>
      <c r="E24" s="23">
        <v>24</v>
      </c>
      <c r="F24" s="23">
        <f t="shared" si="0"/>
        <v>4.8000000000000001E-2</v>
      </c>
      <c r="G24" s="23" t="str">
        <f t="shared" si="2"/>
        <v>MDL</v>
      </c>
      <c r="H24" s="23" t="s">
        <v>239</v>
      </c>
      <c r="I24" s="23" t="s">
        <v>131</v>
      </c>
      <c r="J24" s="32">
        <f>VLOOKUP($I24,'Discount Scheme Target'!$B$3:$F$16,2,FALSE)</f>
        <v>0.08</v>
      </c>
      <c r="K24" s="32">
        <f>VLOOKUP($I24,'Discount Scheme Target'!$B$3:$F$16,3,FALSE)</f>
        <v>0.01</v>
      </c>
      <c r="L24" s="32">
        <f>VLOOKUP($I24,'Discount Scheme Target'!$B$3:$F$16,4,FALSE)</f>
        <v>0.03</v>
      </c>
      <c r="M24" s="32">
        <f>VLOOKUP($I24,'Discount Scheme Target'!$B$3:$F$16,5,FALSE)</f>
        <v>0.04</v>
      </c>
      <c r="AK24" s="26" t="s">
        <v>247</v>
      </c>
      <c r="AM24" s="26" t="s">
        <v>248</v>
      </c>
    </row>
    <row r="25" spans="2:39" x14ac:dyDescent="0.25">
      <c r="B25" s="25" t="s">
        <v>32</v>
      </c>
      <c r="C25" s="23" t="s">
        <v>31</v>
      </c>
      <c r="D25" s="23">
        <v>750</v>
      </c>
      <c r="E25" s="23">
        <v>12</v>
      </c>
      <c r="F25" s="23">
        <f t="shared" si="0"/>
        <v>0.09</v>
      </c>
      <c r="G25" s="23" t="str">
        <f t="shared" si="2"/>
        <v>MDL</v>
      </c>
      <c r="H25" s="23" t="s">
        <v>239</v>
      </c>
      <c r="I25" s="23" t="s">
        <v>131</v>
      </c>
      <c r="J25" s="32">
        <f>VLOOKUP($I25,'Discount Scheme Target'!$B$3:$F$16,2,FALSE)</f>
        <v>0.08</v>
      </c>
      <c r="K25" s="32">
        <f>VLOOKUP($I25,'Discount Scheme Target'!$B$3:$F$16,3,FALSE)</f>
        <v>0.01</v>
      </c>
      <c r="L25" s="32">
        <f>VLOOKUP($I25,'Discount Scheme Target'!$B$3:$F$16,4,FALSE)</f>
        <v>0.03</v>
      </c>
      <c r="M25" s="32">
        <f>VLOOKUP($I25,'Discount Scheme Target'!$B$3:$F$16,5,FALSE)</f>
        <v>0.04</v>
      </c>
      <c r="AK25" s="26" t="s">
        <v>249</v>
      </c>
      <c r="AM25" s="26" t="s">
        <v>250</v>
      </c>
    </row>
    <row r="26" spans="2:39" x14ac:dyDescent="0.25">
      <c r="B26" s="25" t="s">
        <v>208</v>
      </c>
      <c r="C26" s="23" t="s">
        <v>251</v>
      </c>
      <c r="D26" s="23">
        <v>200</v>
      </c>
      <c r="E26" s="23">
        <v>24</v>
      </c>
      <c r="F26" s="23">
        <f t="shared" si="0"/>
        <v>4.8000000000000001E-2</v>
      </c>
      <c r="G26" s="23" t="str">
        <f t="shared" si="2"/>
        <v>MDL</v>
      </c>
      <c r="H26" s="23" t="s">
        <v>239</v>
      </c>
      <c r="I26" s="23" t="s">
        <v>131</v>
      </c>
      <c r="J26" s="32">
        <f>VLOOKUP($I26,'Discount Scheme Target'!$B$3:$F$16,2,FALSE)</f>
        <v>0.08</v>
      </c>
      <c r="K26" s="32">
        <f>VLOOKUP($I26,'Discount Scheme Target'!$B$3:$F$16,3,FALSE)</f>
        <v>0.01</v>
      </c>
      <c r="L26" s="32">
        <f>VLOOKUP($I26,'Discount Scheme Target'!$B$3:$F$16,4,FALSE)</f>
        <v>0.03</v>
      </c>
      <c r="M26" s="32">
        <f>VLOOKUP($I26,'Discount Scheme Target'!$B$3:$F$16,5,FALSE)</f>
        <v>0.04</v>
      </c>
      <c r="AK26" s="26" t="s">
        <v>252</v>
      </c>
      <c r="AM26" s="26" t="s">
        <v>253</v>
      </c>
    </row>
    <row r="27" spans="2:39" x14ac:dyDescent="0.25">
      <c r="B27" s="25" t="s">
        <v>34</v>
      </c>
      <c r="C27" s="23" t="s">
        <v>33</v>
      </c>
      <c r="D27" s="23">
        <v>750</v>
      </c>
      <c r="E27" s="23">
        <v>12</v>
      </c>
      <c r="F27" s="23">
        <f t="shared" si="0"/>
        <v>0.09</v>
      </c>
      <c r="G27" s="23" t="str">
        <f t="shared" si="2"/>
        <v>MDL</v>
      </c>
      <c r="H27" s="23" t="s">
        <v>239</v>
      </c>
      <c r="I27" s="23" t="s">
        <v>131</v>
      </c>
      <c r="J27" s="32">
        <f>VLOOKUP($I27,'Discount Scheme Target'!$B$3:$F$16,2,FALSE)</f>
        <v>0.08</v>
      </c>
      <c r="K27" s="32">
        <f>VLOOKUP($I27,'Discount Scheme Target'!$B$3:$F$16,3,FALSE)</f>
        <v>0.01</v>
      </c>
      <c r="L27" s="32">
        <f>VLOOKUP($I27,'Discount Scheme Target'!$B$3:$F$16,4,FALSE)</f>
        <v>0.03</v>
      </c>
      <c r="M27" s="32">
        <f>VLOOKUP($I27,'Discount Scheme Target'!$B$3:$F$16,5,FALSE)</f>
        <v>0.04</v>
      </c>
      <c r="AK27" s="26" t="s">
        <v>254</v>
      </c>
    </row>
    <row r="28" spans="2:39" x14ac:dyDescent="0.25">
      <c r="B28" s="25" t="s">
        <v>80</v>
      </c>
      <c r="C28" s="23" t="s">
        <v>79</v>
      </c>
      <c r="D28" s="23">
        <v>200</v>
      </c>
      <c r="E28" s="23">
        <v>24</v>
      </c>
      <c r="F28" s="23">
        <f t="shared" si="0"/>
        <v>4.8000000000000001E-2</v>
      </c>
      <c r="G28" s="23" t="str">
        <f t="shared" si="2"/>
        <v>MDL</v>
      </c>
      <c r="H28" s="23" t="s">
        <v>239</v>
      </c>
      <c r="I28" s="23" t="s">
        <v>131</v>
      </c>
      <c r="J28" s="32">
        <f>VLOOKUP($I28,'Discount Scheme Target'!$B$3:$F$16,2,FALSE)</f>
        <v>0.08</v>
      </c>
      <c r="K28" s="32">
        <f>VLOOKUP($I28,'Discount Scheme Target'!$B$3:$F$16,3,FALSE)</f>
        <v>0.01</v>
      </c>
      <c r="L28" s="32">
        <f>VLOOKUP($I28,'Discount Scheme Target'!$B$3:$F$16,4,FALSE)</f>
        <v>0.03</v>
      </c>
      <c r="M28" s="32">
        <f>VLOOKUP($I28,'Discount Scheme Target'!$B$3:$F$16,5,FALSE)</f>
        <v>0.04</v>
      </c>
    </row>
    <row r="29" spans="2:39" x14ac:dyDescent="0.25">
      <c r="B29" s="25" t="s">
        <v>36</v>
      </c>
      <c r="C29" s="23" t="s">
        <v>35</v>
      </c>
      <c r="D29" s="23">
        <v>750</v>
      </c>
      <c r="E29" s="23">
        <v>12</v>
      </c>
      <c r="F29" s="23">
        <f t="shared" si="0"/>
        <v>0.09</v>
      </c>
      <c r="G29" s="23" t="str">
        <f t="shared" si="2"/>
        <v>MDL</v>
      </c>
      <c r="H29" s="23" t="s">
        <v>239</v>
      </c>
      <c r="I29" s="23" t="s">
        <v>131</v>
      </c>
      <c r="J29" s="32">
        <f>VLOOKUP($I29,'Discount Scheme Target'!$B$3:$F$16,2,FALSE)</f>
        <v>0.08</v>
      </c>
      <c r="K29" s="32">
        <f>VLOOKUP($I29,'Discount Scheme Target'!$B$3:$F$16,3,FALSE)</f>
        <v>0.01</v>
      </c>
      <c r="L29" s="32">
        <f>VLOOKUP($I29,'Discount Scheme Target'!$B$3:$F$16,4,FALSE)</f>
        <v>0.03</v>
      </c>
      <c r="M29" s="32">
        <f>VLOOKUP($I29,'Discount Scheme Target'!$B$3:$F$16,5,FALSE)</f>
        <v>0.04</v>
      </c>
    </row>
    <row r="30" spans="2:39" x14ac:dyDescent="0.25">
      <c r="B30" s="25" t="s">
        <v>219</v>
      </c>
      <c r="C30" s="23" t="s">
        <v>255</v>
      </c>
      <c r="D30" s="23">
        <v>200</v>
      </c>
      <c r="E30" s="23">
        <v>24</v>
      </c>
      <c r="F30" s="23">
        <f t="shared" si="0"/>
        <v>4.8000000000000001E-2</v>
      </c>
      <c r="G30" s="23" t="str">
        <f t="shared" si="2"/>
        <v>MDL</v>
      </c>
      <c r="H30" s="23" t="s">
        <v>239</v>
      </c>
      <c r="I30" s="23" t="s">
        <v>131</v>
      </c>
      <c r="J30" s="32">
        <f>VLOOKUP($I30,'Discount Scheme Target'!$B$3:$F$16,2,FALSE)</f>
        <v>0.08</v>
      </c>
      <c r="K30" s="32">
        <f>VLOOKUP($I30,'Discount Scheme Target'!$B$3:$F$16,3,FALSE)</f>
        <v>0.01</v>
      </c>
      <c r="L30" s="32">
        <f>VLOOKUP($I30,'Discount Scheme Target'!$B$3:$F$16,4,FALSE)</f>
        <v>0.03</v>
      </c>
      <c r="M30" s="32">
        <f>VLOOKUP($I30,'Discount Scheme Target'!$B$3:$F$16,5,FALSE)</f>
        <v>0.04</v>
      </c>
    </row>
    <row r="31" spans="2:39" x14ac:dyDescent="0.25">
      <c r="B31" s="25" t="s">
        <v>64</v>
      </c>
      <c r="C31" s="23" t="s">
        <v>63</v>
      </c>
      <c r="D31" s="23">
        <v>750</v>
      </c>
      <c r="E31" s="23">
        <v>12</v>
      </c>
      <c r="F31" s="23">
        <f t="shared" si="0"/>
        <v>0.09</v>
      </c>
      <c r="G31" s="23" t="str">
        <f t="shared" si="2"/>
        <v>MDL</v>
      </c>
      <c r="H31" s="23" t="s">
        <v>239</v>
      </c>
      <c r="I31" s="23" t="s">
        <v>131</v>
      </c>
      <c r="J31" s="32">
        <f>VLOOKUP($I31,'Discount Scheme Target'!$B$3:$F$16,2,FALSE)</f>
        <v>0.08</v>
      </c>
      <c r="K31" s="32">
        <f>VLOOKUP($I31,'Discount Scheme Target'!$B$3:$F$16,3,FALSE)</f>
        <v>0.01</v>
      </c>
      <c r="L31" s="32">
        <f>VLOOKUP($I31,'Discount Scheme Target'!$B$3:$F$16,4,FALSE)</f>
        <v>0.03</v>
      </c>
      <c r="M31" s="32">
        <f>VLOOKUP($I31,'Discount Scheme Target'!$B$3:$F$16,5,FALSE)</f>
        <v>0.04</v>
      </c>
    </row>
    <row r="32" spans="2:39" x14ac:dyDescent="0.25">
      <c r="B32" s="25" t="s">
        <v>178</v>
      </c>
      <c r="C32" s="23" t="s">
        <v>256</v>
      </c>
      <c r="D32" s="23">
        <v>750</v>
      </c>
      <c r="E32" s="23">
        <v>12</v>
      </c>
      <c r="F32" s="23">
        <f>+D32*E32/100000</f>
        <v>0.09</v>
      </c>
      <c r="G32" s="23" t="str">
        <f t="shared" si="2"/>
        <v>MDL</v>
      </c>
      <c r="H32" s="23" t="s">
        <v>239</v>
      </c>
      <c r="I32" s="23" t="s">
        <v>131</v>
      </c>
      <c r="J32" s="32">
        <f>VLOOKUP($I32,'Discount Scheme Target'!$B$3:$F$16,2,FALSE)</f>
        <v>0.08</v>
      </c>
      <c r="K32" s="32">
        <f>VLOOKUP($I32,'Discount Scheme Target'!$B$3:$F$16,3,FALSE)</f>
        <v>0.01</v>
      </c>
      <c r="L32" s="32">
        <f>VLOOKUP($I32,'Discount Scheme Target'!$B$3:$F$16,4,FALSE)</f>
        <v>0.03</v>
      </c>
      <c r="M32" s="32">
        <f>VLOOKUP($I32,'Discount Scheme Target'!$B$3:$F$16,5,FALSE)</f>
        <v>0.04</v>
      </c>
    </row>
    <row r="33" spans="2:13" x14ac:dyDescent="0.25">
      <c r="B33" s="25" t="s">
        <v>21</v>
      </c>
      <c r="C33" s="23" t="s">
        <v>20</v>
      </c>
      <c r="D33" s="23">
        <v>300</v>
      </c>
      <c r="E33" s="23">
        <v>20</v>
      </c>
      <c r="F33" s="23">
        <f t="shared" si="0"/>
        <v>0.06</v>
      </c>
      <c r="G33" s="23" t="s">
        <v>257</v>
      </c>
      <c r="H33" s="23" t="s">
        <v>168</v>
      </c>
      <c r="I33" s="23" t="s">
        <v>514</v>
      </c>
      <c r="J33" s="32">
        <f>VLOOKUP($I33,'Discount Scheme Target'!$B$3:$F$16,2,FALSE)</f>
        <v>0.08</v>
      </c>
      <c r="K33" s="32">
        <f>VLOOKUP($I33,'Discount Scheme Target'!$B$3:$F$16,3,FALSE)</f>
        <v>0.01</v>
      </c>
      <c r="L33" s="32">
        <f>VLOOKUP($I33,'Discount Scheme Target'!$B$3:$F$16,4,FALSE)</f>
        <v>0.03</v>
      </c>
      <c r="M33" s="32">
        <f>VLOOKUP($I33,'Discount Scheme Target'!$B$3:$F$16,5,FALSE)</f>
        <v>0.04</v>
      </c>
    </row>
    <row r="34" spans="2:13" x14ac:dyDescent="0.25">
      <c r="B34" s="25" t="s">
        <v>174</v>
      </c>
      <c r="C34" s="23" t="s">
        <v>258</v>
      </c>
      <c r="D34" s="23">
        <v>300</v>
      </c>
      <c r="E34" s="23">
        <v>20</v>
      </c>
      <c r="F34" s="23">
        <f t="shared" si="0"/>
        <v>0.06</v>
      </c>
      <c r="G34" s="23" t="s">
        <v>257</v>
      </c>
      <c r="H34" s="23" t="s">
        <v>168</v>
      </c>
      <c r="I34" s="23" t="s">
        <v>514</v>
      </c>
      <c r="J34" s="32">
        <f>VLOOKUP($I34,'Discount Scheme Target'!$B$3:$F$16,2,FALSE)</f>
        <v>0.08</v>
      </c>
      <c r="K34" s="32">
        <f>VLOOKUP($I34,'Discount Scheme Target'!$B$3:$F$16,3,FALSE)</f>
        <v>0.01</v>
      </c>
      <c r="L34" s="32">
        <f>VLOOKUP($I34,'Discount Scheme Target'!$B$3:$F$16,4,FALSE)</f>
        <v>0.03</v>
      </c>
      <c r="M34" s="32">
        <f>VLOOKUP($I34,'Discount Scheme Target'!$B$3:$F$16,5,FALSE)</f>
        <v>0.04</v>
      </c>
    </row>
    <row r="35" spans="2:13" x14ac:dyDescent="0.25">
      <c r="B35" s="25" t="s">
        <v>60</v>
      </c>
      <c r="C35" s="23" t="s">
        <v>59</v>
      </c>
      <c r="D35" s="23">
        <v>300</v>
      </c>
      <c r="E35" s="23">
        <v>20</v>
      </c>
      <c r="F35" s="23">
        <f t="shared" si="0"/>
        <v>0.06</v>
      </c>
      <c r="G35" s="23" t="s">
        <v>259</v>
      </c>
      <c r="H35" s="23" t="s">
        <v>168</v>
      </c>
      <c r="I35" s="23" t="s">
        <v>514</v>
      </c>
      <c r="J35" s="32">
        <f>VLOOKUP($I35,'Discount Scheme Target'!$B$3:$F$16,2,FALSE)</f>
        <v>0.08</v>
      </c>
      <c r="K35" s="32">
        <f>VLOOKUP($I35,'Discount Scheme Target'!$B$3:$F$16,3,FALSE)</f>
        <v>0.01</v>
      </c>
      <c r="L35" s="32">
        <f>VLOOKUP($I35,'Discount Scheme Target'!$B$3:$F$16,4,FALSE)</f>
        <v>0.03</v>
      </c>
      <c r="M35" s="32">
        <f>VLOOKUP($I35,'Discount Scheme Target'!$B$3:$F$16,5,FALSE)</f>
        <v>0.04</v>
      </c>
    </row>
    <row r="36" spans="2:13" x14ac:dyDescent="0.25">
      <c r="B36" s="25" t="s">
        <v>23</v>
      </c>
      <c r="C36" s="23" t="s">
        <v>22</v>
      </c>
      <c r="D36" s="23">
        <v>300</v>
      </c>
      <c r="E36" s="23">
        <v>20</v>
      </c>
      <c r="F36" s="23">
        <f t="shared" si="0"/>
        <v>0.06</v>
      </c>
      <c r="G36" s="23" t="s">
        <v>259</v>
      </c>
      <c r="H36" s="23" t="s">
        <v>168</v>
      </c>
      <c r="I36" s="23" t="s">
        <v>514</v>
      </c>
      <c r="J36" s="32">
        <f>VLOOKUP($I36,'Discount Scheme Target'!$B$3:$F$16,2,FALSE)</f>
        <v>0.08</v>
      </c>
      <c r="K36" s="32">
        <f>VLOOKUP($I36,'Discount Scheme Target'!$B$3:$F$16,3,FALSE)</f>
        <v>0.01</v>
      </c>
      <c r="L36" s="32">
        <f>VLOOKUP($I36,'Discount Scheme Target'!$B$3:$F$16,4,FALSE)</f>
        <v>0.03</v>
      </c>
      <c r="M36" s="32">
        <f>VLOOKUP($I36,'Discount Scheme Target'!$B$3:$F$16,5,FALSE)</f>
        <v>0.04</v>
      </c>
    </row>
    <row r="37" spans="2:13" x14ac:dyDescent="0.25">
      <c r="B37" s="25" t="s">
        <v>187</v>
      </c>
      <c r="C37" s="23" t="s">
        <v>260</v>
      </c>
      <c r="D37" s="23">
        <v>300</v>
      </c>
      <c r="E37" s="23">
        <v>20</v>
      </c>
      <c r="F37" s="23">
        <f t="shared" si="0"/>
        <v>0.06</v>
      </c>
      <c r="G37" s="23" t="s">
        <v>259</v>
      </c>
      <c r="H37" s="23" t="s">
        <v>168</v>
      </c>
      <c r="I37" s="23" t="s">
        <v>514</v>
      </c>
      <c r="J37" s="32">
        <f>VLOOKUP($I37,'Discount Scheme Target'!$B$3:$F$16,2,FALSE)</f>
        <v>0.08</v>
      </c>
      <c r="K37" s="32">
        <f>VLOOKUP($I37,'Discount Scheme Target'!$B$3:$F$16,3,FALSE)</f>
        <v>0.01</v>
      </c>
      <c r="L37" s="32">
        <f>VLOOKUP($I37,'Discount Scheme Target'!$B$3:$F$16,4,FALSE)</f>
        <v>0.03</v>
      </c>
      <c r="M37" s="32">
        <f>VLOOKUP($I37,'Discount Scheme Target'!$B$3:$F$16,5,FALSE)</f>
        <v>0.04</v>
      </c>
    </row>
    <row r="38" spans="2:13" x14ac:dyDescent="0.25">
      <c r="B38" s="25" t="s">
        <v>191</v>
      </c>
      <c r="C38" s="23" t="s">
        <v>261</v>
      </c>
      <c r="D38" s="23">
        <v>300</v>
      </c>
      <c r="E38" s="23">
        <v>20</v>
      </c>
      <c r="F38" s="23">
        <f t="shared" si="0"/>
        <v>0.06</v>
      </c>
      <c r="G38" s="23" t="s">
        <v>259</v>
      </c>
      <c r="H38" s="23" t="s">
        <v>168</v>
      </c>
      <c r="I38" s="23" t="s">
        <v>514</v>
      </c>
      <c r="J38" s="32">
        <f>VLOOKUP($I38,'Discount Scheme Target'!$B$3:$F$16,2,FALSE)</f>
        <v>0.08</v>
      </c>
      <c r="K38" s="32">
        <f>VLOOKUP($I38,'Discount Scheme Target'!$B$3:$F$16,3,FALSE)</f>
        <v>0.01</v>
      </c>
      <c r="L38" s="32">
        <f>VLOOKUP($I38,'Discount Scheme Target'!$B$3:$F$16,4,FALSE)</f>
        <v>0.03</v>
      </c>
      <c r="M38" s="32">
        <f>VLOOKUP($I38,'Discount Scheme Target'!$B$3:$F$16,5,FALSE)</f>
        <v>0.04</v>
      </c>
    </row>
    <row r="39" spans="2:13" x14ac:dyDescent="0.25">
      <c r="B39" s="25" t="s">
        <v>48</v>
      </c>
      <c r="C39" s="23" t="s">
        <v>47</v>
      </c>
      <c r="D39" s="23">
        <v>300</v>
      </c>
      <c r="E39" s="23">
        <v>20</v>
      </c>
      <c r="F39" s="23">
        <f t="shared" si="0"/>
        <v>0.06</v>
      </c>
      <c r="G39" s="23" t="s">
        <v>262</v>
      </c>
      <c r="H39" s="23" t="s">
        <v>168</v>
      </c>
      <c r="I39" s="23" t="s">
        <v>514</v>
      </c>
      <c r="J39" s="32">
        <f>VLOOKUP($I39,'Discount Scheme Target'!$B$3:$F$16,2,FALSE)</f>
        <v>0.08</v>
      </c>
      <c r="K39" s="32">
        <f>VLOOKUP($I39,'Discount Scheme Target'!$B$3:$F$16,3,FALSE)</f>
        <v>0.01</v>
      </c>
      <c r="L39" s="32">
        <f>VLOOKUP($I39,'Discount Scheme Target'!$B$3:$F$16,4,FALSE)</f>
        <v>0.03</v>
      </c>
      <c r="M39" s="32">
        <f>VLOOKUP($I39,'Discount Scheme Target'!$B$3:$F$16,5,FALSE)</f>
        <v>0.04</v>
      </c>
    </row>
    <row r="40" spans="2:13" x14ac:dyDescent="0.25">
      <c r="B40" s="25" t="s">
        <v>199</v>
      </c>
      <c r="C40" s="23" t="s">
        <v>263</v>
      </c>
      <c r="D40" s="23">
        <v>300</v>
      </c>
      <c r="E40" s="23">
        <v>20</v>
      </c>
      <c r="F40" s="23">
        <f t="shared" si="0"/>
        <v>0.06</v>
      </c>
      <c r="G40" s="23" t="s">
        <v>264</v>
      </c>
      <c r="H40" s="23" t="s">
        <v>168</v>
      </c>
      <c r="I40" s="23" t="s">
        <v>354</v>
      </c>
      <c r="J40" s="32">
        <f>VLOOKUP($I40,'Discount Scheme Target'!$B$3:$F$16,2,FALSE)</f>
        <v>0.08</v>
      </c>
      <c r="K40" s="32">
        <f>VLOOKUP($I40,'Discount Scheme Target'!$B$3:$F$16,3,FALSE)</f>
        <v>0.01</v>
      </c>
      <c r="L40" s="32">
        <f>VLOOKUP($I40,'Discount Scheme Target'!$B$3:$F$16,4,FALSE)</f>
        <v>0.03</v>
      </c>
      <c r="M40" s="32">
        <f>VLOOKUP($I40,'Discount Scheme Target'!$B$3:$F$16,5,FALSE)</f>
        <v>0.04</v>
      </c>
    </row>
    <row r="41" spans="2:13" x14ac:dyDescent="0.25">
      <c r="B41" s="25" t="s">
        <v>38</v>
      </c>
      <c r="C41" s="23" t="s">
        <v>37</v>
      </c>
      <c r="D41" s="23">
        <v>300</v>
      </c>
      <c r="E41" s="23">
        <v>20</v>
      </c>
      <c r="F41" s="23">
        <f t="shared" si="0"/>
        <v>0.06</v>
      </c>
      <c r="G41" s="23" t="s">
        <v>264</v>
      </c>
      <c r="H41" s="23" t="s">
        <v>168</v>
      </c>
      <c r="I41" s="23" t="s">
        <v>354</v>
      </c>
      <c r="J41" s="32">
        <f>VLOOKUP($I41,'Discount Scheme Target'!$B$3:$F$16,2,FALSE)</f>
        <v>0.08</v>
      </c>
      <c r="K41" s="32">
        <f>VLOOKUP($I41,'Discount Scheme Target'!$B$3:$F$16,3,FALSE)</f>
        <v>0.01</v>
      </c>
      <c r="L41" s="32">
        <f>VLOOKUP($I41,'Discount Scheme Target'!$B$3:$F$16,4,FALSE)</f>
        <v>0.03</v>
      </c>
      <c r="M41" s="32">
        <f>VLOOKUP($I41,'Discount Scheme Target'!$B$3:$F$16,5,FALSE)</f>
        <v>0.04</v>
      </c>
    </row>
    <row r="42" spans="2:13" x14ac:dyDescent="0.25">
      <c r="B42" s="25" t="s">
        <v>40</v>
      </c>
      <c r="C42" s="23" t="s">
        <v>39</v>
      </c>
      <c r="D42" s="23">
        <v>300</v>
      </c>
      <c r="E42" s="23">
        <v>20</v>
      </c>
      <c r="F42" s="23">
        <f t="shared" si="0"/>
        <v>0.06</v>
      </c>
      <c r="G42" s="23" t="s">
        <v>264</v>
      </c>
      <c r="H42" s="23" t="s">
        <v>168</v>
      </c>
      <c r="I42" s="23" t="s">
        <v>354</v>
      </c>
      <c r="J42" s="32">
        <f>VLOOKUP($I42,'Discount Scheme Target'!$B$3:$F$16,2,FALSE)</f>
        <v>0.08</v>
      </c>
      <c r="K42" s="32">
        <f>VLOOKUP($I42,'Discount Scheme Target'!$B$3:$F$16,3,FALSE)</f>
        <v>0.01</v>
      </c>
      <c r="L42" s="32">
        <f>VLOOKUP($I42,'Discount Scheme Target'!$B$3:$F$16,4,FALSE)</f>
        <v>0.03</v>
      </c>
      <c r="M42" s="32">
        <f>VLOOKUP($I42,'Discount Scheme Target'!$B$3:$F$16,5,FALSE)</f>
        <v>0.04</v>
      </c>
    </row>
    <row r="43" spans="2:13" x14ac:dyDescent="0.25">
      <c r="B43" s="25" t="s">
        <v>213</v>
      </c>
      <c r="C43" s="23" t="s">
        <v>265</v>
      </c>
      <c r="D43" s="23">
        <v>300</v>
      </c>
      <c r="E43" s="23">
        <v>20</v>
      </c>
      <c r="F43" s="23">
        <f t="shared" si="0"/>
        <v>0.06</v>
      </c>
      <c r="G43" s="23" t="s">
        <v>264</v>
      </c>
      <c r="H43" s="23" t="s">
        <v>168</v>
      </c>
      <c r="I43" s="23" t="s">
        <v>354</v>
      </c>
      <c r="J43" s="32">
        <f>VLOOKUP($I43,'Discount Scheme Target'!$B$3:$F$16,2,FALSE)</f>
        <v>0.08</v>
      </c>
      <c r="K43" s="32">
        <f>VLOOKUP($I43,'Discount Scheme Target'!$B$3:$F$16,3,FALSE)</f>
        <v>0.01</v>
      </c>
      <c r="L43" s="32">
        <f>VLOOKUP($I43,'Discount Scheme Target'!$B$3:$F$16,4,FALSE)</f>
        <v>0.03</v>
      </c>
      <c r="M43" s="32">
        <f>VLOOKUP($I43,'Discount Scheme Target'!$B$3:$F$16,5,FALSE)</f>
        <v>0.04</v>
      </c>
    </row>
    <row r="44" spans="2:13" x14ac:dyDescent="0.25">
      <c r="B44" s="25" t="s">
        <v>46</v>
      </c>
      <c r="C44" s="23" t="s">
        <v>45</v>
      </c>
      <c r="D44" s="23">
        <v>330</v>
      </c>
      <c r="E44" s="23">
        <v>20</v>
      </c>
      <c r="F44" s="23">
        <f t="shared" si="0"/>
        <v>6.6000000000000003E-2</v>
      </c>
      <c r="G44" s="23" t="s">
        <v>264</v>
      </c>
      <c r="H44" s="23" t="s">
        <v>168</v>
      </c>
      <c r="I44" s="23" t="s">
        <v>354</v>
      </c>
      <c r="J44" s="32">
        <f>VLOOKUP($I44,'Discount Scheme Target'!$B$3:$F$16,2,FALSE)</f>
        <v>0.08</v>
      </c>
      <c r="K44" s="32">
        <f>VLOOKUP($I44,'Discount Scheme Target'!$B$3:$F$16,3,FALSE)</f>
        <v>0.01</v>
      </c>
      <c r="L44" s="32">
        <f>VLOOKUP($I44,'Discount Scheme Target'!$B$3:$F$16,4,FALSE)</f>
        <v>0.03</v>
      </c>
      <c r="M44" s="32">
        <f>VLOOKUP($I44,'Discount Scheme Target'!$B$3:$F$16,5,FALSE)</f>
        <v>0.04</v>
      </c>
    </row>
    <row r="45" spans="2:13" x14ac:dyDescent="0.25">
      <c r="B45" s="25" t="s">
        <v>105</v>
      </c>
      <c r="C45" s="23" t="s">
        <v>104</v>
      </c>
      <c r="D45" s="23">
        <v>330</v>
      </c>
      <c r="E45" s="23">
        <v>20</v>
      </c>
      <c r="F45" s="23">
        <f t="shared" si="0"/>
        <v>6.6000000000000003E-2</v>
      </c>
      <c r="G45" s="23" t="s">
        <v>266</v>
      </c>
      <c r="H45" s="23" t="s">
        <v>168</v>
      </c>
      <c r="I45" s="23" t="s">
        <v>354</v>
      </c>
      <c r="J45" s="32">
        <f>VLOOKUP($I45,'Discount Scheme Target'!$B$3:$F$16,2,FALSE)</f>
        <v>0.08</v>
      </c>
      <c r="K45" s="32">
        <f>VLOOKUP($I45,'Discount Scheme Target'!$B$3:$F$16,3,FALSE)</f>
        <v>0.01</v>
      </c>
      <c r="L45" s="32">
        <f>VLOOKUP($I45,'Discount Scheme Target'!$B$3:$F$16,4,FALSE)</f>
        <v>0.03</v>
      </c>
      <c r="M45" s="32">
        <f>VLOOKUP($I45,'Discount Scheme Target'!$B$3:$F$16,5,FALSE)</f>
        <v>0.04</v>
      </c>
    </row>
    <row r="46" spans="2:13" x14ac:dyDescent="0.25">
      <c r="B46" s="25" t="s">
        <v>267</v>
      </c>
      <c r="C46" s="23" t="s">
        <v>268</v>
      </c>
      <c r="D46" s="23">
        <v>500</v>
      </c>
      <c r="E46" s="23">
        <v>12</v>
      </c>
      <c r="F46" s="23">
        <f t="shared" si="0"/>
        <v>0.06</v>
      </c>
      <c r="G46" s="23" t="s">
        <v>257</v>
      </c>
      <c r="H46" s="23" t="s">
        <v>269</v>
      </c>
      <c r="I46" s="23" t="s">
        <v>515</v>
      </c>
      <c r="J46" s="32">
        <f>VLOOKUP($I46,'Discount Scheme Target'!$B$3:$F$16,2,FALSE)</f>
        <v>0.06</v>
      </c>
      <c r="K46" s="32">
        <f>VLOOKUP($I46,'Discount Scheme Target'!$B$3:$F$16,3,FALSE)</f>
        <v>0.01</v>
      </c>
      <c r="L46" s="32">
        <f>VLOOKUP($I46,'Discount Scheme Target'!$B$3:$F$16,4,FALSE)</f>
        <v>0.03</v>
      </c>
      <c r="M46" s="32">
        <f>VLOOKUP($I46,'Discount Scheme Target'!$B$3:$F$16,5,FALSE)</f>
        <v>0.03</v>
      </c>
    </row>
    <row r="47" spans="2:13" x14ac:dyDescent="0.25">
      <c r="B47" s="25" t="s">
        <v>209</v>
      </c>
      <c r="C47" s="23" t="s">
        <v>270</v>
      </c>
      <c r="D47" s="23">
        <v>500</v>
      </c>
      <c r="E47" s="23">
        <v>12</v>
      </c>
      <c r="F47" s="23">
        <f>+D47*E47/100000</f>
        <v>0.06</v>
      </c>
      <c r="G47" s="23" t="s">
        <v>259</v>
      </c>
      <c r="H47" s="23" t="s">
        <v>269</v>
      </c>
      <c r="I47" s="23" t="s">
        <v>515</v>
      </c>
      <c r="J47" s="32">
        <f>VLOOKUP($I47,'Discount Scheme Target'!$B$3:$F$16,2,FALSE)</f>
        <v>0.06</v>
      </c>
      <c r="K47" s="32">
        <f>VLOOKUP($I47,'Discount Scheme Target'!$B$3:$F$16,3,FALSE)</f>
        <v>0.01</v>
      </c>
      <c r="L47" s="32">
        <f>VLOOKUP($I47,'Discount Scheme Target'!$B$3:$F$16,4,FALSE)</f>
        <v>0.03</v>
      </c>
      <c r="M47" s="32">
        <f>VLOOKUP($I47,'Discount Scheme Target'!$B$3:$F$16,5,FALSE)</f>
        <v>0.03</v>
      </c>
    </row>
    <row r="48" spans="2:13" x14ac:dyDescent="0.25">
      <c r="B48" s="25" t="s">
        <v>214</v>
      </c>
      <c r="C48" s="23" t="s">
        <v>271</v>
      </c>
      <c r="D48" s="23">
        <v>500</v>
      </c>
      <c r="E48" s="23">
        <v>12</v>
      </c>
      <c r="F48" s="23">
        <f>+D48*E48/100000</f>
        <v>0.06</v>
      </c>
      <c r="G48" s="23" t="s">
        <v>262</v>
      </c>
      <c r="H48" s="23" t="s">
        <v>269</v>
      </c>
      <c r="I48" s="23" t="s">
        <v>515</v>
      </c>
      <c r="J48" s="32">
        <f>VLOOKUP($I48,'Discount Scheme Target'!$B$3:$F$16,2,FALSE)</f>
        <v>0.06</v>
      </c>
      <c r="K48" s="32">
        <f>VLOOKUP($I48,'Discount Scheme Target'!$B$3:$F$16,3,FALSE)</f>
        <v>0.01</v>
      </c>
      <c r="L48" s="32">
        <f>VLOOKUP($I48,'Discount Scheme Target'!$B$3:$F$16,4,FALSE)</f>
        <v>0.03</v>
      </c>
      <c r="M48" s="32">
        <f>VLOOKUP($I48,'Discount Scheme Target'!$B$3:$F$16,5,FALSE)</f>
        <v>0.03</v>
      </c>
    </row>
    <row r="49" spans="2:13" x14ac:dyDescent="0.25">
      <c r="B49" s="25" t="s">
        <v>220</v>
      </c>
      <c r="C49" s="23" t="s">
        <v>272</v>
      </c>
      <c r="D49" s="23">
        <v>350</v>
      </c>
      <c r="E49" s="23">
        <v>20</v>
      </c>
      <c r="F49" s="23">
        <f t="shared" si="0"/>
        <v>7.0000000000000007E-2</v>
      </c>
      <c r="G49" s="23" t="s">
        <v>264</v>
      </c>
      <c r="H49" s="23" t="s">
        <v>269</v>
      </c>
      <c r="I49" s="23" t="s">
        <v>355</v>
      </c>
      <c r="J49" s="32">
        <f>VLOOKUP($I49,'Discount Scheme Target'!$B$3:$F$16,2,FALSE)</f>
        <v>0.06</v>
      </c>
      <c r="K49" s="32">
        <f>VLOOKUP($I49,'Discount Scheme Target'!$B$3:$F$16,3,FALSE)</f>
        <v>0.01</v>
      </c>
      <c r="L49" s="32">
        <f>VLOOKUP($I49,'Discount Scheme Target'!$B$3:$F$16,4,FALSE)</f>
        <v>0.03</v>
      </c>
      <c r="M49" s="32">
        <f>VLOOKUP($I49,'Discount Scheme Target'!$B$3:$F$16,5,FALSE)</f>
        <v>0.03</v>
      </c>
    </row>
    <row r="50" spans="2:13" x14ac:dyDescent="0.25">
      <c r="B50" s="25" t="s">
        <v>222</v>
      </c>
      <c r="C50" s="23" t="s">
        <v>273</v>
      </c>
      <c r="D50" s="23">
        <v>350</v>
      </c>
      <c r="E50" s="23">
        <v>20</v>
      </c>
      <c r="F50" s="23">
        <f t="shared" si="0"/>
        <v>7.0000000000000007E-2</v>
      </c>
      <c r="G50" s="23" t="s">
        <v>264</v>
      </c>
      <c r="H50" s="23" t="s">
        <v>269</v>
      </c>
      <c r="I50" s="23" t="s">
        <v>355</v>
      </c>
      <c r="J50" s="32">
        <f>VLOOKUP($I50,'Discount Scheme Target'!$B$3:$F$16,2,FALSE)</f>
        <v>0.06</v>
      </c>
      <c r="K50" s="32">
        <f>VLOOKUP($I50,'Discount Scheme Target'!$B$3:$F$16,3,FALSE)</f>
        <v>0.01</v>
      </c>
      <c r="L50" s="32">
        <f>VLOOKUP($I50,'Discount Scheme Target'!$B$3:$F$16,4,FALSE)</f>
        <v>0.03</v>
      </c>
      <c r="M50" s="32">
        <f>VLOOKUP($I50,'Discount Scheme Target'!$B$3:$F$16,5,FALSE)</f>
        <v>0.03</v>
      </c>
    </row>
    <row r="51" spans="2:13" x14ac:dyDescent="0.25">
      <c r="B51" s="25" t="s">
        <v>225</v>
      </c>
      <c r="C51" s="23" t="s">
        <v>274</v>
      </c>
      <c r="D51" s="23">
        <v>350</v>
      </c>
      <c r="E51" s="23">
        <v>20</v>
      </c>
      <c r="F51" s="23">
        <f t="shared" si="0"/>
        <v>7.0000000000000007E-2</v>
      </c>
      <c r="G51" s="23" t="s">
        <v>264</v>
      </c>
      <c r="H51" s="23" t="s">
        <v>269</v>
      </c>
      <c r="I51" s="23" t="s">
        <v>355</v>
      </c>
      <c r="J51" s="32">
        <f>VLOOKUP($I51,'Discount Scheme Target'!$B$3:$F$16,2,FALSE)</f>
        <v>0.06</v>
      </c>
      <c r="K51" s="32">
        <f>VLOOKUP($I51,'Discount Scheme Target'!$B$3:$F$16,3,FALSE)</f>
        <v>0.01</v>
      </c>
      <c r="L51" s="32">
        <f>VLOOKUP($I51,'Discount Scheme Target'!$B$3:$F$16,4,FALSE)</f>
        <v>0.03</v>
      </c>
      <c r="M51" s="32">
        <f>VLOOKUP($I51,'Discount Scheme Target'!$B$3:$F$16,5,FALSE)</f>
        <v>0.03</v>
      </c>
    </row>
    <row r="52" spans="2:13" x14ac:dyDescent="0.25">
      <c r="B52" s="25" t="s">
        <v>228</v>
      </c>
      <c r="C52" s="23" t="s">
        <v>275</v>
      </c>
      <c r="D52" s="23">
        <v>350</v>
      </c>
      <c r="E52" s="23">
        <v>20</v>
      </c>
      <c r="F52" s="23">
        <f t="shared" si="0"/>
        <v>7.0000000000000007E-2</v>
      </c>
      <c r="G52" s="23" t="s">
        <v>264</v>
      </c>
      <c r="H52" s="23" t="s">
        <v>269</v>
      </c>
      <c r="I52" s="23" t="s">
        <v>355</v>
      </c>
      <c r="J52" s="32">
        <f>VLOOKUP($I52,'Discount Scheme Target'!$B$3:$F$16,2,FALSE)</f>
        <v>0.06</v>
      </c>
      <c r="K52" s="32">
        <f>VLOOKUP($I52,'Discount Scheme Target'!$B$3:$F$16,3,FALSE)</f>
        <v>0.01</v>
      </c>
      <c r="L52" s="32">
        <f>VLOOKUP($I52,'Discount Scheme Target'!$B$3:$F$16,4,FALSE)</f>
        <v>0.03</v>
      </c>
      <c r="M52" s="32">
        <f>VLOOKUP($I52,'Discount Scheme Target'!$B$3:$F$16,5,FALSE)</f>
        <v>0.03</v>
      </c>
    </row>
    <row r="53" spans="2:13" x14ac:dyDescent="0.25">
      <c r="B53" s="25" t="s">
        <v>231</v>
      </c>
      <c r="C53" s="23" t="s">
        <v>276</v>
      </c>
      <c r="D53" s="23">
        <v>350</v>
      </c>
      <c r="E53" s="23">
        <v>20</v>
      </c>
      <c r="F53" s="23">
        <f t="shared" si="0"/>
        <v>7.0000000000000007E-2</v>
      </c>
      <c r="G53" s="23" t="s">
        <v>264</v>
      </c>
      <c r="H53" s="23" t="s">
        <v>269</v>
      </c>
      <c r="I53" s="23" t="s">
        <v>355</v>
      </c>
      <c r="J53" s="32">
        <f>VLOOKUP($I53,'Discount Scheme Target'!$B$3:$F$16,2,FALSE)</f>
        <v>0.06</v>
      </c>
      <c r="K53" s="32">
        <f>VLOOKUP($I53,'Discount Scheme Target'!$B$3:$F$16,3,FALSE)</f>
        <v>0.01</v>
      </c>
      <c r="L53" s="32">
        <f>VLOOKUP($I53,'Discount Scheme Target'!$B$3:$F$16,4,FALSE)</f>
        <v>0.03</v>
      </c>
      <c r="M53" s="32">
        <f>VLOOKUP($I53,'Discount Scheme Target'!$B$3:$F$16,5,FALSE)</f>
        <v>0.03</v>
      </c>
    </row>
    <row r="54" spans="2:13" x14ac:dyDescent="0.25">
      <c r="B54" s="25" t="s">
        <v>234</v>
      </c>
      <c r="C54" s="23" t="s">
        <v>277</v>
      </c>
      <c r="D54" s="23">
        <v>350</v>
      </c>
      <c r="E54" s="23">
        <v>20</v>
      </c>
      <c r="F54" s="23">
        <f t="shared" si="0"/>
        <v>7.0000000000000007E-2</v>
      </c>
      <c r="G54" s="23" t="s">
        <v>266</v>
      </c>
      <c r="H54" s="23" t="s">
        <v>269</v>
      </c>
      <c r="I54" s="23" t="s">
        <v>355</v>
      </c>
      <c r="J54" s="32">
        <f>VLOOKUP($I54,'Discount Scheme Target'!$B$3:$F$16,2,FALSE)</f>
        <v>0.06</v>
      </c>
      <c r="K54" s="32">
        <f>VLOOKUP($I54,'Discount Scheme Target'!$B$3:$F$16,3,FALSE)</f>
        <v>0.01</v>
      </c>
      <c r="L54" s="32">
        <f>VLOOKUP($I54,'Discount Scheme Target'!$B$3:$F$16,4,FALSE)</f>
        <v>0.03</v>
      </c>
      <c r="M54" s="32">
        <f>VLOOKUP($I54,'Discount Scheme Target'!$B$3:$F$16,5,FALSE)</f>
        <v>0.03</v>
      </c>
    </row>
    <row r="55" spans="2:13" x14ac:dyDescent="0.25">
      <c r="B55" s="25" t="s">
        <v>169</v>
      </c>
      <c r="C55" s="23" t="s">
        <v>28</v>
      </c>
      <c r="D55" s="23">
        <v>300</v>
      </c>
      <c r="E55" s="23">
        <v>12</v>
      </c>
      <c r="F55" s="28">
        <f t="shared" si="0"/>
        <v>3.5999999999999997E-2</v>
      </c>
      <c r="G55" s="23" t="s">
        <v>278</v>
      </c>
      <c r="H55" s="23" t="s">
        <v>279</v>
      </c>
      <c r="I55" s="23" t="s">
        <v>515</v>
      </c>
      <c r="J55" s="32">
        <f>VLOOKUP($I55,'Discount Scheme Target'!$B$3:$F$16,2,FALSE)</f>
        <v>0.06</v>
      </c>
      <c r="K55" s="32">
        <f>VLOOKUP($I55,'Discount Scheme Target'!$B$3:$F$16,3,FALSE)</f>
        <v>0.01</v>
      </c>
      <c r="L55" s="32">
        <f>VLOOKUP($I55,'Discount Scheme Target'!$B$3:$F$16,4,FALSE)</f>
        <v>0.03</v>
      </c>
      <c r="M55" s="32">
        <f>VLOOKUP($I55,'Discount Scheme Target'!$B$3:$F$16,5,FALSE)</f>
        <v>0.03</v>
      </c>
    </row>
    <row r="56" spans="2:13" x14ac:dyDescent="0.25">
      <c r="B56" s="25" t="s">
        <v>175</v>
      </c>
      <c r="C56" s="23" t="s">
        <v>58</v>
      </c>
      <c r="D56" s="23">
        <v>300</v>
      </c>
      <c r="E56" s="23">
        <v>12</v>
      </c>
      <c r="F56" s="28">
        <f t="shared" si="0"/>
        <v>3.5999999999999997E-2</v>
      </c>
      <c r="G56" s="23" t="s">
        <v>264</v>
      </c>
      <c r="H56" s="23" t="s">
        <v>279</v>
      </c>
      <c r="I56" s="23" t="s">
        <v>355</v>
      </c>
      <c r="J56" s="32">
        <f>VLOOKUP($I56,'Discount Scheme Target'!$B$3:$F$16,2,FALSE)</f>
        <v>0.06</v>
      </c>
      <c r="K56" s="32">
        <f>VLOOKUP($I56,'Discount Scheme Target'!$B$3:$F$16,3,FALSE)</f>
        <v>0.01</v>
      </c>
      <c r="L56" s="32">
        <f>VLOOKUP($I56,'Discount Scheme Target'!$B$3:$F$16,4,FALSE)</f>
        <v>0.03</v>
      </c>
      <c r="M56" s="32">
        <f>VLOOKUP($I56,'Discount Scheme Target'!$B$3:$F$16,5,FALSE)</f>
        <v>0.03</v>
      </c>
    </row>
    <row r="57" spans="2:13" x14ac:dyDescent="0.25">
      <c r="B57" s="25" t="s">
        <v>179</v>
      </c>
      <c r="C57" s="23" t="s">
        <v>78</v>
      </c>
      <c r="D57" s="23">
        <v>300</v>
      </c>
      <c r="E57" s="23">
        <v>12</v>
      </c>
      <c r="F57" s="28">
        <f t="shared" si="0"/>
        <v>3.5999999999999997E-2</v>
      </c>
      <c r="G57" s="23" t="s">
        <v>264</v>
      </c>
      <c r="H57" s="23" t="s">
        <v>279</v>
      </c>
      <c r="I57" s="23" t="s">
        <v>355</v>
      </c>
      <c r="J57" s="32">
        <f>VLOOKUP($I57,'Discount Scheme Target'!$B$3:$F$16,2,FALSE)</f>
        <v>0.06</v>
      </c>
      <c r="K57" s="32">
        <f>VLOOKUP($I57,'Discount Scheme Target'!$B$3:$F$16,3,FALSE)</f>
        <v>0.01</v>
      </c>
      <c r="L57" s="32">
        <f>VLOOKUP($I57,'Discount Scheme Target'!$B$3:$F$16,4,FALSE)</f>
        <v>0.03</v>
      </c>
      <c r="M57" s="32">
        <f>VLOOKUP($I57,'Discount Scheme Target'!$B$3:$F$16,5,FALSE)</f>
        <v>0.03</v>
      </c>
    </row>
    <row r="58" spans="2:13" x14ac:dyDescent="0.25">
      <c r="B58" s="25" t="s">
        <v>183</v>
      </c>
      <c r="C58" s="23" t="s">
        <v>67</v>
      </c>
      <c r="D58" s="23">
        <v>300</v>
      </c>
      <c r="E58" s="23">
        <v>12</v>
      </c>
      <c r="F58" s="28">
        <f t="shared" si="0"/>
        <v>3.5999999999999997E-2</v>
      </c>
      <c r="G58" s="23" t="s">
        <v>259</v>
      </c>
      <c r="H58" s="23" t="s">
        <v>279</v>
      </c>
      <c r="I58" s="23" t="s">
        <v>515</v>
      </c>
      <c r="J58" s="32">
        <f>VLOOKUP($I58,'Discount Scheme Target'!$B$3:$F$16,2,FALSE)</f>
        <v>0.06</v>
      </c>
      <c r="K58" s="32">
        <f>VLOOKUP($I58,'Discount Scheme Target'!$B$3:$F$16,3,FALSE)</f>
        <v>0.01</v>
      </c>
      <c r="L58" s="32">
        <f>VLOOKUP($I58,'Discount Scheme Target'!$B$3:$F$16,4,FALSE)</f>
        <v>0.03</v>
      </c>
      <c r="M58" s="32">
        <f>VLOOKUP($I58,'Discount Scheme Target'!$B$3:$F$16,5,FALSE)</f>
        <v>0.03</v>
      </c>
    </row>
    <row r="59" spans="2:13" x14ac:dyDescent="0.25">
      <c r="B59" s="25" t="s">
        <v>188</v>
      </c>
      <c r="C59" s="23" t="s">
        <v>280</v>
      </c>
      <c r="D59" s="23">
        <v>300</v>
      </c>
      <c r="E59" s="23">
        <v>12</v>
      </c>
      <c r="F59" s="28">
        <f t="shared" si="0"/>
        <v>3.5999999999999997E-2</v>
      </c>
      <c r="G59" s="23" t="s">
        <v>264</v>
      </c>
      <c r="H59" s="23" t="s">
        <v>279</v>
      </c>
      <c r="I59" s="23" t="s">
        <v>355</v>
      </c>
      <c r="J59" s="32">
        <f>VLOOKUP($I59,'Discount Scheme Target'!$B$3:$F$16,2,FALSE)</f>
        <v>0.06</v>
      </c>
      <c r="K59" s="32">
        <f>VLOOKUP($I59,'Discount Scheme Target'!$B$3:$F$16,3,FALSE)</f>
        <v>0.01</v>
      </c>
      <c r="L59" s="32">
        <f>VLOOKUP($I59,'Discount Scheme Target'!$B$3:$F$16,4,FALSE)</f>
        <v>0.03</v>
      </c>
      <c r="M59" s="32">
        <f>VLOOKUP($I59,'Discount Scheme Target'!$B$3:$F$16,5,FALSE)</f>
        <v>0.03</v>
      </c>
    </row>
    <row r="60" spans="2:13" x14ac:dyDescent="0.25">
      <c r="B60" s="25" t="s">
        <v>192</v>
      </c>
      <c r="C60" s="23" t="s">
        <v>281</v>
      </c>
      <c r="D60" s="23">
        <v>300</v>
      </c>
      <c r="E60" s="23">
        <v>12</v>
      </c>
      <c r="F60" s="28">
        <f t="shared" si="0"/>
        <v>3.5999999999999997E-2</v>
      </c>
      <c r="G60" s="23" t="s">
        <v>264</v>
      </c>
      <c r="H60" s="23" t="s">
        <v>279</v>
      </c>
      <c r="I60" s="23" t="s">
        <v>355</v>
      </c>
      <c r="J60" s="32">
        <f>VLOOKUP($I60,'Discount Scheme Target'!$B$3:$F$16,2,FALSE)</f>
        <v>0.06</v>
      </c>
      <c r="K60" s="32">
        <f>VLOOKUP($I60,'Discount Scheme Target'!$B$3:$F$16,3,FALSE)</f>
        <v>0.01</v>
      </c>
      <c r="L60" s="32">
        <f>VLOOKUP($I60,'Discount Scheme Target'!$B$3:$F$16,4,FALSE)</f>
        <v>0.03</v>
      </c>
      <c r="M60" s="32">
        <f>VLOOKUP($I60,'Discount Scheme Target'!$B$3:$F$16,5,FALSE)</f>
        <v>0.03</v>
      </c>
    </row>
    <row r="61" spans="2:13" x14ac:dyDescent="0.25">
      <c r="B61" s="25" t="s">
        <v>195</v>
      </c>
      <c r="C61" s="23" t="s">
        <v>88</v>
      </c>
      <c r="D61" s="23">
        <v>300</v>
      </c>
      <c r="E61" s="23">
        <v>12</v>
      </c>
      <c r="F61" s="28">
        <f t="shared" si="0"/>
        <v>3.5999999999999997E-2</v>
      </c>
      <c r="G61" s="23" t="s">
        <v>264</v>
      </c>
      <c r="H61" s="23" t="s">
        <v>279</v>
      </c>
      <c r="I61" s="23" t="s">
        <v>355</v>
      </c>
      <c r="J61" s="32">
        <f>VLOOKUP($I61,'Discount Scheme Target'!$B$3:$F$16,2,FALSE)</f>
        <v>0.06</v>
      </c>
      <c r="K61" s="32">
        <f>VLOOKUP($I61,'Discount Scheme Target'!$B$3:$F$16,3,FALSE)</f>
        <v>0.01</v>
      </c>
      <c r="L61" s="32">
        <f>VLOOKUP($I61,'Discount Scheme Target'!$B$3:$F$16,4,FALSE)</f>
        <v>0.03</v>
      </c>
      <c r="M61" s="32">
        <f>VLOOKUP($I61,'Discount Scheme Target'!$B$3:$F$16,5,FALSE)</f>
        <v>0.03</v>
      </c>
    </row>
    <row r="62" spans="2:13" x14ac:dyDescent="0.25">
      <c r="B62" s="25" t="s">
        <v>200</v>
      </c>
      <c r="C62" s="23" t="s">
        <v>68</v>
      </c>
      <c r="D62" s="23">
        <v>300</v>
      </c>
      <c r="E62" s="23">
        <v>12</v>
      </c>
      <c r="F62" s="28">
        <f t="shared" si="0"/>
        <v>3.5999999999999997E-2</v>
      </c>
      <c r="G62" s="23" t="s">
        <v>262</v>
      </c>
      <c r="H62" s="23" t="s">
        <v>279</v>
      </c>
      <c r="I62" s="23" t="s">
        <v>515</v>
      </c>
      <c r="J62" s="32">
        <f>VLOOKUP($I62,'Discount Scheme Target'!$B$3:$F$16,2,FALSE)</f>
        <v>0.06</v>
      </c>
      <c r="K62" s="32">
        <f>VLOOKUP($I62,'Discount Scheme Target'!$B$3:$F$16,3,FALSE)</f>
        <v>0.01</v>
      </c>
      <c r="L62" s="32">
        <f>VLOOKUP($I62,'Discount Scheme Target'!$B$3:$F$16,4,FALSE)</f>
        <v>0.03</v>
      </c>
      <c r="M62" s="32">
        <f>VLOOKUP($I62,'Discount Scheme Target'!$B$3:$F$16,5,FALSE)</f>
        <v>0.03</v>
      </c>
    </row>
    <row r="63" spans="2:13" x14ac:dyDescent="0.25">
      <c r="B63" s="25" t="s">
        <v>204</v>
      </c>
      <c r="C63" s="23" t="s">
        <v>282</v>
      </c>
      <c r="D63" s="23">
        <v>300</v>
      </c>
      <c r="E63" s="23">
        <v>12</v>
      </c>
      <c r="F63" s="28">
        <f t="shared" si="0"/>
        <v>3.5999999999999997E-2</v>
      </c>
      <c r="G63" s="23" t="s">
        <v>266</v>
      </c>
      <c r="H63" s="23" t="s">
        <v>279</v>
      </c>
      <c r="I63" s="23" t="s">
        <v>355</v>
      </c>
      <c r="J63" s="32">
        <f>VLOOKUP($I63,'Discount Scheme Target'!$B$3:$F$16,2,FALSE)</f>
        <v>0.06</v>
      </c>
      <c r="K63" s="32">
        <f>VLOOKUP($I63,'Discount Scheme Target'!$B$3:$F$16,3,FALSE)</f>
        <v>0.01</v>
      </c>
      <c r="L63" s="32">
        <f>VLOOKUP($I63,'Discount Scheme Target'!$B$3:$F$16,4,FALSE)</f>
        <v>0.03</v>
      </c>
      <c r="M63" s="32">
        <f>VLOOKUP($I63,'Discount Scheme Target'!$B$3:$F$16,5,FALSE)</f>
        <v>0.03</v>
      </c>
    </row>
    <row r="64" spans="2:13" x14ac:dyDescent="0.25">
      <c r="B64" s="25" t="s">
        <v>363</v>
      </c>
      <c r="C64" s="23" t="s">
        <v>362</v>
      </c>
      <c r="D64" s="23">
        <v>500</v>
      </c>
      <c r="E64" s="23">
        <v>12</v>
      </c>
      <c r="F64" s="28">
        <v>0.06</v>
      </c>
      <c r="G64" s="23" t="s">
        <v>264</v>
      </c>
      <c r="H64" s="23" t="s">
        <v>269</v>
      </c>
      <c r="I64" s="23" t="s">
        <v>133</v>
      </c>
      <c r="J64" s="32">
        <v>0.08</v>
      </c>
      <c r="K64" s="32">
        <v>1.4999999999999999E-2</v>
      </c>
      <c r="L64" s="32">
        <v>2.5000000000000001E-2</v>
      </c>
      <c r="M64" s="32">
        <v>0.04</v>
      </c>
    </row>
    <row r="65" spans="2:13" x14ac:dyDescent="0.25">
      <c r="B65" s="29" t="s">
        <v>50</v>
      </c>
      <c r="C65" s="30" t="s">
        <v>49</v>
      </c>
      <c r="D65" s="23">
        <v>2000</v>
      </c>
      <c r="E65" s="23">
        <v>6</v>
      </c>
      <c r="F65" s="23">
        <f t="shared" si="0"/>
        <v>0.12</v>
      </c>
      <c r="G65" s="23" t="s">
        <v>264</v>
      </c>
      <c r="H65" s="23" t="s">
        <v>269</v>
      </c>
      <c r="I65" s="23" t="s">
        <v>133</v>
      </c>
      <c r="J65" s="32">
        <f>VLOOKUP($I65,'Discount Scheme Target'!$B$3:$F$16,2,FALSE)</f>
        <v>7.0000000000000007E-2</v>
      </c>
      <c r="K65" s="32">
        <f>VLOOKUP($I65,'Discount Scheme Target'!$B$3:$F$16,3,FALSE)</f>
        <v>0.01</v>
      </c>
      <c r="L65" s="32">
        <f>VLOOKUP($I65,'Discount Scheme Target'!$B$3:$F$16,4,FALSE)</f>
        <v>0.03</v>
      </c>
      <c r="M65" s="32">
        <f>VLOOKUP($I65,'Discount Scheme Target'!$B$3:$F$16,5,FALSE)</f>
        <v>0.04</v>
      </c>
    </row>
    <row r="66" spans="2:13" x14ac:dyDescent="0.25">
      <c r="B66" s="29" t="s">
        <v>52</v>
      </c>
      <c r="C66" s="30" t="s">
        <v>51</v>
      </c>
      <c r="D66" s="23">
        <v>2000</v>
      </c>
      <c r="E66" s="23">
        <v>6</v>
      </c>
      <c r="F66" s="23">
        <f t="shared" si="0"/>
        <v>0.12</v>
      </c>
      <c r="G66" s="23" t="s">
        <v>264</v>
      </c>
      <c r="H66" s="23" t="s">
        <v>269</v>
      </c>
      <c r="I66" s="23" t="s">
        <v>133</v>
      </c>
      <c r="J66" s="32">
        <f>VLOOKUP($I66,'Discount Scheme Target'!$B$3:$F$16,2,FALSE)</f>
        <v>7.0000000000000007E-2</v>
      </c>
      <c r="K66" s="32">
        <f>VLOOKUP($I66,'Discount Scheme Target'!$B$3:$F$16,3,FALSE)</f>
        <v>0.01</v>
      </c>
      <c r="L66" s="32">
        <f>VLOOKUP($I66,'Discount Scheme Target'!$B$3:$F$16,4,FALSE)</f>
        <v>0.03</v>
      </c>
      <c r="M66" s="32">
        <f>VLOOKUP($I66,'Discount Scheme Target'!$B$3:$F$16,5,FALSE)</f>
        <v>0.04</v>
      </c>
    </row>
    <row r="67" spans="2:13" x14ac:dyDescent="0.25">
      <c r="B67" s="29" t="s">
        <v>180</v>
      </c>
      <c r="C67" s="30" t="s">
        <v>283</v>
      </c>
      <c r="D67" s="23">
        <v>500</v>
      </c>
      <c r="E67" s="23">
        <v>20</v>
      </c>
      <c r="F67" s="23">
        <f t="shared" si="0"/>
        <v>0.1</v>
      </c>
      <c r="G67" s="23" t="s">
        <v>264</v>
      </c>
      <c r="H67" s="23" t="s">
        <v>269</v>
      </c>
      <c r="I67" s="23" t="s">
        <v>133</v>
      </c>
      <c r="J67" s="32">
        <f>VLOOKUP($I67,'Discount Scheme Target'!$B$3:$F$16,2,FALSE)</f>
        <v>7.0000000000000007E-2</v>
      </c>
      <c r="K67" s="32">
        <f>VLOOKUP($I67,'Discount Scheme Target'!$B$3:$F$16,3,FALSE)</f>
        <v>0.01</v>
      </c>
      <c r="L67" s="32">
        <f>VLOOKUP($I67,'Discount Scheme Target'!$B$3:$F$16,4,FALSE)</f>
        <v>0.03</v>
      </c>
      <c r="M67" s="32">
        <f>VLOOKUP($I67,'Discount Scheme Target'!$B$3:$F$16,5,FALSE)</f>
        <v>0.04</v>
      </c>
    </row>
    <row r="68" spans="2:13" x14ac:dyDescent="0.25">
      <c r="B68" s="29" t="s">
        <v>66</v>
      </c>
      <c r="C68" s="30" t="s">
        <v>65</v>
      </c>
      <c r="D68" s="23">
        <v>500</v>
      </c>
      <c r="E68" s="23">
        <v>12</v>
      </c>
      <c r="F68" s="23">
        <f t="shared" si="0"/>
        <v>0.06</v>
      </c>
      <c r="G68" s="23" t="s">
        <v>264</v>
      </c>
      <c r="H68" s="23" t="s">
        <v>269</v>
      </c>
      <c r="I68" s="23" t="s">
        <v>133</v>
      </c>
      <c r="J68" s="32">
        <f>VLOOKUP($I68,'Discount Scheme Target'!$B$3:$F$16,2,FALSE)</f>
        <v>7.0000000000000007E-2</v>
      </c>
      <c r="K68" s="32">
        <f>VLOOKUP($I68,'Discount Scheme Target'!$B$3:$F$16,3,FALSE)</f>
        <v>0.01</v>
      </c>
      <c r="L68" s="32">
        <f>VLOOKUP($I68,'Discount Scheme Target'!$B$3:$F$16,4,FALSE)</f>
        <v>0.03</v>
      </c>
      <c r="M68" s="32">
        <f>VLOOKUP($I68,'Discount Scheme Target'!$B$3:$F$16,5,FALSE)</f>
        <v>0.04</v>
      </c>
    </row>
    <row r="69" spans="2:13" x14ac:dyDescent="0.25">
      <c r="B69" s="25" t="s">
        <v>121</v>
      </c>
      <c r="C69" s="23" t="s">
        <v>120</v>
      </c>
      <c r="D69" s="23">
        <v>500</v>
      </c>
      <c r="E69" s="23">
        <v>20</v>
      </c>
      <c r="F69" s="23">
        <f t="shared" si="0"/>
        <v>0.1</v>
      </c>
      <c r="G69" s="23" t="s">
        <v>284</v>
      </c>
      <c r="H69" s="23" t="s">
        <v>269</v>
      </c>
      <c r="I69" s="23" t="s">
        <v>132</v>
      </c>
      <c r="J69" s="32">
        <f>VLOOKUP($I69,'Discount Scheme Target'!$B$3:$F$16,2,FALSE)</f>
        <v>7.0000000000000007E-2</v>
      </c>
      <c r="K69" s="32">
        <f>VLOOKUP($I69,'Discount Scheme Target'!$B$3:$F$16,3,FALSE)</f>
        <v>0.01</v>
      </c>
      <c r="L69" s="32">
        <f>VLOOKUP($I69,'Discount Scheme Target'!$B$3:$F$16,4,FALSE)</f>
        <v>0.03</v>
      </c>
      <c r="M69" s="32">
        <f>VLOOKUP($I69,'Discount Scheme Target'!$B$3:$F$16,5,FALSE)</f>
        <v>0.04</v>
      </c>
    </row>
    <row r="70" spans="2:13" x14ac:dyDescent="0.25">
      <c r="B70" s="25" t="s">
        <v>27</v>
      </c>
      <c r="C70" s="23" t="s">
        <v>26</v>
      </c>
      <c r="D70" s="23">
        <v>500</v>
      </c>
      <c r="E70" s="23">
        <v>12</v>
      </c>
      <c r="F70" s="23">
        <f t="shared" si="0"/>
        <v>0.06</v>
      </c>
      <c r="G70" s="23" t="s">
        <v>284</v>
      </c>
      <c r="H70" s="23" t="s">
        <v>269</v>
      </c>
      <c r="I70" s="23" t="s">
        <v>132</v>
      </c>
      <c r="J70" s="32">
        <f>VLOOKUP($I70,'Discount Scheme Target'!$B$3:$F$16,2,FALSE)</f>
        <v>7.0000000000000007E-2</v>
      </c>
      <c r="K70" s="32">
        <f>VLOOKUP($I70,'Discount Scheme Target'!$B$3:$F$16,3,FALSE)</f>
        <v>0.01</v>
      </c>
      <c r="L70" s="32">
        <f>VLOOKUP($I70,'Discount Scheme Target'!$B$3:$F$16,4,FALSE)</f>
        <v>0.03</v>
      </c>
      <c r="M70" s="32">
        <f>VLOOKUP($I70,'Discount Scheme Target'!$B$3:$F$16,5,FALSE)</f>
        <v>0.04</v>
      </c>
    </row>
    <row r="71" spans="2:13" x14ac:dyDescent="0.25">
      <c r="B71" s="25" t="s">
        <v>170</v>
      </c>
      <c r="C71" s="23" t="s">
        <v>285</v>
      </c>
      <c r="D71" s="23">
        <v>300</v>
      </c>
      <c r="E71" s="23">
        <v>24</v>
      </c>
      <c r="F71" s="23">
        <f t="shared" si="0"/>
        <v>7.1999999999999995E-2</v>
      </c>
      <c r="G71" s="23" t="s">
        <v>257</v>
      </c>
      <c r="H71" s="23" t="s">
        <v>286</v>
      </c>
      <c r="I71" s="23" t="s">
        <v>161</v>
      </c>
      <c r="J71" s="32">
        <f>VLOOKUP($I71,'Discount Scheme Target'!$B$3:$F$16,2,FALSE)</f>
        <v>0</v>
      </c>
      <c r="K71" s="32">
        <f>VLOOKUP($I71,'Discount Scheme Target'!$B$3:$F$16,3,FALSE)</f>
        <v>0</v>
      </c>
      <c r="L71" s="32">
        <f>VLOOKUP($I71,'Discount Scheme Target'!$B$3:$F$16,4,FALSE)</f>
        <v>0</v>
      </c>
      <c r="M71" s="32">
        <f>VLOOKUP($I71,'Discount Scheme Target'!$B$3:$F$16,5,FALSE)</f>
        <v>0</v>
      </c>
    </row>
    <row r="72" spans="2:13" x14ac:dyDescent="0.25">
      <c r="B72" s="25" t="s">
        <v>176</v>
      </c>
      <c r="C72" s="23" t="s">
        <v>287</v>
      </c>
      <c r="D72" s="23">
        <v>300</v>
      </c>
      <c r="E72" s="23">
        <v>24</v>
      </c>
      <c r="F72" s="23">
        <f t="shared" si="0"/>
        <v>7.1999999999999995E-2</v>
      </c>
      <c r="G72" s="23" t="s">
        <v>288</v>
      </c>
      <c r="H72" s="23" t="s">
        <v>286</v>
      </c>
      <c r="I72" s="23" t="s">
        <v>161</v>
      </c>
      <c r="J72" s="32">
        <f>VLOOKUP($I72,'Discount Scheme Target'!$B$3:$F$16,2,FALSE)</f>
        <v>0</v>
      </c>
      <c r="K72" s="32">
        <f>VLOOKUP($I72,'Discount Scheme Target'!$B$3:$F$16,3,FALSE)</f>
        <v>0</v>
      </c>
      <c r="L72" s="32">
        <f>VLOOKUP($I72,'Discount Scheme Target'!$B$3:$F$16,4,FALSE)</f>
        <v>0</v>
      </c>
      <c r="M72" s="32">
        <f>VLOOKUP($I72,'Discount Scheme Target'!$B$3:$F$16,5,FALSE)</f>
        <v>0</v>
      </c>
    </row>
    <row r="73" spans="2:13" x14ac:dyDescent="0.25">
      <c r="B73" s="25" t="s">
        <v>181</v>
      </c>
      <c r="C73" s="23" t="s">
        <v>289</v>
      </c>
      <c r="D73" s="23">
        <v>300</v>
      </c>
      <c r="E73" s="23">
        <v>24</v>
      </c>
      <c r="F73" s="23">
        <f t="shared" si="0"/>
        <v>7.1999999999999995E-2</v>
      </c>
      <c r="G73" s="23" t="s">
        <v>257</v>
      </c>
      <c r="H73" s="23" t="s">
        <v>286</v>
      </c>
      <c r="I73" s="23" t="s">
        <v>161</v>
      </c>
      <c r="J73" s="32">
        <f>VLOOKUP($I73,'Discount Scheme Target'!$B$3:$F$16,2,FALSE)</f>
        <v>0</v>
      </c>
      <c r="K73" s="32">
        <f>VLOOKUP($I73,'Discount Scheme Target'!$B$3:$F$16,3,FALSE)</f>
        <v>0</v>
      </c>
      <c r="L73" s="32">
        <f>VLOOKUP($I73,'Discount Scheme Target'!$B$3:$F$16,4,FALSE)</f>
        <v>0</v>
      </c>
      <c r="M73" s="32">
        <f>VLOOKUP($I73,'Discount Scheme Target'!$B$3:$F$16,5,FALSE)</f>
        <v>0</v>
      </c>
    </row>
    <row r="74" spans="2:13" x14ac:dyDescent="0.25">
      <c r="B74" s="25" t="s">
        <v>184</v>
      </c>
      <c r="C74" s="23" t="s">
        <v>290</v>
      </c>
      <c r="D74" s="23">
        <v>300</v>
      </c>
      <c r="E74" s="23">
        <v>24</v>
      </c>
      <c r="F74" s="23">
        <f t="shared" si="0"/>
        <v>7.1999999999999995E-2</v>
      </c>
      <c r="G74" s="23" t="s">
        <v>259</v>
      </c>
      <c r="H74" s="23" t="s">
        <v>286</v>
      </c>
      <c r="I74" s="23" t="s">
        <v>161</v>
      </c>
      <c r="J74" s="32">
        <f>VLOOKUP($I74,'Discount Scheme Target'!$B$3:$F$16,2,FALSE)</f>
        <v>0</v>
      </c>
      <c r="K74" s="32">
        <f>VLOOKUP($I74,'Discount Scheme Target'!$B$3:$F$16,3,FALSE)</f>
        <v>0</v>
      </c>
      <c r="L74" s="32">
        <f>VLOOKUP($I74,'Discount Scheme Target'!$B$3:$F$16,4,FALSE)</f>
        <v>0</v>
      </c>
      <c r="M74" s="32">
        <f>VLOOKUP($I74,'Discount Scheme Target'!$B$3:$F$16,5,FALSE)</f>
        <v>0</v>
      </c>
    </row>
    <row r="75" spans="2:13" x14ac:dyDescent="0.25">
      <c r="B75" s="25" t="s">
        <v>189</v>
      </c>
      <c r="C75" s="23" t="s">
        <v>291</v>
      </c>
      <c r="D75" s="23">
        <v>300</v>
      </c>
      <c r="E75" s="23">
        <v>24</v>
      </c>
      <c r="F75" s="23">
        <f t="shared" si="0"/>
        <v>7.1999999999999995E-2</v>
      </c>
      <c r="G75" s="23" t="s">
        <v>259</v>
      </c>
      <c r="H75" s="23" t="s">
        <v>286</v>
      </c>
      <c r="I75" s="23" t="s">
        <v>161</v>
      </c>
      <c r="J75" s="32">
        <f>VLOOKUP($I75,'Discount Scheme Target'!$B$3:$F$16,2,FALSE)</f>
        <v>0</v>
      </c>
      <c r="K75" s="32">
        <f>VLOOKUP($I75,'Discount Scheme Target'!$B$3:$F$16,3,FALSE)</f>
        <v>0</v>
      </c>
      <c r="L75" s="32">
        <f>VLOOKUP($I75,'Discount Scheme Target'!$B$3:$F$16,4,FALSE)</f>
        <v>0</v>
      </c>
      <c r="M75" s="32">
        <f>VLOOKUP($I75,'Discount Scheme Target'!$B$3:$F$16,5,FALSE)</f>
        <v>0</v>
      </c>
    </row>
    <row r="76" spans="2:13" x14ac:dyDescent="0.25">
      <c r="B76" s="25" t="s">
        <v>193</v>
      </c>
      <c r="C76" s="23" t="s">
        <v>292</v>
      </c>
      <c r="D76" s="23">
        <v>300</v>
      </c>
      <c r="E76" s="23">
        <v>24</v>
      </c>
      <c r="F76" s="23">
        <f t="shared" si="0"/>
        <v>7.1999999999999995E-2</v>
      </c>
      <c r="G76" s="23" t="s">
        <v>259</v>
      </c>
      <c r="H76" s="23" t="s">
        <v>286</v>
      </c>
      <c r="I76" s="23" t="s">
        <v>161</v>
      </c>
      <c r="J76" s="32">
        <f>VLOOKUP($I76,'Discount Scheme Target'!$B$3:$F$16,2,FALSE)</f>
        <v>0</v>
      </c>
      <c r="K76" s="32">
        <f>VLOOKUP($I76,'Discount Scheme Target'!$B$3:$F$16,3,FALSE)</f>
        <v>0</v>
      </c>
      <c r="L76" s="32">
        <f>VLOOKUP($I76,'Discount Scheme Target'!$B$3:$F$16,4,FALSE)</f>
        <v>0</v>
      </c>
      <c r="M76" s="32">
        <f>VLOOKUP($I76,'Discount Scheme Target'!$B$3:$F$16,5,FALSE)</f>
        <v>0</v>
      </c>
    </row>
    <row r="77" spans="2:13" x14ac:dyDescent="0.25">
      <c r="B77" s="25" t="s">
        <v>196</v>
      </c>
      <c r="C77" s="23" t="s">
        <v>293</v>
      </c>
      <c r="D77" s="23">
        <v>300</v>
      </c>
      <c r="E77" s="23">
        <v>24</v>
      </c>
      <c r="F77" s="23">
        <f t="shared" si="0"/>
        <v>7.1999999999999995E-2</v>
      </c>
      <c r="G77" s="23" t="s">
        <v>294</v>
      </c>
      <c r="H77" s="23" t="s">
        <v>286</v>
      </c>
      <c r="I77" s="23" t="s">
        <v>161</v>
      </c>
      <c r="J77" s="32">
        <f>VLOOKUP($I77,'Discount Scheme Target'!$B$3:$F$16,2,FALSE)</f>
        <v>0</v>
      </c>
      <c r="K77" s="32">
        <f>VLOOKUP($I77,'Discount Scheme Target'!$B$3:$F$16,3,FALSE)</f>
        <v>0</v>
      </c>
      <c r="L77" s="32">
        <f>VLOOKUP($I77,'Discount Scheme Target'!$B$3:$F$16,4,FALSE)</f>
        <v>0</v>
      </c>
      <c r="M77" s="32">
        <f>VLOOKUP($I77,'Discount Scheme Target'!$B$3:$F$16,5,FALSE)</f>
        <v>0</v>
      </c>
    </row>
    <row r="78" spans="2:13" x14ac:dyDescent="0.25">
      <c r="B78" s="25" t="s">
        <v>201</v>
      </c>
      <c r="C78" s="23" t="s">
        <v>295</v>
      </c>
      <c r="D78" s="23">
        <v>300</v>
      </c>
      <c r="E78" s="23">
        <v>24</v>
      </c>
      <c r="F78" s="23">
        <f t="shared" si="0"/>
        <v>7.1999999999999995E-2</v>
      </c>
      <c r="G78" s="23" t="s">
        <v>288</v>
      </c>
      <c r="H78" s="23" t="s">
        <v>286</v>
      </c>
      <c r="I78" s="23" t="s">
        <v>161</v>
      </c>
      <c r="J78" s="32">
        <f>VLOOKUP($I78,'Discount Scheme Target'!$B$3:$F$16,2,FALSE)</f>
        <v>0</v>
      </c>
      <c r="K78" s="32">
        <f>VLOOKUP($I78,'Discount Scheme Target'!$B$3:$F$16,3,FALSE)</f>
        <v>0</v>
      </c>
      <c r="L78" s="32">
        <f>VLOOKUP($I78,'Discount Scheme Target'!$B$3:$F$16,4,FALSE)</f>
        <v>0</v>
      </c>
      <c r="M78" s="32">
        <f>VLOOKUP($I78,'Discount Scheme Target'!$B$3:$F$16,5,FALSE)</f>
        <v>0</v>
      </c>
    </row>
    <row r="79" spans="2:13" x14ac:dyDescent="0.25">
      <c r="B79" s="25" t="s">
        <v>205</v>
      </c>
      <c r="C79" s="23" t="s">
        <v>296</v>
      </c>
      <c r="D79" s="23">
        <v>300</v>
      </c>
      <c r="E79" s="23">
        <v>24</v>
      </c>
      <c r="F79" s="23">
        <f t="shared" si="0"/>
        <v>7.1999999999999995E-2</v>
      </c>
      <c r="G79" s="23" t="s">
        <v>262</v>
      </c>
      <c r="H79" s="23" t="s">
        <v>286</v>
      </c>
      <c r="I79" s="23" t="s">
        <v>161</v>
      </c>
      <c r="J79" s="32">
        <f>VLOOKUP($I79,'Discount Scheme Target'!$B$3:$F$16,2,FALSE)</f>
        <v>0</v>
      </c>
      <c r="K79" s="32">
        <f>VLOOKUP($I79,'Discount Scheme Target'!$B$3:$F$16,3,FALSE)</f>
        <v>0</v>
      </c>
      <c r="L79" s="32">
        <f>VLOOKUP($I79,'Discount Scheme Target'!$B$3:$F$16,4,FALSE)</f>
        <v>0</v>
      </c>
      <c r="M79" s="32">
        <f>VLOOKUP($I79,'Discount Scheme Target'!$B$3:$F$16,5,FALSE)</f>
        <v>0</v>
      </c>
    </row>
    <row r="80" spans="2:13" x14ac:dyDescent="0.25">
      <c r="B80" s="25" t="s">
        <v>210</v>
      </c>
      <c r="C80" s="23" t="s">
        <v>297</v>
      </c>
      <c r="D80" s="23">
        <v>300</v>
      </c>
      <c r="E80" s="23">
        <v>24</v>
      </c>
      <c r="F80" s="23">
        <f t="shared" si="0"/>
        <v>7.1999999999999995E-2</v>
      </c>
      <c r="G80" s="23" t="s">
        <v>294</v>
      </c>
      <c r="H80" s="23" t="s">
        <v>286</v>
      </c>
      <c r="I80" s="23" t="s">
        <v>161</v>
      </c>
      <c r="J80" s="32">
        <f>VLOOKUP($I80,'Discount Scheme Target'!$B$3:$F$16,2,FALSE)</f>
        <v>0</v>
      </c>
      <c r="K80" s="32">
        <f>VLOOKUP($I80,'Discount Scheme Target'!$B$3:$F$16,3,FALSE)</f>
        <v>0</v>
      </c>
      <c r="L80" s="32">
        <f>VLOOKUP($I80,'Discount Scheme Target'!$B$3:$F$16,4,FALSE)</f>
        <v>0</v>
      </c>
      <c r="M80" s="32">
        <f>VLOOKUP($I80,'Discount Scheme Target'!$B$3:$F$16,5,FALSE)</f>
        <v>0</v>
      </c>
    </row>
    <row r="81" spans="2:13" x14ac:dyDescent="0.25">
      <c r="B81" s="25" t="s">
        <v>410</v>
      </c>
      <c r="C81" s="23" t="s">
        <v>409</v>
      </c>
      <c r="D81" s="23">
        <v>300</v>
      </c>
      <c r="E81" s="23">
        <v>24</v>
      </c>
      <c r="F81" s="23">
        <f>+D81*E81/100000</f>
        <v>7.1999999999999995E-2</v>
      </c>
      <c r="G81" s="23" t="s">
        <v>416</v>
      </c>
      <c r="H81" s="23" t="s">
        <v>286</v>
      </c>
      <c r="I81" s="23" t="s">
        <v>161</v>
      </c>
      <c r="J81" s="32">
        <f>VLOOKUP($I81,'Discount Scheme Target'!$B$3:$F$16,2,FALSE)</f>
        <v>0</v>
      </c>
      <c r="K81" s="32">
        <f>VLOOKUP($I81,'Discount Scheme Target'!$B$3:$F$16,3,FALSE)</f>
        <v>0</v>
      </c>
      <c r="L81" s="32">
        <f>VLOOKUP($I81,'Discount Scheme Target'!$B$3:$F$16,4,FALSE)</f>
        <v>0</v>
      </c>
      <c r="M81" s="32">
        <f>VLOOKUP($I81,'Discount Scheme Target'!$B$3:$F$16,5,FALSE)</f>
        <v>0</v>
      </c>
    </row>
    <row r="82" spans="2:13" x14ac:dyDescent="0.25">
      <c r="B82" s="25" t="s">
        <v>215</v>
      </c>
      <c r="C82" s="23" t="s">
        <v>298</v>
      </c>
      <c r="D82" s="23">
        <v>200</v>
      </c>
      <c r="E82" s="23">
        <v>24</v>
      </c>
      <c r="F82" s="23">
        <f t="shared" si="0"/>
        <v>4.8000000000000001E-2</v>
      </c>
      <c r="G82" s="23" t="s">
        <v>299</v>
      </c>
      <c r="H82" s="23" t="s">
        <v>286</v>
      </c>
      <c r="I82" s="23" t="s">
        <v>161</v>
      </c>
      <c r="J82" s="32">
        <f>VLOOKUP($I82,'Discount Scheme Target'!$B$3:$F$16,2,FALSE)</f>
        <v>0</v>
      </c>
      <c r="K82" s="32">
        <f>VLOOKUP($I82,'Discount Scheme Target'!$B$3:$F$16,3,FALSE)</f>
        <v>0</v>
      </c>
      <c r="L82" s="32">
        <f>VLOOKUP($I82,'Discount Scheme Target'!$B$3:$F$16,4,FALSE)</f>
        <v>0</v>
      </c>
      <c r="M82" s="32">
        <f>VLOOKUP($I82,'Discount Scheme Target'!$B$3:$F$16,5,FALSE)</f>
        <v>0</v>
      </c>
    </row>
    <row r="83" spans="2:13" x14ac:dyDescent="0.25">
      <c r="B83" s="25" t="s">
        <v>221</v>
      </c>
      <c r="C83" s="23" t="s">
        <v>300</v>
      </c>
      <c r="D83" s="23">
        <v>200</v>
      </c>
      <c r="E83" s="23">
        <v>24</v>
      </c>
      <c r="F83" s="23">
        <f t="shared" si="0"/>
        <v>4.8000000000000001E-2</v>
      </c>
      <c r="G83" s="23" t="s">
        <v>299</v>
      </c>
      <c r="H83" s="23" t="s">
        <v>286</v>
      </c>
      <c r="I83" s="23" t="s">
        <v>161</v>
      </c>
      <c r="J83" s="32">
        <f>VLOOKUP($I83,'Discount Scheme Target'!$B$3:$F$16,2,FALSE)</f>
        <v>0</v>
      </c>
      <c r="K83" s="32">
        <f>VLOOKUP($I83,'Discount Scheme Target'!$B$3:$F$16,3,FALSE)</f>
        <v>0</v>
      </c>
      <c r="L83" s="32">
        <f>VLOOKUP($I83,'Discount Scheme Target'!$B$3:$F$16,4,FALSE)</f>
        <v>0</v>
      </c>
      <c r="M83" s="32">
        <f>VLOOKUP($I83,'Discount Scheme Target'!$B$3:$F$16,5,FALSE)</f>
        <v>0</v>
      </c>
    </row>
    <row r="84" spans="2:13" x14ac:dyDescent="0.25">
      <c r="B84" s="25" t="s">
        <v>223</v>
      </c>
      <c r="C84" s="23" t="s">
        <v>301</v>
      </c>
      <c r="D84" s="23">
        <v>200</v>
      </c>
      <c r="E84" s="23">
        <v>24</v>
      </c>
      <c r="F84" s="23">
        <f t="shared" si="0"/>
        <v>4.8000000000000001E-2</v>
      </c>
      <c r="G84" s="23" t="s">
        <v>299</v>
      </c>
      <c r="H84" s="23" t="s">
        <v>286</v>
      </c>
      <c r="I84" s="23" t="s">
        <v>161</v>
      </c>
      <c r="J84" s="32">
        <f>VLOOKUP($I84,'Discount Scheme Target'!$B$3:$F$16,2,FALSE)</f>
        <v>0</v>
      </c>
      <c r="K84" s="32">
        <f>VLOOKUP($I84,'Discount Scheme Target'!$B$3:$F$16,3,FALSE)</f>
        <v>0</v>
      </c>
      <c r="L84" s="32">
        <f>VLOOKUP($I84,'Discount Scheme Target'!$B$3:$F$16,4,FALSE)</f>
        <v>0</v>
      </c>
      <c r="M84" s="32">
        <f>VLOOKUP($I84,'Discount Scheme Target'!$B$3:$F$16,5,FALSE)</f>
        <v>0</v>
      </c>
    </row>
    <row r="85" spans="2:13" x14ac:dyDescent="0.25">
      <c r="B85" s="25" t="s">
        <v>226</v>
      </c>
      <c r="C85" s="23" t="s">
        <v>302</v>
      </c>
      <c r="D85" s="23">
        <v>330</v>
      </c>
      <c r="E85" s="23">
        <v>24</v>
      </c>
      <c r="F85" s="23">
        <f t="shared" si="0"/>
        <v>7.9200000000000007E-2</v>
      </c>
      <c r="G85" s="23" t="s">
        <v>257</v>
      </c>
      <c r="H85" s="23" t="s">
        <v>286</v>
      </c>
      <c r="I85" s="23" t="s">
        <v>161</v>
      </c>
      <c r="J85" s="32">
        <f>VLOOKUP($I85,'Discount Scheme Target'!$B$3:$F$16,2,FALSE)</f>
        <v>0</v>
      </c>
      <c r="K85" s="32">
        <f>VLOOKUP($I85,'Discount Scheme Target'!$B$3:$F$16,3,FALSE)</f>
        <v>0</v>
      </c>
      <c r="L85" s="32">
        <f>VLOOKUP($I85,'Discount Scheme Target'!$B$3:$F$16,4,FALSE)</f>
        <v>0</v>
      </c>
      <c r="M85" s="32">
        <f>VLOOKUP($I85,'Discount Scheme Target'!$B$3:$F$16,5,FALSE)</f>
        <v>0</v>
      </c>
    </row>
    <row r="86" spans="2:13" x14ac:dyDescent="0.25">
      <c r="B86" s="25" t="s">
        <v>229</v>
      </c>
      <c r="C86" s="23" t="s">
        <v>303</v>
      </c>
      <c r="D86" s="23">
        <v>330</v>
      </c>
      <c r="E86" s="23">
        <v>24</v>
      </c>
      <c r="F86" s="23">
        <f t="shared" si="0"/>
        <v>7.9200000000000007E-2</v>
      </c>
      <c r="G86" s="23" t="s">
        <v>257</v>
      </c>
      <c r="H86" s="23" t="s">
        <v>286</v>
      </c>
      <c r="I86" s="23" t="s">
        <v>161</v>
      </c>
      <c r="J86" s="32">
        <f>VLOOKUP($I86,'Discount Scheme Target'!$B$3:$F$16,2,FALSE)</f>
        <v>0</v>
      </c>
      <c r="K86" s="32">
        <f>VLOOKUP($I86,'Discount Scheme Target'!$B$3:$F$16,3,FALSE)</f>
        <v>0</v>
      </c>
      <c r="L86" s="32">
        <f>VLOOKUP($I86,'Discount Scheme Target'!$B$3:$F$16,4,FALSE)</f>
        <v>0</v>
      </c>
      <c r="M86" s="32">
        <f>VLOOKUP($I86,'Discount Scheme Target'!$B$3:$F$16,5,FALSE)</f>
        <v>0</v>
      </c>
    </row>
    <row r="87" spans="2:13" x14ac:dyDescent="0.25">
      <c r="B87" s="25" t="s">
        <v>232</v>
      </c>
      <c r="C87" s="23" t="s">
        <v>304</v>
      </c>
      <c r="D87" s="23">
        <v>330</v>
      </c>
      <c r="E87" s="23">
        <v>24</v>
      </c>
      <c r="F87" s="23">
        <f t="shared" si="0"/>
        <v>7.9200000000000007E-2</v>
      </c>
      <c r="G87" s="23" t="s">
        <v>288</v>
      </c>
      <c r="H87" s="23" t="s">
        <v>286</v>
      </c>
      <c r="I87" s="23" t="s">
        <v>161</v>
      </c>
      <c r="J87" s="32">
        <f>VLOOKUP($I87,'Discount Scheme Target'!$B$3:$F$16,2,FALSE)</f>
        <v>0</v>
      </c>
      <c r="K87" s="32">
        <f>VLOOKUP($I87,'Discount Scheme Target'!$B$3:$F$16,3,FALSE)</f>
        <v>0</v>
      </c>
      <c r="L87" s="32">
        <f>VLOOKUP($I87,'Discount Scheme Target'!$B$3:$F$16,4,FALSE)</f>
        <v>0</v>
      </c>
      <c r="M87" s="32">
        <f>VLOOKUP($I87,'Discount Scheme Target'!$B$3:$F$16,5,FALSE)</f>
        <v>0</v>
      </c>
    </row>
    <row r="88" spans="2:13" x14ac:dyDescent="0.25">
      <c r="B88" s="25" t="s">
        <v>235</v>
      </c>
      <c r="C88" s="23" t="s">
        <v>305</v>
      </c>
      <c r="D88" s="23">
        <v>330</v>
      </c>
      <c r="E88" s="23">
        <v>24</v>
      </c>
      <c r="F88" s="23">
        <f t="shared" si="0"/>
        <v>7.9200000000000007E-2</v>
      </c>
      <c r="G88" s="23" t="s">
        <v>262</v>
      </c>
      <c r="H88" s="23" t="s">
        <v>286</v>
      </c>
      <c r="I88" s="23" t="s">
        <v>161</v>
      </c>
      <c r="J88" s="32">
        <f>VLOOKUP($I88,'Discount Scheme Target'!$B$3:$F$16,2,FALSE)</f>
        <v>0</v>
      </c>
      <c r="K88" s="32">
        <f>VLOOKUP($I88,'Discount Scheme Target'!$B$3:$F$16,3,FALSE)</f>
        <v>0</v>
      </c>
      <c r="L88" s="32">
        <f>VLOOKUP($I88,'Discount Scheme Target'!$B$3:$F$16,4,FALSE)</f>
        <v>0</v>
      </c>
      <c r="M88" s="32">
        <f>VLOOKUP($I88,'Discount Scheme Target'!$B$3:$F$16,5,FALSE)</f>
        <v>0</v>
      </c>
    </row>
    <row r="89" spans="2:13" x14ac:dyDescent="0.25">
      <c r="B89" s="25" t="s">
        <v>240</v>
      </c>
      <c r="C89" s="23" t="s">
        <v>306</v>
      </c>
      <c r="D89" s="23">
        <v>330</v>
      </c>
      <c r="E89" s="23">
        <v>24</v>
      </c>
      <c r="F89" s="23">
        <f t="shared" si="0"/>
        <v>7.9200000000000007E-2</v>
      </c>
      <c r="G89" s="23" t="s">
        <v>288</v>
      </c>
      <c r="H89" s="23" t="s">
        <v>286</v>
      </c>
      <c r="I89" s="23" t="s">
        <v>161</v>
      </c>
      <c r="J89" s="32">
        <f>VLOOKUP($I89,'Discount Scheme Target'!$B$3:$F$16,2,FALSE)</f>
        <v>0</v>
      </c>
      <c r="K89" s="32">
        <f>VLOOKUP($I89,'Discount Scheme Target'!$B$3:$F$16,3,FALSE)</f>
        <v>0</v>
      </c>
      <c r="L89" s="32">
        <f>VLOOKUP($I89,'Discount Scheme Target'!$B$3:$F$16,4,FALSE)</f>
        <v>0</v>
      </c>
      <c r="M89" s="32">
        <f>VLOOKUP($I89,'Discount Scheme Target'!$B$3:$F$16,5,FALSE)</f>
        <v>0</v>
      </c>
    </row>
    <row r="90" spans="2:13" x14ac:dyDescent="0.25">
      <c r="B90" s="25" t="s">
        <v>242</v>
      </c>
      <c r="C90" s="23" t="s">
        <v>307</v>
      </c>
      <c r="D90" s="23">
        <v>330</v>
      </c>
      <c r="E90" s="23">
        <v>24</v>
      </c>
      <c r="F90" s="23">
        <f t="shared" si="0"/>
        <v>7.9200000000000007E-2</v>
      </c>
      <c r="G90" s="23" t="s">
        <v>257</v>
      </c>
      <c r="H90" s="23" t="s">
        <v>286</v>
      </c>
      <c r="I90" s="23" t="s">
        <v>161</v>
      </c>
      <c r="J90" s="32">
        <f>VLOOKUP($I90,'Discount Scheme Target'!$B$3:$F$16,2,FALSE)</f>
        <v>0</v>
      </c>
      <c r="K90" s="32">
        <f>VLOOKUP($I90,'Discount Scheme Target'!$B$3:$F$16,3,FALSE)</f>
        <v>0</v>
      </c>
      <c r="L90" s="32">
        <f>VLOOKUP($I90,'Discount Scheme Target'!$B$3:$F$16,4,FALSE)</f>
        <v>0</v>
      </c>
      <c r="M90" s="32">
        <f>VLOOKUP($I90,'Discount Scheme Target'!$B$3:$F$16,5,FALSE)</f>
        <v>0</v>
      </c>
    </row>
    <row r="91" spans="2:13" x14ac:dyDescent="0.25">
      <c r="B91" s="25" t="s">
        <v>244</v>
      </c>
      <c r="C91" s="23" t="s">
        <v>308</v>
      </c>
      <c r="D91" s="23">
        <v>330</v>
      </c>
      <c r="E91" s="23">
        <v>24</v>
      </c>
      <c r="F91" s="23">
        <f t="shared" si="0"/>
        <v>7.9200000000000007E-2</v>
      </c>
      <c r="G91" s="23" t="s">
        <v>259</v>
      </c>
      <c r="H91" s="23" t="s">
        <v>286</v>
      </c>
      <c r="I91" s="23" t="s">
        <v>161</v>
      </c>
      <c r="J91" s="32">
        <f>VLOOKUP($I91,'Discount Scheme Target'!$B$3:$F$16,2,FALSE)</f>
        <v>0</v>
      </c>
      <c r="K91" s="32">
        <f>VLOOKUP($I91,'Discount Scheme Target'!$B$3:$F$16,3,FALSE)</f>
        <v>0</v>
      </c>
      <c r="L91" s="32">
        <f>VLOOKUP($I91,'Discount Scheme Target'!$B$3:$F$16,4,FALSE)</f>
        <v>0</v>
      </c>
      <c r="M91" s="32">
        <f>VLOOKUP($I91,'Discount Scheme Target'!$B$3:$F$16,5,FALSE)</f>
        <v>0</v>
      </c>
    </row>
    <row r="92" spans="2:13" x14ac:dyDescent="0.25">
      <c r="B92" s="25" t="s">
        <v>247</v>
      </c>
      <c r="C92" s="23" t="s">
        <v>309</v>
      </c>
      <c r="D92" s="23">
        <v>330</v>
      </c>
      <c r="E92" s="23">
        <v>24</v>
      </c>
      <c r="F92" s="23">
        <f t="shared" si="0"/>
        <v>7.9200000000000007E-2</v>
      </c>
      <c r="G92" s="23" t="s">
        <v>259</v>
      </c>
      <c r="H92" s="23" t="s">
        <v>286</v>
      </c>
      <c r="I92" s="23" t="s">
        <v>161</v>
      </c>
      <c r="J92" s="32">
        <f>VLOOKUP($I92,'Discount Scheme Target'!$B$3:$F$16,2,FALSE)</f>
        <v>0</v>
      </c>
      <c r="K92" s="32">
        <f>VLOOKUP($I92,'Discount Scheme Target'!$B$3:$F$16,3,FALSE)</f>
        <v>0</v>
      </c>
      <c r="L92" s="32">
        <f>VLOOKUP($I92,'Discount Scheme Target'!$B$3:$F$16,4,FALSE)</f>
        <v>0</v>
      </c>
      <c r="M92" s="32">
        <f>VLOOKUP($I92,'Discount Scheme Target'!$B$3:$F$16,5,FALSE)</f>
        <v>0</v>
      </c>
    </row>
    <row r="93" spans="2:13" x14ac:dyDescent="0.25">
      <c r="B93" s="25" t="s">
        <v>249</v>
      </c>
      <c r="C93" s="23" t="s">
        <v>310</v>
      </c>
      <c r="D93" s="23">
        <v>330</v>
      </c>
      <c r="E93" s="23">
        <v>24</v>
      </c>
      <c r="F93" s="23">
        <f t="shared" si="0"/>
        <v>7.9200000000000007E-2</v>
      </c>
      <c r="G93" s="23" t="s">
        <v>259</v>
      </c>
      <c r="H93" s="23" t="s">
        <v>286</v>
      </c>
      <c r="I93" s="23" t="s">
        <v>161</v>
      </c>
      <c r="J93" s="32">
        <f>VLOOKUP($I93,'Discount Scheme Target'!$B$3:$F$16,2,FALSE)</f>
        <v>0</v>
      </c>
      <c r="K93" s="32">
        <f>VLOOKUP($I93,'Discount Scheme Target'!$B$3:$F$16,3,FALSE)</f>
        <v>0</v>
      </c>
      <c r="L93" s="32">
        <f>VLOOKUP($I93,'Discount Scheme Target'!$B$3:$F$16,4,FALSE)</f>
        <v>0</v>
      </c>
      <c r="M93" s="32">
        <f>VLOOKUP($I93,'Discount Scheme Target'!$B$3:$F$16,5,FALSE)</f>
        <v>0</v>
      </c>
    </row>
    <row r="94" spans="2:13" x14ac:dyDescent="0.25">
      <c r="B94" s="25" t="s">
        <v>252</v>
      </c>
      <c r="C94" s="23" t="s">
        <v>311</v>
      </c>
      <c r="D94" s="23">
        <v>330</v>
      </c>
      <c r="E94" s="23">
        <v>24</v>
      </c>
      <c r="F94" s="23">
        <f t="shared" si="0"/>
        <v>7.9200000000000007E-2</v>
      </c>
      <c r="G94" s="23" t="s">
        <v>294</v>
      </c>
      <c r="H94" s="23" t="s">
        <v>286</v>
      </c>
      <c r="I94" s="23" t="s">
        <v>161</v>
      </c>
      <c r="J94" s="32">
        <f>VLOOKUP($I94,'Discount Scheme Target'!$B$3:$F$16,2,FALSE)</f>
        <v>0</v>
      </c>
      <c r="K94" s="32">
        <f>VLOOKUP($I94,'Discount Scheme Target'!$B$3:$F$16,3,FALSE)</f>
        <v>0</v>
      </c>
      <c r="L94" s="32">
        <f>VLOOKUP($I94,'Discount Scheme Target'!$B$3:$F$16,4,FALSE)</f>
        <v>0</v>
      </c>
      <c r="M94" s="32">
        <f>VLOOKUP($I94,'Discount Scheme Target'!$B$3:$F$16,5,FALSE)</f>
        <v>0</v>
      </c>
    </row>
    <row r="95" spans="2:13" x14ac:dyDescent="0.25">
      <c r="B95" s="25" t="s">
        <v>254</v>
      </c>
      <c r="C95" s="23" t="s">
        <v>312</v>
      </c>
      <c r="D95" s="23">
        <v>330</v>
      </c>
      <c r="E95" s="23">
        <v>24</v>
      </c>
      <c r="F95" s="23">
        <f t="shared" si="0"/>
        <v>7.9200000000000007E-2</v>
      </c>
      <c r="G95" s="23" t="s">
        <v>294</v>
      </c>
      <c r="H95" s="23" t="s">
        <v>286</v>
      </c>
      <c r="I95" s="23" t="s">
        <v>161</v>
      </c>
      <c r="J95" s="32">
        <f>VLOOKUP($I95,'Discount Scheme Target'!$B$3:$F$16,2,FALSE)</f>
        <v>0</v>
      </c>
      <c r="K95" s="32">
        <f>VLOOKUP($I95,'Discount Scheme Target'!$B$3:$F$16,3,FALSE)</f>
        <v>0</v>
      </c>
      <c r="L95" s="32">
        <f>VLOOKUP($I95,'Discount Scheme Target'!$B$3:$F$16,4,FALSE)</f>
        <v>0</v>
      </c>
      <c r="M95" s="32">
        <f>VLOOKUP($I95,'Discount Scheme Target'!$B$3:$F$16,5,FALSE)</f>
        <v>0</v>
      </c>
    </row>
    <row r="96" spans="2:13" x14ac:dyDescent="0.25">
      <c r="B96" s="25" t="s">
        <v>171</v>
      </c>
      <c r="C96" s="23" t="s">
        <v>313</v>
      </c>
      <c r="D96" s="23">
        <v>750</v>
      </c>
      <c r="E96" s="23">
        <v>6</v>
      </c>
      <c r="F96" s="23">
        <f t="shared" si="0"/>
        <v>4.4999999999999998E-2</v>
      </c>
      <c r="G96" s="23" t="s">
        <v>162</v>
      </c>
      <c r="H96" s="23" t="s">
        <v>314</v>
      </c>
      <c r="I96" s="23" t="s">
        <v>162</v>
      </c>
      <c r="J96" s="32">
        <f>VLOOKUP($I96,'Discount Scheme Target'!$B$3:$F$16,2,FALSE)</f>
        <v>0</v>
      </c>
      <c r="K96" s="32">
        <f>VLOOKUP($I96,'Discount Scheme Target'!$B$3:$F$16,3,FALSE)</f>
        <v>0</v>
      </c>
      <c r="L96" s="32">
        <f>VLOOKUP($I96,'Discount Scheme Target'!$B$3:$F$16,4,FALSE)</f>
        <v>0</v>
      </c>
      <c r="M96" s="32">
        <f>VLOOKUP($I96,'Discount Scheme Target'!$B$3:$F$16,5,FALSE)</f>
        <v>0</v>
      </c>
    </row>
    <row r="97" spans="2:13" x14ac:dyDescent="0.25">
      <c r="B97" s="25" t="s">
        <v>177</v>
      </c>
      <c r="C97" s="23" t="s">
        <v>315</v>
      </c>
      <c r="D97" s="23">
        <v>750</v>
      </c>
      <c r="E97" s="23">
        <v>6</v>
      </c>
      <c r="F97" s="23">
        <f t="shared" si="0"/>
        <v>4.4999999999999998E-2</v>
      </c>
      <c r="G97" s="23" t="s">
        <v>162</v>
      </c>
      <c r="H97" s="23" t="s">
        <v>314</v>
      </c>
      <c r="I97" s="23" t="s">
        <v>162</v>
      </c>
      <c r="J97" s="32">
        <f>VLOOKUP($I97,'Discount Scheme Target'!$B$3:$F$16,2,FALSE)</f>
        <v>0</v>
      </c>
      <c r="K97" s="32">
        <f>VLOOKUP($I97,'Discount Scheme Target'!$B$3:$F$16,3,FALSE)</f>
        <v>0</v>
      </c>
      <c r="L97" s="32">
        <f>VLOOKUP($I97,'Discount Scheme Target'!$B$3:$F$16,4,FALSE)</f>
        <v>0</v>
      </c>
      <c r="M97" s="32">
        <f>VLOOKUP($I97,'Discount Scheme Target'!$B$3:$F$16,5,FALSE)</f>
        <v>0</v>
      </c>
    </row>
    <row r="98" spans="2:13" x14ac:dyDescent="0.25">
      <c r="B98" s="25" t="s">
        <v>182</v>
      </c>
      <c r="C98" s="23" t="s">
        <v>316</v>
      </c>
      <c r="D98" s="23">
        <v>750</v>
      </c>
      <c r="E98" s="23">
        <v>6</v>
      </c>
      <c r="F98" s="23">
        <f t="shared" si="0"/>
        <v>4.4999999999999998E-2</v>
      </c>
      <c r="G98" s="23" t="s">
        <v>162</v>
      </c>
      <c r="H98" s="23" t="s">
        <v>314</v>
      </c>
      <c r="I98" s="23" t="s">
        <v>162</v>
      </c>
      <c r="J98" s="32">
        <f>VLOOKUP($I98,'Discount Scheme Target'!$B$3:$F$16,2,FALSE)</f>
        <v>0</v>
      </c>
      <c r="K98" s="32">
        <f>VLOOKUP($I98,'Discount Scheme Target'!$B$3:$F$16,3,FALSE)</f>
        <v>0</v>
      </c>
      <c r="L98" s="32">
        <f>VLOOKUP($I98,'Discount Scheme Target'!$B$3:$F$16,4,FALSE)</f>
        <v>0</v>
      </c>
      <c r="M98" s="32">
        <f>VLOOKUP($I98,'Discount Scheme Target'!$B$3:$F$16,5,FALSE)</f>
        <v>0</v>
      </c>
    </row>
    <row r="99" spans="2:13" x14ac:dyDescent="0.25">
      <c r="B99" s="25" t="s">
        <v>185</v>
      </c>
      <c r="C99" s="23" t="s">
        <v>317</v>
      </c>
      <c r="D99" s="23">
        <v>750</v>
      </c>
      <c r="E99" s="23">
        <v>6</v>
      </c>
      <c r="F99" s="23">
        <f t="shared" si="0"/>
        <v>4.4999999999999998E-2</v>
      </c>
      <c r="G99" s="23" t="s">
        <v>162</v>
      </c>
      <c r="H99" s="23" t="s">
        <v>314</v>
      </c>
      <c r="I99" s="23" t="s">
        <v>162</v>
      </c>
      <c r="J99" s="32">
        <f>VLOOKUP($I99,'Discount Scheme Target'!$B$3:$F$16,2,FALSE)</f>
        <v>0</v>
      </c>
      <c r="K99" s="32">
        <f>VLOOKUP($I99,'Discount Scheme Target'!$B$3:$F$16,3,FALSE)</f>
        <v>0</v>
      </c>
      <c r="L99" s="32">
        <f>VLOOKUP($I99,'Discount Scheme Target'!$B$3:$F$16,4,FALSE)</f>
        <v>0</v>
      </c>
      <c r="M99" s="32">
        <f>VLOOKUP($I99,'Discount Scheme Target'!$B$3:$F$16,5,FALSE)</f>
        <v>0</v>
      </c>
    </row>
    <row r="100" spans="2:13" x14ac:dyDescent="0.25">
      <c r="B100" s="25" t="s">
        <v>190</v>
      </c>
      <c r="C100" s="23" t="s">
        <v>318</v>
      </c>
      <c r="D100" s="23">
        <v>750</v>
      </c>
      <c r="E100" s="23">
        <v>6</v>
      </c>
      <c r="F100" s="23">
        <f t="shared" si="0"/>
        <v>4.4999999999999998E-2</v>
      </c>
      <c r="G100" s="23" t="s">
        <v>162</v>
      </c>
      <c r="H100" s="23" t="s">
        <v>314</v>
      </c>
      <c r="I100" s="23" t="s">
        <v>162</v>
      </c>
      <c r="J100" s="32">
        <f>VLOOKUP($I100,'Discount Scheme Target'!$B$3:$F$16,2,FALSE)</f>
        <v>0</v>
      </c>
      <c r="K100" s="32">
        <f>VLOOKUP($I100,'Discount Scheme Target'!$B$3:$F$16,3,FALSE)</f>
        <v>0</v>
      </c>
      <c r="L100" s="32">
        <f>VLOOKUP($I100,'Discount Scheme Target'!$B$3:$F$16,4,FALSE)</f>
        <v>0</v>
      </c>
      <c r="M100" s="32">
        <f>VLOOKUP($I100,'Discount Scheme Target'!$B$3:$F$16,5,FALSE)</f>
        <v>0</v>
      </c>
    </row>
    <row r="101" spans="2:13" x14ac:dyDescent="0.25">
      <c r="B101" s="25" t="s">
        <v>194</v>
      </c>
      <c r="C101" s="23" t="s">
        <v>319</v>
      </c>
      <c r="D101" s="23">
        <v>750</v>
      </c>
      <c r="E101" s="23">
        <v>6</v>
      </c>
      <c r="F101" s="23">
        <f t="shared" ref="F101:F118" si="3">+D101*E101/100000</f>
        <v>4.4999999999999998E-2</v>
      </c>
      <c r="G101" s="23" t="s">
        <v>162</v>
      </c>
      <c r="H101" s="23" t="s">
        <v>314</v>
      </c>
      <c r="I101" s="23" t="s">
        <v>162</v>
      </c>
      <c r="J101" s="32">
        <f>VLOOKUP($I101,'Discount Scheme Target'!$B$3:$F$16,2,FALSE)</f>
        <v>0</v>
      </c>
      <c r="K101" s="32">
        <f>VLOOKUP($I101,'Discount Scheme Target'!$B$3:$F$16,3,FALSE)</f>
        <v>0</v>
      </c>
      <c r="L101" s="32">
        <f>VLOOKUP($I101,'Discount Scheme Target'!$B$3:$F$16,4,FALSE)</f>
        <v>0</v>
      </c>
      <c r="M101" s="32">
        <f>VLOOKUP($I101,'Discount Scheme Target'!$B$3:$F$16,5,FALSE)</f>
        <v>0</v>
      </c>
    </row>
    <row r="102" spans="2:13" x14ac:dyDescent="0.25">
      <c r="B102" s="25" t="s">
        <v>197</v>
      </c>
      <c r="C102" s="23" t="s">
        <v>320</v>
      </c>
      <c r="D102" s="23">
        <v>750</v>
      </c>
      <c r="E102" s="23">
        <v>6</v>
      </c>
      <c r="F102" s="23">
        <f t="shared" si="3"/>
        <v>4.4999999999999998E-2</v>
      </c>
      <c r="G102" s="23" t="s">
        <v>162</v>
      </c>
      <c r="H102" s="23" t="s">
        <v>314</v>
      </c>
      <c r="I102" s="23" t="s">
        <v>162</v>
      </c>
      <c r="J102" s="32">
        <f>VLOOKUP($I102,'Discount Scheme Target'!$B$3:$F$16,2,FALSE)</f>
        <v>0</v>
      </c>
      <c r="K102" s="32">
        <f>VLOOKUP($I102,'Discount Scheme Target'!$B$3:$F$16,3,FALSE)</f>
        <v>0</v>
      </c>
      <c r="L102" s="32">
        <f>VLOOKUP($I102,'Discount Scheme Target'!$B$3:$F$16,4,FALSE)</f>
        <v>0</v>
      </c>
      <c r="M102" s="32">
        <f>VLOOKUP($I102,'Discount Scheme Target'!$B$3:$F$16,5,FALSE)</f>
        <v>0</v>
      </c>
    </row>
    <row r="103" spans="2:13" x14ac:dyDescent="0.25">
      <c r="B103" s="25" t="s">
        <v>202</v>
      </c>
      <c r="C103" s="23" t="s">
        <v>321</v>
      </c>
      <c r="D103" s="23">
        <v>750</v>
      </c>
      <c r="E103" s="23">
        <v>6</v>
      </c>
      <c r="F103" s="23">
        <f t="shared" si="3"/>
        <v>4.4999999999999998E-2</v>
      </c>
      <c r="G103" s="23" t="s">
        <v>162</v>
      </c>
      <c r="H103" s="23" t="s">
        <v>314</v>
      </c>
      <c r="I103" s="23" t="s">
        <v>162</v>
      </c>
      <c r="J103" s="32">
        <f>VLOOKUP($I103,'Discount Scheme Target'!$B$3:$F$16,2,FALSE)</f>
        <v>0</v>
      </c>
      <c r="K103" s="32">
        <f>VLOOKUP($I103,'Discount Scheme Target'!$B$3:$F$16,3,FALSE)</f>
        <v>0</v>
      </c>
      <c r="L103" s="32">
        <f>VLOOKUP($I103,'Discount Scheme Target'!$B$3:$F$16,4,FALSE)</f>
        <v>0</v>
      </c>
      <c r="M103" s="32">
        <f>VLOOKUP($I103,'Discount Scheme Target'!$B$3:$F$16,5,FALSE)</f>
        <v>0</v>
      </c>
    </row>
    <row r="104" spans="2:13" x14ac:dyDescent="0.25">
      <c r="B104" s="25" t="s">
        <v>206</v>
      </c>
      <c r="C104" s="23" t="s">
        <v>322</v>
      </c>
      <c r="D104" s="23">
        <v>750</v>
      </c>
      <c r="E104" s="23">
        <v>6</v>
      </c>
      <c r="F104" s="23">
        <f t="shared" si="3"/>
        <v>4.4999999999999998E-2</v>
      </c>
      <c r="G104" s="23" t="s">
        <v>162</v>
      </c>
      <c r="H104" s="23" t="s">
        <v>314</v>
      </c>
      <c r="I104" s="23" t="s">
        <v>162</v>
      </c>
      <c r="J104" s="32">
        <f>VLOOKUP($I104,'Discount Scheme Target'!$B$3:$F$16,2,FALSE)</f>
        <v>0</v>
      </c>
      <c r="K104" s="32">
        <f>VLOOKUP($I104,'Discount Scheme Target'!$B$3:$F$16,3,FALSE)</f>
        <v>0</v>
      </c>
      <c r="L104" s="32">
        <f>VLOOKUP($I104,'Discount Scheme Target'!$B$3:$F$16,4,FALSE)</f>
        <v>0</v>
      </c>
      <c r="M104" s="32">
        <f>VLOOKUP($I104,'Discount Scheme Target'!$B$3:$F$16,5,FALSE)</f>
        <v>0</v>
      </c>
    </row>
    <row r="105" spans="2:13" x14ac:dyDescent="0.25">
      <c r="B105" s="25" t="s">
        <v>211</v>
      </c>
      <c r="C105" s="23" t="s">
        <v>323</v>
      </c>
      <c r="D105" s="23">
        <v>750</v>
      </c>
      <c r="E105" s="23">
        <v>6</v>
      </c>
      <c r="F105" s="23">
        <f t="shared" si="3"/>
        <v>4.4999999999999998E-2</v>
      </c>
      <c r="G105" s="23" t="s">
        <v>162</v>
      </c>
      <c r="H105" s="23" t="s">
        <v>314</v>
      </c>
      <c r="I105" s="23" t="s">
        <v>162</v>
      </c>
      <c r="J105" s="32">
        <f>VLOOKUP($I105,'Discount Scheme Target'!$B$3:$F$16,2,FALSE)</f>
        <v>0</v>
      </c>
      <c r="K105" s="32">
        <f>VLOOKUP($I105,'Discount Scheme Target'!$B$3:$F$16,3,FALSE)</f>
        <v>0</v>
      </c>
      <c r="L105" s="32">
        <f>VLOOKUP($I105,'Discount Scheme Target'!$B$3:$F$16,4,FALSE)</f>
        <v>0</v>
      </c>
      <c r="M105" s="32">
        <f>VLOOKUP($I105,'Discount Scheme Target'!$B$3:$F$16,5,FALSE)</f>
        <v>0</v>
      </c>
    </row>
    <row r="106" spans="2:13" x14ac:dyDescent="0.25">
      <c r="B106" s="25" t="s">
        <v>95</v>
      </c>
      <c r="C106" s="23" t="s">
        <v>94</v>
      </c>
      <c r="D106" s="23">
        <v>750</v>
      </c>
      <c r="E106" s="23">
        <v>6</v>
      </c>
      <c r="F106" s="23">
        <f t="shared" si="3"/>
        <v>4.4999999999999998E-2</v>
      </c>
      <c r="G106" s="23" t="s">
        <v>162</v>
      </c>
      <c r="H106" s="23" t="s">
        <v>314</v>
      </c>
      <c r="I106" s="23" t="s">
        <v>162</v>
      </c>
      <c r="J106" s="32">
        <f>VLOOKUP($I106,'Discount Scheme Target'!$B$3:$F$16,2,FALSE)</f>
        <v>0</v>
      </c>
      <c r="K106" s="32">
        <f>VLOOKUP($I106,'Discount Scheme Target'!$B$3:$F$16,3,FALSE)</f>
        <v>0</v>
      </c>
      <c r="L106" s="32">
        <f>VLOOKUP($I106,'Discount Scheme Target'!$B$3:$F$16,4,FALSE)</f>
        <v>0</v>
      </c>
      <c r="M106" s="32">
        <f>VLOOKUP($I106,'Discount Scheme Target'!$B$3:$F$16,5,FALSE)</f>
        <v>0</v>
      </c>
    </row>
    <row r="107" spans="2:13" x14ac:dyDescent="0.25">
      <c r="B107" s="25" t="s">
        <v>97</v>
      </c>
      <c r="C107" s="23" t="s">
        <v>96</v>
      </c>
      <c r="D107" s="23">
        <v>750</v>
      </c>
      <c r="E107" s="23">
        <v>6</v>
      </c>
      <c r="F107" s="23">
        <f t="shared" si="3"/>
        <v>4.4999999999999998E-2</v>
      </c>
      <c r="G107" s="23" t="s">
        <v>162</v>
      </c>
      <c r="H107" s="23" t="s">
        <v>314</v>
      </c>
      <c r="I107" s="23" t="s">
        <v>162</v>
      </c>
      <c r="J107" s="32">
        <f>VLOOKUP($I107,'Discount Scheme Target'!$B$3:$F$16,2,FALSE)</f>
        <v>0</v>
      </c>
      <c r="K107" s="32">
        <f>VLOOKUP($I107,'Discount Scheme Target'!$B$3:$F$16,3,FALSE)</f>
        <v>0</v>
      </c>
      <c r="L107" s="32">
        <f>VLOOKUP($I107,'Discount Scheme Target'!$B$3:$F$16,4,FALSE)</f>
        <v>0</v>
      </c>
      <c r="M107" s="32">
        <f>VLOOKUP($I107,'Discount Scheme Target'!$B$3:$F$16,5,FALSE)</f>
        <v>0</v>
      </c>
    </row>
    <row r="108" spans="2:13" x14ac:dyDescent="0.25">
      <c r="B108" s="25" t="s">
        <v>99</v>
      </c>
      <c r="C108" s="23" t="s">
        <v>98</v>
      </c>
      <c r="D108" s="23">
        <v>750</v>
      </c>
      <c r="E108" s="23">
        <v>6</v>
      </c>
      <c r="F108" s="23">
        <f t="shared" si="3"/>
        <v>4.4999999999999998E-2</v>
      </c>
      <c r="G108" s="23" t="s">
        <v>162</v>
      </c>
      <c r="H108" s="23" t="s">
        <v>314</v>
      </c>
      <c r="I108" s="23" t="s">
        <v>162</v>
      </c>
      <c r="J108" s="32">
        <f>VLOOKUP($I108,'Discount Scheme Target'!$B$3:$F$16,2,FALSE)</f>
        <v>0</v>
      </c>
      <c r="K108" s="32">
        <f>VLOOKUP($I108,'Discount Scheme Target'!$B$3:$F$16,3,FALSE)</f>
        <v>0</v>
      </c>
      <c r="L108" s="32">
        <f>VLOOKUP($I108,'Discount Scheme Target'!$B$3:$F$16,4,FALSE)</f>
        <v>0</v>
      </c>
      <c r="M108" s="32">
        <f>VLOOKUP($I108,'Discount Scheme Target'!$B$3:$F$16,5,FALSE)</f>
        <v>0</v>
      </c>
    </row>
    <row r="109" spans="2:13" x14ac:dyDescent="0.25">
      <c r="B109" s="25" t="s">
        <v>227</v>
      </c>
      <c r="C109" s="23" t="s">
        <v>324</v>
      </c>
      <c r="D109" s="23">
        <v>750</v>
      </c>
      <c r="E109" s="23">
        <v>6</v>
      </c>
      <c r="F109" s="23">
        <f t="shared" si="3"/>
        <v>4.4999999999999998E-2</v>
      </c>
      <c r="G109" s="23" t="s">
        <v>162</v>
      </c>
      <c r="H109" s="23" t="s">
        <v>314</v>
      </c>
      <c r="I109" s="23" t="s">
        <v>162</v>
      </c>
      <c r="J109" s="32">
        <f>VLOOKUP($I109,'Discount Scheme Target'!$B$3:$F$16,2,FALSE)</f>
        <v>0</v>
      </c>
      <c r="K109" s="32">
        <f>VLOOKUP($I109,'Discount Scheme Target'!$B$3:$F$16,3,FALSE)</f>
        <v>0</v>
      </c>
      <c r="L109" s="32">
        <f>VLOOKUP($I109,'Discount Scheme Target'!$B$3:$F$16,4,FALSE)</f>
        <v>0</v>
      </c>
      <c r="M109" s="32">
        <f>VLOOKUP($I109,'Discount Scheme Target'!$B$3:$F$16,5,FALSE)</f>
        <v>0</v>
      </c>
    </row>
    <row r="110" spans="2:13" x14ac:dyDescent="0.25">
      <c r="B110" s="25" t="s">
        <v>230</v>
      </c>
      <c r="C110" s="23" t="s">
        <v>325</v>
      </c>
      <c r="D110" s="23">
        <v>750</v>
      </c>
      <c r="E110" s="23">
        <v>6</v>
      </c>
      <c r="F110" s="23">
        <f t="shared" si="3"/>
        <v>4.4999999999999998E-2</v>
      </c>
      <c r="G110" s="23" t="s">
        <v>162</v>
      </c>
      <c r="H110" s="23" t="s">
        <v>314</v>
      </c>
      <c r="I110" s="23" t="s">
        <v>162</v>
      </c>
      <c r="J110" s="32">
        <f>VLOOKUP($I110,'Discount Scheme Target'!$B$3:$F$16,2,FALSE)</f>
        <v>0</v>
      </c>
      <c r="K110" s="32">
        <f>VLOOKUP($I110,'Discount Scheme Target'!$B$3:$F$16,3,FALSE)</f>
        <v>0</v>
      </c>
      <c r="L110" s="32">
        <f>VLOOKUP($I110,'Discount Scheme Target'!$B$3:$F$16,4,FALSE)</f>
        <v>0</v>
      </c>
      <c r="M110" s="32">
        <f>VLOOKUP($I110,'Discount Scheme Target'!$B$3:$F$16,5,FALSE)</f>
        <v>0</v>
      </c>
    </row>
    <row r="111" spans="2:13" x14ac:dyDescent="0.25">
      <c r="B111" s="25" t="s">
        <v>233</v>
      </c>
      <c r="C111" s="23" t="s">
        <v>326</v>
      </c>
      <c r="D111" s="23">
        <v>5000</v>
      </c>
      <c r="E111" s="23">
        <v>4</v>
      </c>
      <c r="F111" s="23">
        <f t="shared" si="3"/>
        <v>0.2</v>
      </c>
      <c r="G111" s="23" t="s">
        <v>162</v>
      </c>
      <c r="H111" s="23" t="s">
        <v>314</v>
      </c>
      <c r="I111" s="23" t="s">
        <v>162</v>
      </c>
      <c r="J111" s="32">
        <f>VLOOKUP($I111,'Discount Scheme Target'!$B$3:$F$16,2,FALSE)</f>
        <v>0</v>
      </c>
      <c r="K111" s="32">
        <f>VLOOKUP($I111,'Discount Scheme Target'!$B$3:$F$16,3,FALSE)</f>
        <v>0</v>
      </c>
      <c r="L111" s="32">
        <f>VLOOKUP($I111,'Discount Scheme Target'!$B$3:$F$16,4,FALSE)</f>
        <v>0</v>
      </c>
      <c r="M111" s="32">
        <f>VLOOKUP($I111,'Discount Scheme Target'!$B$3:$F$16,5,FALSE)</f>
        <v>0</v>
      </c>
    </row>
    <row r="112" spans="2:13" x14ac:dyDescent="0.25">
      <c r="B112" s="25" t="s">
        <v>236</v>
      </c>
      <c r="C112" s="23" t="s">
        <v>327</v>
      </c>
      <c r="D112" s="23">
        <v>750</v>
      </c>
      <c r="E112" s="23">
        <v>6</v>
      </c>
      <c r="F112" s="23">
        <f t="shared" si="3"/>
        <v>4.4999999999999998E-2</v>
      </c>
      <c r="G112" s="23" t="s">
        <v>162</v>
      </c>
      <c r="H112" s="23" t="s">
        <v>314</v>
      </c>
      <c r="I112" s="23" t="s">
        <v>162</v>
      </c>
      <c r="J112" s="32">
        <f>VLOOKUP($I112,'Discount Scheme Target'!$B$3:$F$16,2,FALSE)</f>
        <v>0</v>
      </c>
      <c r="K112" s="32">
        <f>VLOOKUP($I112,'Discount Scheme Target'!$B$3:$F$16,3,FALSE)</f>
        <v>0</v>
      </c>
      <c r="L112" s="32">
        <f>VLOOKUP($I112,'Discount Scheme Target'!$B$3:$F$16,4,FALSE)</f>
        <v>0</v>
      </c>
      <c r="M112" s="32">
        <f>VLOOKUP($I112,'Discount Scheme Target'!$B$3:$F$16,5,FALSE)</f>
        <v>0</v>
      </c>
    </row>
    <row r="113" spans="2:13" x14ac:dyDescent="0.25">
      <c r="B113" s="25" t="s">
        <v>241</v>
      </c>
      <c r="C113" s="23" t="s">
        <v>328</v>
      </c>
      <c r="D113" s="23">
        <v>750</v>
      </c>
      <c r="E113" s="23">
        <v>6</v>
      </c>
      <c r="F113" s="23">
        <f t="shared" si="3"/>
        <v>4.4999999999999998E-2</v>
      </c>
      <c r="G113" s="23" t="s">
        <v>162</v>
      </c>
      <c r="H113" s="23" t="s">
        <v>314</v>
      </c>
      <c r="I113" s="23" t="s">
        <v>162</v>
      </c>
      <c r="J113" s="32">
        <f>VLOOKUP($I113,'Discount Scheme Target'!$B$3:$F$16,2,FALSE)</f>
        <v>0</v>
      </c>
      <c r="K113" s="32">
        <f>VLOOKUP($I113,'Discount Scheme Target'!$B$3:$F$16,3,FALSE)</f>
        <v>0</v>
      </c>
      <c r="L113" s="32">
        <f>VLOOKUP($I113,'Discount Scheme Target'!$B$3:$F$16,4,FALSE)</f>
        <v>0</v>
      </c>
      <c r="M113" s="32">
        <f>VLOOKUP($I113,'Discount Scheme Target'!$B$3:$F$16,5,FALSE)</f>
        <v>0</v>
      </c>
    </row>
    <row r="114" spans="2:13" x14ac:dyDescent="0.25">
      <c r="B114" s="25" t="s">
        <v>243</v>
      </c>
      <c r="C114" s="23" t="s">
        <v>329</v>
      </c>
      <c r="D114" s="23">
        <v>750</v>
      </c>
      <c r="E114" s="23">
        <v>6</v>
      </c>
      <c r="F114" s="23">
        <f t="shared" si="3"/>
        <v>4.4999999999999998E-2</v>
      </c>
      <c r="G114" s="23" t="s">
        <v>162</v>
      </c>
      <c r="H114" s="23" t="s">
        <v>314</v>
      </c>
      <c r="I114" s="23" t="s">
        <v>162</v>
      </c>
      <c r="J114" s="32">
        <f>VLOOKUP($I114,'Discount Scheme Target'!$B$3:$F$16,2,FALSE)</f>
        <v>0</v>
      </c>
      <c r="K114" s="32">
        <f>VLOOKUP($I114,'Discount Scheme Target'!$B$3:$F$16,3,FALSE)</f>
        <v>0</v>
      </c>
      <c r="L114" s="32">
        <f>VLOOKUP($I114,'Discount Scheme Target'!$B$3:$F$16,4,FALSE)</f>
        <v>0</v>
      </c>
      <c r="M114" s="32">
        <f>VLOOKUP($I114,'Discount Scheme Target'!$B$3:$F$16,5,FALSE)</f>
        <v>0</v>
      </c>
    </row>
    <row r="115" spans="2:13" x14ac:dyDescent="0.25">
      <c r="B115" s="25" t="s">
        <v>245</v>
      </c>
      <c r="C115" s="23" t="s">
        <v>330</v>
      </c>
      <c r="D115" s="23">
        <v>750</v>
      </c>
      <c r="E115" s="23">
        <v>6</v>
      </c>
      <c r="F115" s="23">
        <f t="shared" si="3"/>
        <v>4.4999999999999998E-2</v>
      </c>
      <c r="G115" s="23" t="s">
        <v>162</v>
      </c>
      <c r="H115" s="23" t="s">
        <v>314</v>
      </c>
      <c r="I115" s="23" t="s">
        <v>162</v>
      </c>
      <c r="J115" s="32">
        <f>VLOOKUP($I115,'Discount Scheme Target'!$B$3:$F$16,2,FALSE)</f>
        <v>0</v>
      </c>
      <c r="K115" s="32">
        <f>VLOOKUP($I115,'Discount Scheme Target'!$B$3:$F$16,3,FALSE)</f>
        <v>0</v>
      </c>
      <c r="L115" s="32">
        <f>VLOOKUP($I115,'Discount Scheme Target'!$B$3:$F$16,4,FALSE)</f>
        <v>0</v>
      </c>
      <c r="M115" s="32">
        <f>VLOOKUP($I115,'Discount Scheme Target'!$B$3:$F$16,5,FALSE)</f>
        <v>0</v>
      </c>
    </row>
    <row r="116" spans="2:13" x14ac:dyDescent="0.25">
      <c r="B116" s="25" t="s">
        <v>248</v>
      </c>
      <c r="C116" s="23" t="s">
        <v>331</v>
      </c>
      <c r="D116" s="23">
        <v>750</v>
      </c>
      <c r="E116" s="23">
        <v>6</v>
      </c>
      <c r="F116" s="23">
        <f t="shared" si="3"/>
        <v>4.4999999999999998E-2</v>
      </c>
      <c r="G116" s="23" t="s">
        <v>162</v>
      </c>
      <c r="H116" s="23" t="s">
        <v>314</v>
      </c>
      <c r="I116" s="23" t="s">
        <v>162</v>
      </c>
      <c r="J116" s="32">
        <f>VLOOKUP($I116,'Discount Scheme Target'!$B$3:$F$16,2,FALSE)</f>
        <v>0</v>
      </c>
      <c r="K116" s="32">
        <f>VLOOKUP($I116,'Discount Scheme Target'!$B$3:$F$16,3,FALSE)</f>
        <v>0</v>
      </c>
      <c r="L116" s="32">
        <f>VLOOKUP($I116,'Discount Scheme Target'!$B$3:$F$16,4,FALSE)</f>
        <v>0</v>
      </c>
      <c r="M116" s="32">
        <f>VLOOKUP($I116,'Discount Scheme Target'!$B$3:$F$16,5,FALSE)</f>
        <v>0</v>
      </c>
    </row>
    <row r="117" spans="2:13" x14ac:dyDescent="0.25">
      <c r="B117" s="25" t="s">
        <v>250</v>
      </c>
      <c r="C117" s="23" t="s">
        <v>332</v>
      </c>
      <c r="D117" s="23">
        <v>750</v>
      </c>
      <c r="E117" s="23">
        <v>6</v>
      </c>
      <c r="F117" s="23">
        <f t="shared" si="3"/>
        <v>4.4999999999999998E-2</v>
      </c>
      <c r="G117" s="23" t="s">
        <v>162</v>
      </c>
      <c r="H117" s="23" t="s">
        <v>314</v>
      </c>
      <c r="I117" s="23" t="s">
        <v>162</v>
      </c>
      <c r="J117" s="32">
        <f>VLOOKUP($I117,'Discount Scheme Target'!$B$3:$F$16,2,FALSE)</f>
        <v>0</v>
      </c>
      <c r="K117" s="32">
        <f>VLOOKUP($I117,'Discount Scheme Target'!$B$3:$F$16,3,FALSE)</f>
        <v>0</v>
      </c>
      <c r="L117" s="32">
        <f>VLOOKUP($I117,'Discount Scheme Target'!$B$3:$F$16,4,FALSE)</f>
        <v>0</v>
      </c>
      <c r="M117" s="32">
        <f>VLOOKUP($I117,'Discount Scheme Target'!$B$3:$F$16,5,FALSE)</f>
        <v>0</v>
      </c>
    </row>
    <row r="118" spans="2:13" x14ac:dyDescent="0.25">
      <c r="B118" s="25" t="s">
        <v>253</v>
      </c>
      <c r="C118" s="23" t="s">
        <v>333</v>
      </c>
      <c r="D118" s="23">
        <v>5000</v>
      </c>
      <c r="E118" s="23">
        <v>4</v>
      </c>
      <c r="F118" s="23">
        <f t="shared" si="3"/>
        <v>0.2</v>
      </c>
      <c r="G118" s="23" t="s">
        <v>162</v>
      </c>
      <c r="H118" s="23" t="s">
        <v>314</v>
      </c>
      <c r="I118" s="23" t="s">
        <v>162</v>
      </c>
      <c r="J118" s="32">
        <f>VLOOKUP($I118,'Discount Scheme Target'!$B$3:$F$16,2,FALSE)</f>
        <v>0</v>
      </c>
      <c r="K118" s="32">
        <f>VLOOKUP($I118,'Discount Scheme Target'!$B$3:$F$16,3,FALSE)</f>
        <v>0</v>
      </c>
      <c r="L118" s="32">
        <f>VLOOKUP($I118,'Discount Scheme Target'!$B$3:$F$16,4,FALSE)</f>
        <v>0</v>
      </c>
      <c r="M118" s="32">
        <f>VLOOKUP($I118,'Discount Scheme Target'!$B$3:$F$16,5,FALSE)</f>
        <v>0</v>
      </c>
    </row>
  </sheetData>
  <mergeCells count="1">
    <mergeCell ref="AO2:AP2"/>
  </mergeCells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C43E-6C64-4769-88DA-DCF3568F05E9}">
  <sheetPr codeName="Sheet11"/>
  <dimension ref="A1:M56"/>
  <sheetViews>
    <sheetView workbookViewId="0">
      <selection activeCell="E40" sqref="E40"/>
    </sheetView>
  </sheetViews>
  <sheetFormatPr defaultRowHeight="15" x14ac:dyDescent="0.25"/>
  <cols>
    <col min="1" max="1" width="22.5703125" bestFit="1" customWidth="1"/>
    <col min="2" max="2" width="34.140625" bestFit="1" customWidth="1"/>
    <col min="3" max="3" width="7.140625" bestFit="1" customWidth="1"/>
    <col min="4" max="9" width="12" bestFit="1" customWidth="1"/>
    <col min="11" max="11" width="13.85546875" bestFit="1" customWidth="1"/>
    <col min="13" max="13" width="11" bestFit="1" customWidth="1"/>
  </cols>
  <sheetData>
    <row r="1" spans="1:13" x14ac:dyDescent="0.25">
      <c r="A1" t="s">
        <v>503</v>
      </c>
      <c r="B1" t="s">
        <v>401</v>
      </c>
      <c r="C1" t="s">
        <v>504</v>
      </c>
      <c r="D1" t="s">
        <v>417</v>
      </c>
      <c r="E1" t="s">
        <v>131</v>
      </c>
      <c r="F1" t="s">
        <v>130</v>
      </c>
      <c r="G1" t="s">
        <v>505</v>
      </c>
      <c r="H1" t="s">
        <v>133</v>
      </c>
      <c r="I1" t="s">
        <v>132</v>
      </c>
    </row>
    <row r="2" spans="1:13" x14ac:dyDescent="0.25">
      <c r="A2" t="s">
        <v>460</v>
      </c>
      <c r="B2" t="s">
        <v>461</v>
      </c>
      <c r="C2" t="s">
        <v>506</v>
      </c>
      <c r="D2" s="136">
        <f>(SUMIF('Credit Note Approval Form'!$C:$C,Dashboard!$A2,'Credit Note Approval Form'!$F:$F))*(1-SUMIF('Credit Note Approval Form'!$C:$C,Dashboard!$A2,'Credit Note Approval Form'!$S:$S))</f>
        <v>0</v>
      </c>
      <c r="E2" s="136">
        <f>(SUMIF('Credit Note Approval Form'!$C:$C,Dashboard!$A2,'Credit Note Approval Form'!$I:$I))*(1-SUMIF('Credit Note Approval Form'!$C:$C,Dashboard!$A2,'Credit Note Approval Form'!$S:$S))</f>
        <v>0</v>
      </c>
      <c r="F2" s="136">
        <f>(SUMIF('Credit Note Approval Form'!$C:$C,Dashboard!$A2,'Credit Note Approval Form'!$H:$H))*(1-SUMIF('Credit Note Approval Form'!$C:$C,Dashboard!$A2,'Credit Note Approval Form'!$S:$S))</f>
        <v>0</v>
      </c>
      <c r="G2" s="136">
        <f>(SUMIF('Credit Note Approval Form'!$C:$C,Dashboard!$A2,'Credit Note Approval Form'!$J:$J)+SUMIF('Credit Note Approval Form'!$C:$C,Dashboard!$A2,'Credit Note Approval Form'!$M:$M))*(1-SUMIF('Credit Note Approval Form'!$C:$C,Dashboard!$A2,'Credit Note Approval Form'!$S:$S))</f>
        <v>0</v>
      </c>
      <c r="H2" s="136">
        <f>(SUMIF('Credit Note Approval Form'!$C:$C,Dashboard!$A2,'Credit Note Approval Form'!$P:$P))*(1-SUMIF('Credit Note Approval Form'!$C:$C,Dashboard!$A2,'Credit Note Approval Form'!$S:$S))</f>
        <v>0</v>
      </c>
      <c r="I2" s="136">
        <f>(SUMIF('Credit Note Approval Form'!$C:$C,Dashboard!$A2,'Credit Note Approval Form'!$O:$O))*(1-SUMIF('Credit Note Approval Form'!$C:$C,Dashboard!$A2,'Credit Note Approval Form'!$S:$S))</f>
        <v>0</v>
      </c>
      <c r="K2" s="136">
        <f>SUM(D2:J2)</f>
        <v>0</v>
      </c>
    </row>
    <row r="3" spans="1:13" x14ac:dyDescent="0.25">
      <c r="A3">
        <v>1300006459</v>
      </c>
      <c r="B3" t="s">
        <v>500</v>
      </c>
      <c r="C3" t="s">
        <v>506</v>
      </c>
      <c r="D3" s="136">
        <f>(SUMIF('Credit Note Approval Form'!$C:$C,Dashboard!$A3,'Credit Note Approval Form'!$F:$F))*(1-SUMIF('Credit Note Approval Form'!$C:$C,Dashboard!$A3,'Credit Note Approval Form'!$S:$S))</f>
        <v>1900707.7259811838</v>
      </c>
      <c r="E3" s="136">
        <f>(SUMIF('Credit Note Approval Form'!$C:$C,Dashboard!$A3,'Credit Note Approval Form'!$I:$I))*(1-SUMIF('Credit Note Approval Form'!$C:$C,Dashboard!$A3,'Credit Note Approval Form'!$S:$S))</f>
        <v>132828.61828934264</v>
      </c>
      <c r="F3" s="136">
        <f>(SUMIF('Credit Note Approval Form'!$C:$C,Dashboard!$A3,'Credit Note Approval Form'!$H:$H))*(1-SUMIF('Credit Note Approval Form'!$C:$C,Dashboard!$A3,'Credit Note Approval Form'!$S:$S))</f>
        <v>87102.983000000022</v>
      </c>
      <c r="G3" s="136">
        <f>(SUMIF('Credit Note Approval Form'!$C:$C,Dashboard!$A3,'Credit Note Approval Form'!$J:$J)+SUMIF('Credit Note Approval Form'!$C:$C,Dashboard!$A3,'Credit Note Approval Form'!$M:$M))*(1-SUMIF('Credit Note Approval Form'!$C:$C,Dashboard!$A3,'Credit Note Approval Form'!$S:$S))</f>
        <v>1627076.0808458864</v>
      </c>
      <c r="H3" s="136">
        <f>(SUMIF('Credit Note Approval Form'!$C:$C,Dashboard!$A3,'Credit Note Approval Form'!$P:$P))*(1-SUMIF('Credit Note Approval Form'!$C:$C,Dashboard!$A3,'Credit Note Approval Form'!$S:$S))</f>
        <v>146199.20039999997</v>
      </c>
      <c r="I3" s="136">
        <f>(SUMIF('Credit Note Approval Form'!$C:$C,Dashboard!$A3,'Credit Note Approval Form'!$O:$O))*(1-SUMIF('Credit Note Approval Form'!$C:$C,Dashboard!$A3,'Credit Note Approval Form'!$S:$S))</f>
        <v>5314.1439999999993</v>
      </c>
      <c r="K3" s="136">
        <f>SUM(D3:J3)</f>
        <v>3899228.7525164126</v>
      </c>
      <c r="M3" t="s">
        <v>519</v>
      </c>
    </row>
    <row r="4" spans="1:13" x14ac:dyDescent="0.25">
      <c r="A4" t="s">
        <v>457</v>
      </c>
      <c r="B4" t="s">
        <v>458</v>
      </c>
      <c r="C4" t="s">
        <v>506</v>
      </c>
      <c r="D4" s="136">
        <f>(SUMIF('Credit Note Approval Form'!$C:$C,Dashboard!$A4,'Credit Note Approval Form'!$F:$F))*(1-SUMIF('Credit Note Approval Form'!$C:$C,Dashboard!$A4,'Credit Note Approval Form'!$S:$S))</f>
        <v>0</v>
      </c>
      <c r="E4" s="136">
        <f>(SUMIF('Credit Note Approval Form'!$C:$C,Dashboard!$A4,'Credit Note Approval Form'!$I:$I))*(1-SUMIF('Credit Note Approval Form'!$C:$C,Dashboard!$A4,'Credit Note Approval Form'!$S:$S))</f>
        <v>0</v>
      </c>
      <c r="F4" s="136">
        <f>(SUMIF('Credit Note Approval Form'!$C:$C,Dashboard!$A4,'Credit Note Approval Form'!$H:$H))*(1-SUMIF('Credit Note Approval Form'!$C:$C,Dashboard!$A4,'Credit Note Approval Form'!$S:$S))</f>
        <v>0</v>
      </c>
      <c r="G4" s="136">
        <f>(SUMIF('Credit Note Approval Form'!$C:$C,Dashboard!$A4,'Credit Note Approval Form'!$J:$J)+SUMIF('Credit Note Approval Form'!$C:$C,Dashboard!$A4,'Credit Note Approval Form'!$M:$M))*(1-SUMIF('Credit Note Approval Form'!$C:$C,Dashboard!$A4,'Credit Note Approval Form'!$S:$S))</f>
        <v>0</v>
      </c>
      <c r="H4" s="136">
        <f>(SUMIF('Credit Note Approval Form'!$C:$C,Dashboard!$A4,'Credit Note Approval Form'!$P:$P))*(1-SUMIF('Credit Note Approval Form'!$C:$C,Dashboard!$A4,'Credit Note Approval Form'!$S:$S))</f>
        <v>0</v>
      </c>
      <c r="I4" s="136">
        <f>(SUMIF('Credit Note Approval Form'!$C:$C,Dashboard!$A4,'Credit Note Approval Form'!$O:$O))*(1-SUMIF('Credit Note Approval Form'!$C:$C,Dashboard!$A4,'Credit Note Approval Form'!$S:$S))</f>
        <v>0</v>
      </c>
      <c r="K4" s="136">
        <f t="shared" ref="K4:K53" si="0">SUM(D4:J4)</f>
        <v>0</v>
      </c>
    </row>
    <row r="5" spans="1:13" x14ac:dyDescent="0.25">
      <c r="A5" t="s">
        <v>483</v>
      </c>
      <c r="B5" t="s">
        <v>484</v>
      </c>
      <c r="C5" t="s">
        <v>506</v>
      </c>
      <c r="D5" s="136">
        <f>(SUMIF('Credit Note Approval Form'!$C:$C,Dashboard!$A5,'Credit Note Approval Form'!$F:$F))*(1-SUMIF('Credit Note Approval Form'!$C:$C,Dashboard!$A5,'Credit Note Approval Form'!$S:$S))</f>
        <v>918418.00698457693</v>
      </c>
      <c r="E5" s="136">
        <f>(SUMIF('Credit Note Approval Form'!$C:$C,Dashboard!$A5,'Credit Note Approval Form'!$I:$I))*(1-SUMIF('Credit Note Approval Form'!$C:$C,Dashboard!$A5,'Credit Note Approval Form'!$S:$S))</f>
        <v>17673.929531721318</v>
      </c>
      <c r="F5" s="136">
        <f>(SUMIF('Credit Note Approval Form'!$C:$C,Dashboard!$A5,'Credit Note Approval Form'!$H:$H))*(1-SUMIF('Credit Note Approval Form'!$C:$C,Dashboard!$A5,'Credit Note Approval Form'!$S:$S))</f>
        <v>21149.785981995945</v>
      </c>
      <c r="G5" s="136">
        <f>(SUMIF('Credit Note Approval Form'!$C:$C,Dashboard!$A5,'Credit Note Approval Form'!$J:$J)+SUMIF('Credit Note Approval Form'!$C:$C,Dashboard!$A5,'Credit Note Approval Form'!$M:$M))*(1-SUMIF('Credit Note Approval Form'!$C:$C,Dashboard!$A5,'Credit Note Approval Form'!$S:$S))</f>
        <v>140292.57270897832</v>
      </c>
      <c r="H5" s="136">
        <f>(SUMIF('Credit Note Approval Form'!$C:$C,Dashboard!$A5,'Credit Note Approval Form'!$P:$P))*(1-SUMIF('Credit Note Approval Form'!$C:$C,Dashboard!$A5,'Credit Note Approval Form'!$S:$S))</f>
        <v>12467.764441088331</v>
      </c>
      <c r="I5" s="136">
        <f>(SUMIF('Credit Note Approval Form'!$C:$C,Dashboard!$A5,'Credit Note Approval Form'!$O:$O))*(1-SUMIF('Credit Note Approval Form'!$C:$C,Dashboard!$A5,'Credit Note Approval Form'!$S:$S))</f>
        <v>3107.611490027838</v>
      </c>
      <c r="K5" s="136">
        <f t="shared" si="0"/>
        <v>1113109.6711383886</v>
      </c>
    </row>
    <row r="6" spans="1:13" x14ac:dyDescent="0.25">
      <c r="A6" t="s">
        <v>481</v>
      </c>
      <c r="B6" t="s">
        <v>482</v>
      </c>
      <c r="C6" t="s">
        <v>506</v>
      </c>
      <c r="D6" s="136">
        <f>(SUMIF('Credit Note Approval Form'!$C:$C,Dashboard!$A6,'Credit Note Approval Form'!$F:$F))*(1-SUMIF('Credit Note Approval Form'!$C:$C,Dashboard!$A6,'Credit Note Approval Form'!$S:$S))</f>
        <v>0</v>
      </c>
      <c r="E6" s="136">
        <f>(SUMIF('Credit Note Approval Form'!$C:$C,Dashboard!$A6,'Credit Note Approval Form'!$I:$I))*(1-SUMIF('Credit Note Approval Form'!$C:$C,Dashboard!$A6,'Credit Note Approval Form'!$S:$S))</f>
        <v>0</v>
      </c>
      <c r="F6" s="136">
        <f>(SUMIF('Credit Note Approval Form'!$C:$C,Dashboard!$A6,'Credit Note Approval Form'!$H:$H))*(1-SUMIF('Credit Note Approval Form'!$C:$C,Dashboard!$A6,'Credit Note Approval Form'!$S:$S))</f>
        <v>0</v>
      </c>
      <c r="G6" s="136">
        <f>(SUMIF('Credit Note Approval Form'!$C:$C,Dashboard!$A6,'Credit Note Approval Form'!$J:$J)+SUMIF('Credit Note Approval Form'!$C:$C,Dashboard!$A6,'Credit Note Approval Form'!$M:$M))*(1-SUMIF('Credit Note Approval Form'!$C:$C,Dashboard!$A6,'Credit Note Approval Form'!$S:$S))</f>
        <v>0</v>
      </c>
      <c r="H6" s="136">
        <f>(SUMIF('Credit Note Approval Form'!$C:$C,Dashboard!$A6,'Credit Note Approval Form'!$P:$P))*(1-SUMIF('Credit Note Approval Form'!$C:$C,Dashboard!$A6,'Credit Note Approval Form'!$S:$S))</f>
        <v>0</v>
      </c>
      <c r="I6" s="136">
        <f>(SUMIF('Credit Note Approval Form'!$C:$C,Dashboard!$A6,'Credit Note Approval Form'!$O:$O))*(1-SUMIF('Credit Note Approval Form'!$C:$C,Dashboard!$A6,'Credit Note Approval Form'!$S:$S))</f>
        <v>0</v>
      </c>
      <c r="K6" s="136">
        <f t="shared" si="0"/>
        <v>0</v>
      </c>
    </row>
    <row r="7" spans="1:13" x14ac:dyDescent="0.25">
      <c r="A7" t="s">
        <v>485</v>
      </c>
      <c r="B7" t="s">
        <v>415</v>
      </c>
      <c r="C7" t="s">
        <v>506</v>
      </c>
      <c r="D7" s="136">
        <f>(SUMIF('Credit Note Approval Form'!$C:$C,Dashboard!$A7,'Credit Note Approval Form'!$F:$F))*(1-SUMIF('Credit Note Approval Form'!$C:$C,Dashboard!$A7,'Credit Note Approval Form'!$S:$S))</f>
        <v>713086.12103092775</v>
      </c>
      <c r="E7" s="136">
        <f>(SUMIF('Credit Note Approval Form'!$C:$C,Dashboard!$A7,'Credit Note Approval Form'!$I:$I))*(1-SUMIF('Credit Note Approval Form'!$C:$C,Dashboard!$A7,'Credit Note Approval Form'!$S:$S))</f>
        <v>71853.832760398218</v>
      </c>
      <c r="F7" s="136">
        <f>(SUMIF('Credit Note Approval Form'!$C:$C,Dashboard!$A7,'Credit Note Approval Form'!$H:$H))*(1-SUMIF('Credit Note Approval Form'!$C:$C,Dashboard!$A7,'Credit Note Approval Form'!$S:$S))</f>
        <v>41523.595000000001</v>
      </c>
      <c r="G7" s="136">
        <f>(SUMIF('Credit Note Approval Form'!$C:$C,Dashboard!$A7,'Credit Note Approval Form'!$J:$J)+SUMIF('Credit Note Approval Form'!$C:$C,Dashboard!$A7,'Credit Note Approval Form'!$M:$M))*(1-SUMIF('Credit Note Approval Form'!$C:$C,Dashboard!$A7,'Credit Note Approval Form'!$S:$S))</f>
        <v>93960.342300000004</v>
      </c>
      <c r="H7" s="136">
        <f>(SUMIF('Credit Note Approval Form'!$C:$C,Dashboard!$A7,'Credit Note Approval Form'!$P:$P))*(1-SUMIF('Credit Note Approval Form'!$C:$C,Dashboard!$A7,'Credit Note Approval Form'!$S:$S))</f>
        <v>105296.18548714111</v>
      </c>
      <c r="I7" s="136">
        <f>(SUMIF('Credit Note Approval Form'!$C:$C,Dashboard!$A7,'Credit Note Approval Form'!$O:$O))*(1-SUMIF('Credit Note Approval Form'!$C:$C,Dashboard!$A7,'Credit Note Approval Form'!$S:$S))</f>
        <v>1996.8959999999997</v>
      </c>
      <c r="K7" s="136">
        <f t="shared" si="0"/>
        <v>1027716.972578467</v>
      </c>
    </row>
    <row r="8" spans="1:13" x14ac:dyDescent="0.25">
      <c r="A8" t="s">
        <v>450</v>
      </c>
      <c r="B8" t="s">
        <v>87</v>
      </c>
      <c r="C8" t="s">
        <v>506</v>
      </c>
      <c r="D8" s="136">
        <f>(SUMIF('Credit Note Approval Form'!$C:$C,Dashboard!$A8,'Credit Note Approval Form'!$F:$F))*(1-SUMIF('Credit Note Approval Form'!$C:$C,Dashboard!$A8,'Credit Note Approval Form'!$S:$S))</f>
        <v>0</v>
      </c>
      <c r="E8" s="136">
        <f>(SUMIF('Credit Note Approval Form'!$C:$C,Dashboard!$A8,'Credit Note Approval Form'!$I:$I))*(1-SUMIF('Credit Note Approval Form'!$C:$C,Dashboard!$A8,'Credit Note Approval Form'!$S:$S))</f>
        <v>0</v>
      </c>
      <c r="F8" s="136">
        <f>(SUMIF('Credit Note Approval Form'!$C:$C,Dashboard!$A8,'Credit Note Approval Form'!$H:$H))*(1-SUMIF('Credit Note Approval Form'!$C:$C,Dashboard!$A8,'Credit Note Approval Form'!$S:$S))</f>
        <v>0</v>
      </c>
      <c r="G8" s="136">
        <f>(SUMIF('Credit Note Approval Form'!$C:$C,Dashboard!$A8,'Credit Note Approval Form'!$J:$J)+SUMIF('Credit Note Approval Form'!$C:$C,Dashboard!$A8,'Credit Note Approval Form'!$M:$M))*(1-SUMIF('Credit Note Approval Form'!$C:$C,Dashboard!$A8,'Credit Note Approval Form'!$S:$S))</f>
        <v>0</v>
      </c>
      <c r="H8" s="136">
        <f>(SUMIF('Credit Note Approval Form'!$C:$C,Dashboard!$A8,'Credit Note Approval Form'!$P:$P))*(1-SUMIF('Credit Note Approval Form'!$C:$C,Dashboard!$A8,'Credit Note Approval Form'!$S:$S))</f>
        <v>0</v>
      </c>
      <c r="I8" s="136">
        <f>(SUMIF('Credit Note Approval Form'!$C:$C,Dashboard!$A8,'Credit Note Approval Form'!$O:$O))*(1-SUMIF('Credit Note Approval Form'!$C:$C,Dashboard!$A8,'Credit Note Approval Form'!$S:$S))</f>
        <v>0</v>
      </c>
      <c r="K8" s="136">
        <f t="shared" si="0"/>
        <v>0</v>
      </c>
    </row>
    <row r="9" spans="1:13" x14ac:dyDescent="0.25">
      <c r="A9" t="s">
        <v>467</v>
      </c>
      <c r="B9" t="s">
        <v>93</v>
      </c>
      <c r="C9" t="s">
        <v>506</v>
      </c>
      <c r="D9" s="136">
        <f>(SUMIF('Credit Note Approval Form'!$C:$C,Dashboard!$A9,'Credit Note Approval Form'!$F:$F))*(1-SUMIF('Credit Note Approval Form'!$C:$C,Dashboard!$A9,'Credit Note Approval Form'!$S:$S))</f>
        <v>596215.19892443798</v>
      </c>
      <c r="E9" s="136">
        <f>(SUMIF('Credit Note Approval Form'!$C:$C,Dashboard!$A9,'Credit Note Approval Form'!$I:$I))*(1-SUMIF('Credit Note Approval Form'!$C:$C,Dashboard!$A9,'Credit Note Approval Form'!$S:$S))</f>
        <v>174572.72119100718</v>
      </c>
      <c r="F9" s="136">
        <f>(SUMIF('Credit Note Approval Form'!$C:$C,Dashboard!$A9,'Credit Note Approval Form'!$H:$H))*(1-SUMIF('Credit Note Approval Form'!$C:$C,Dashboard!$A9,'Credit Note Approval Form'!$S:$S))</f>
        <v>71266.077000000019</v>
      </c>
      <c r="G9" s="136">
        <f>(SUMIF('Credit Note Approval Form'!$C:$C,Dashboard!$A9,'Credit Note Approval Form'!$J:$J)+SUMIF('Credit Note Approval Form'!$C:$C,Dashboard!$A9,'Credit Note Approval Form'!$M:$M))*(1-SUMIF('Credit Note Approval Form'!$C:$C,Dashboard!$A9,'Credit Note Approval Form'!$S:$S))</f>
        <v>1081675.0935222355</v>
      </c>
      <c r="H9" s="136">
        <f>(SUMIF('Credit Note Approval Form'!$C:$C,Dashboard!$A9,'Credit Note Approval Form'!$P:$P))*(1-SUMIF('Credit Note Approval Form'!$C:$C,Dashboard!$A9,'Credit Note Approval Form'!$S:$S))</f>
        <v>41915.590963738447</v>
      </c>
      <c r="I9" s="136">
        <f>(SUMIF('Credit Note Approval Form'!$C:$C,Dashboard!$A9,'Credit Note Approval Form'!$O:$O))*(1-SUMIF('Credit Note Approval Form'!$C:$C,Dashboard!$A9,'Credit Note Approval Form'!$S:$S))</f>
        <v>29743.174897727695</v>
      </c>
      <c r="K9" s="136">
        <f t="shared" si="0"/>
        <v>1995387.8564991469</v>
      </c>
    </row>
    <row r="10" spans="1:13" x14ac:dyDescent="0.25">
      <c r="A10" t="s">
        <v>444</v>
      </c>
      <c r="B10" t="s">
        <v>83</v>
      </c>
      <c r="C10" t="s">
        <v>506</v>
      </c>
      <c r="D10" s="136">
        <f>(SUMIF('Credit Note Approval Form'!$C:$C,Dashboard!$A10,'Credit Note Approval Form'!$F:$F))*(1-SUMIF('Credit Note Approval Form'!$C:$C,Dashboard!$A10,'Credit Note Approval Form'!$S:$S))</f>
        <v>1016803.8129654001</v>
      </c>
      <c r="E10" s="136">
        <f>(SUMIF('Credit Note Approval Form'!$C:$C,Dashboard!$A10,'Credit Note Approval Form'!$I:$I))*(1-SUMIF('Credit Note Approval Form'!$C:$C,Dashboard!$A10,'Credit Note Approval Form'!$S:$S))</f>
        <v>65320.530123384451</v>
      </c>
      <c r="F10" s="136">
        <f>(SUMIF('Credit Note Approval Form'!$C:$C,Dashboard!$A10,'Credit Note Approval Form'!$H:$H))*(1-SUMIF('Credit Note Approval Form'!$C:$C,Dashboard!$A10,'Credit Note Approval Form'!$S:$S))</f>
        <v>24013.822886061189</v>
      </c>
      <c r="G10" s="136">
        <f>(SUMIF('Credit Note Approval Form'!$C:$C,Dashboard!$A10,'Credit Note Approval Form'!$J:$J)+SUMIF('Credit Note Approval Form'!$C:$C,Dashboard!$A10,'Credit Note Approval Form'!$M:$M))*(1-SUMIF('Credit Note Approval Form'!$C:$C,Dashboard!$A10,'Credit Note Approval Form'!$S:$S))</f>
        <v>346741.47541347094</v>
      </c>
      <c r="H10" s="136">
        <f>(SUMIF('Credit Note Approval Form'!$C:$C,Dashboard!$A10,'Credit Note Approval Form'!$P:$P))*(1-SUMIF('Credit Note Approval Form'!$C:$C,Dashboard!$A10,'Credit Note Approval Form'!$S:$S))</f>
        <v>13599.158043107847</v>
      </c>
      <c r="I10" s="136">
        <f>(SUMIF('Credit Note Approval Form'!$C:$C,Dashboard!$A10,'Credit Note Approval Form'!$O:$O))*(1-SUMIF('Credit Note Approval Form'!$C:$C,Dashboard!$A10,'Credit Note Approval Form'!$S:$S))</f>
        <v>6395.8035900779432</v>
      </c>
      <c r="K10" s="136">
        <f t="shared" si="0"/>
        <v>1472874.6030215025</v>
      </c>
    </row>
    <row r="11" spans="1:13" x14ac:dyDescent="0.25">
      <c r="A11" t="s">
        <v>486</v>
      </c>
      <c r="B11" t="s">
        <v>108</v>
      </c>
      <c r="C11" t="s">
        <v>506</v>
      </c>
      <c r="D11" s="136">
        <f>(SUMIF('Credit Note Approval Form'!$C:$C,Dashboard!$A11,'Credit Note Approval Form'!$F:$F))*(1-SUMIF('Credit Note Approval Form'!$C:$C,Dashboard!$A11,'Credit Note Approval Form'!$S:$S))</f>
        <v>2193819.5686938935</v>
      </c>
      <c r="E11" s="136">
        <f>(SUMIF('Credit Note Approval Form'!$C:$C,Dashboard!$A11,'Credit Note Approval Form'!$I:$I))*(1-SUMIF('Credit Note Approval Form'!$C:$C,Dashboard!$A11,'Credit Note Approval Form'!$S:$S))</f>
        <v>17815.826835045547</v>
      </c>
      <c r="F11" s="136">
        <f>(SUMIF('Credit Note Approval Form'!$C:$C,Dashboard!$A11,'Credit Note Approval Form'!$H:$H))*(1-SUMIF('Credit Note Approval Form'!$C:$C,Dashboard!$A11,'Credit Note Approval Form'!$S:$S))</f>
        <v>59400.747746554283</v>
      </c>
      <c r="G11" s="136">
        <f>(SUMIF('Credit Note Approval Form'!$C:$C,Dashboard!$A11,'Credit Note Approval Form'!$J:$J)+SUMIF('Credit Note Approval Form'!$C:$C,Dashboard!$A11,'Credit Note Approval Form'!$M:$M))*(1-SUMIF('Credit Note Approval Form'!$C:$C,Dashboard!$A11,'Credit Note Approval Form'!$S:$S))</f>
        <v>219514.56280240088</v>
      </c>
      <c r="H11" s="136">
        <f>(SUMIF('Credit Note Approval Form'!$C:$C,Dashboard!$A11,'Credit Note Approval Form'!$P:$P))*(1-SUMIF('Credit Note Approval Form'!$C:$C,Dashboard!$A11,'Credit Note Approval Form'!$S:$S))</f>
        <v>0</v>
      </c>
      <c r="I11" s="136">
        <f>(SUMIF('Credit Note Approval Form'!$C:$C,Dashboard!$A11,'Credit Note Approval Form'!$O:$O))*(1-SUMIF('Credit Note Approval Form'!$C:$C,Dashboard!$A11,'Credit Note Approval Form'!$S:$S))</f>
        <v>0</v>
      </c>
      <c r="K11" s="136">
        <f t="shared" si="0"/>
        <v>2490550.7060778942</v>
      </c>
    </row>
    <row r="12" spans="1:13" x14ac:dyDescent="0.25">
      <c r="A12" t="s">
        <v>491</v>
      </c>
      <c r="B12" t="s">
        <v>117</v>
      </c>
      <c r="C12" t="s">
        <v>506</v>
      </c>
      <c r="D12" s="136">
        <f>(SUMIF('Credit Note Approval Form'!$C:$C,Dashboard!$A12,'Credit Note Approval Form'!$F:$F))*(1-SUMIF('Credit Note Approval Form'!$C:$C,Dashboard!$A12,'Credit Note Approval Form'!$S:$S))</f>
        <v>0</v>
      </c>
      <c r="E12" s="136">
        <f>(SUMIF('Credit Note Approval Form'!$C:$C,Dashboard!$A12,'Credit Note Approval Form'!$I:$I))*(1-SUMIF('Credit Note Approval Form'!$C:$C,Dashboard!$A12,'Credit Note Approval Form'!$S:$S))</f>
        <v>0</v>
      </c>
      <c r="F12" s="136">
        <f>(SUMIF('Credit Note Approval Form'!$C:$C,Dashboard!$A12,'Credit Note Approval Form'!$H:$H))*(1-SUMIF('Credit Note Approval Form'!$C:$C,Dashboard!$A12,'Credit Note Approval Form'!$S:$S))</f>
        <v>25539.243647962059</v>
      </c>
      <c r="G12" s="136">
        <f>(SUMIF('Credit Note Approval Form'!$C:$C,Dashboard!$A12,'Credit Note Approval Form'!$J:$J)+SUMIF('Credit Note Approval Form'!$C:$C,Dashboard!$A12,'Credit Note Approval Form'!$M:$M))*(1-SUMIF('Credit Note Approval Form'!$C:$C,Dashboard!$A12,'Credit Note Approval Form'!$S:$S))</f>
        <v>0</v>
      </c>
      <c r="H12" s="136">
        <f>(SUMIF('Credit Note Approval Form'!$C:$C,Dashboard!$A12,'Credit Note Approval Form'!$P:$P))*(1-SUMIF('Credit Note Approval Form'!$C:$C,Dashboard!$A12,'Credit Note Approval Form'!$S:$S))</f>
        <v>0</v>
      </c>
      <c r="I12" s="136">
        <f>(SUMIF('Credit Note Approval Form'!$C:$C,Dashboard!$A12,'Credit Note Approval Form'!$O:$O))*(1-SUMIF('Credit Note Approval Form'!$C:$C,Dashboard!$A12,'Credit Note Approval Form'!$S:$S))</f>
        <v>0</v>
      </c>
      <c r="K12" s="136">
        <f t="shared" si="0"/>
        <v>25539.243647962059</v>
      </c>
    </row>
    <row r="13" spans="1:13" x14ac:dyDescent="0.25">
      <c r="A13" t="s">
        <v>488</v>
      </c>
      <c r="B13" t="s">
        <v>113</v>
      </c>
      <c r="C13" t="s">
        <v>506</v>
      </c>
      <c r="D13" s="136">
        <f>(SUMIF('Credit Note Approval Form'!$C:$C,Dashboard!$A13,'Credit Note Approval Form'!$F:$F))*(1-SUMIF('Credit Note Approval Form'!$C:$C,Dashboard!$A13,'Credit Note Approval Form'!$S:$S))</f>
        <v>4149132.0907451771</v>
      </c>
      <c r="E13" s="136">
        <f>(SUMIF('Credit Note Approval Form'!$C:$C,Dashboard!$A13,'Credit Note Approval Form'!$I:$I))*(1-SUMIF('Credit Note Approval Form'!$C:$C,Dashboard!$A13,'Credit Note Approval Form'!$S:$S))</f>
        <v>29416.563792048935</v>
      </c>
      <c r="F13" s="136">
        <f>(SUMIF('Credit Note Approval Form'!$C:$C,Dashboard!$A13,'Credit Note Approval Form'!$H:$H))*(1-SUMIF('Credit Note Approval Form'!$C:$C,Dashboard!$A13,'Credit Note Approval Form'!$S:$S))</f>
        <v>24309.021907566545</v>
      </c>
      <c r="G13" s="136">
        <f>(SUMIF('Credit Note Approval Form'!$C:$C,Dashboard!$A13,'Credit Note Approval Form'!$J:$J)+SUMIF('Credit Note Approval Form'!$C:$C,Dashboard!$A13,'Credit Note Approval Form'!$M:$M))*(1-SUMIF('Credit Note Approval Form'!$C:$C,Dashboard!$A13,'Credit Note Approval Form'!$S:$S))</f>
        <v>127403.26124798079</v>
      </c>
      <c r="H13" s="136">
        <f>(SUMIF('Credit Note Approval Form'!$C:$C,Dashboard!$A13,'Credit Note Approval Form'!$P:$P))*(1-SUMIF('Credit Note Approval Form'!$C:$C,Dashboard!$A13,'Credit Note Approval Form'!$S:$S))</f>
        <v>8806.2131367905422</v>
      </c>
      <c r="I13" s="136">
        <f>(SUMIF('Credit Note Approval Form'!$C:$C,Dashboard!$A13,'Credit Note Approval Form'!$O:$O))*(1-SUMIF('Credit Note Approval Form'!$C:$C,Dashboard!$A13,'Credit Note Approval Form'!$S:$S))</f>
        <v>4618.9225133589662</v>
      </c>
      <c r="K13" s="136">
        <f t="shared" si="0"/>
        <v>4343686.0733429221</v>
      </c>
    </row>
    <row r="14" spans="1:13" x14ac:dyDescent="0.25">
      <c r="A14">
        <v>2300004649</v>
      </c>
      <c r="B14" t="s">
        <v>518</v>
      </c>
      <c r="C14" t="s">
        <v>506</v>
      </c>
      <c r="D14" s="136">
        <f>(SUMIF('Credit Note Approval Form'!$C:$C,Dashboard!$A14,'Credit Note Approval Form'!$F:$F))*(1-SUMIF('Credit Note Approval Form'!$C:$C,Dashboard!$A14,'Credit Note Approval Form'!$S:$S))</f>
        <v>928435.78604781616</v>
      </c>
      <c r="E14" s="136">
        <f>(SUMIF('Credit Note Approval Form'!$C:$C,Dashboard!$A14,'Credit Note Approval Form'!$I:$I))*(1-SUMIF('Credit Note Approval Form'!$C:$C,Dashboard!$A14,'Credit Note Approval Form'!$S:$S))</f>
        <v>21966.254342740689</v>
      </c>
      <c r="F14" s="136">
        <f>(SUMIF('Credit Note Approval Form'!$C:$C,Dashboard!$A14,'Credit Note Approval Form'!$H:$H))*(1-SUMIF('Credit Note Approval Form'!$C:$C,Dashboard!$A14,'Credit Note Approval Form'!$S:$S))</f>
        <v>24813.89074284349</v>
      </c>
      <c r="G14" s="136">
        <f>(SUMIF('Credit Note Approval Form'!$C:$C,Dashboard!$A14,'Credit Note Approval Form'!$J:$J)+SUMIF('Credit Note Approval Form'!$C:$C,Dashboard!$A14,'Credit Note Approval Form'!$M:$M))*(1-SUMIF('Credit Note Approval Form'!$C:$C,Dashboard!$A14,'Credit Note Approval Form'!$S:$S))</f>
        <v>109602.58891222352</v>
      </c>
      <c r="H14" s="136">
        <f>(SUMIF('Credit Note Approval Form'!$C:$C,Dashboard!$A14,'Credit Note Approval Form'!$P:$P))*(1-SUMIF('Credit Note Approval Form'!$C:$C,Dashboard!$A14,'Credit Note Approval Form'!$S:$S))</f>
        <v>0</v>
      </c>
      <c r="I14" s="136">
        <f>(SUMIF('Credit Note Approval Form'!$C:$C,Dashboard!$A14,'Credit Note Approval Form'!$O:$O))*(1-SUMIF('Credit Note Approval Form'!$C:$C,Dashboard!$A14,'Credit Note Approval Form'!$S:$S))</f>
        <v>3712.7447485712828</v>
      </c>
      <c r="K14" s="136">
        <f t="shared" si="0"/>
        <v>1088531.2647941951</v>
      </c>
      <c r="M14" t="s">
        <v>519</v>
      </c>
    </row>
    <row r="15" spans="1:13" x14ac:dyDescent="0.25">
      <c r="A15">
        <v>1300006461</v>
      </c>
      <c r="B15" t="s">
        <v>517</v>
      </c>
      <c r="C15" t="s">
        <v>506</v>
      </c>
      <c r="D15" s="136">
        <f>(SUMIF('Credit Note Approval Form'!$C:$C,Dashboard!$A15,'Credit Note Approval Form'!$F:$F))*(1-SUMIF('Credit Note Approval Form'!$C:$C,Dashboard!$A15,'Credit Note Approval Form'!$S:$S))</f>
        <v>1753369.6435398839</v>
      </c>
      <c r="E15" s="136">
        <f>(SUMIF('Credit Note Approval Form'!$C:$C,Dashboard!$A15,'Credit Note Approval Form'!$I:$I))*(1-SUMIF('Credit Note Approval Form'!$C:$C,Dashboard!$A15,'Credit Note Approval Form'!$S:$S))</f>
        <v>53873.179771921852</v>
      </c>
      <c r="F15" s="136">
        <f>(SUMIF('Credit Note Approval Form'!$C:$C,Dashboard!$A15,'Credit Note Approval Form'!$H:$H))*(1-SUMIF('Credit Note Approval Form'!$C:$C,Dashboard!$A15,'Credit Note Approval Form'!$S:$S))</f>
        <v>37235.079965176206</v>
      </c>
      <c r="G15" s="136">
        <f>(SUMIF('Credit Note Approval Form'!$C:$C,Dashboard!$A15,'Credit Note Approval Form'!$J:$J)+SUMIF('Credit Note Approval Form'!$C:$C,Dashboard!$A15,'Credit Note Approval Form'!$M:$M))*(1-SUMIF('Credit Note Approval Form'!$C:$C,Dashboard!$A15,'Credit Note Approval Form'!$S:$S))</f>
        <v>216504.28599999999</v>
      </c>
      <c r="H15" s="136">
        <f>(SUMIF('Credit Note Approval Form'!$C:$C,Dashboard!$A15,'Credit Note Approval Form'!$P:$P))*(1-SUMIF('Credit Note Approval Form'!$C:$C,Dashboard!$A15,'Credit Note Approval Form'!$S:$S))</f>
        <v>7520.5349999999989</v>
      </c>
      <c r="I15" s="136">
        <f>(SUMIF('Credit Note Approval Form'!$C:$C,Dashboard!$A15,'Credit Note Approval Form'!$O:$O))*(1-SUMIF('Credit Note Approval Form'!$C:$C,Dashboard!$A15,'Credit Note Approval Form'!$S:$S))</f>
        <v>2313.3439999999996</v>
      </c>
      <c r="K15" s="136">
        <f t="shared" si="0"/>
        <v>2070816.0682769821</v>
      </c>
      <c r="M15" t="s">
        <v>519</v>
      </c>
    </row>
    <row r="16" spans="1:13" x14ac:dyDescent="0.25">
      <c r="A16" t="s">
        <v>493</v>
      </c>
      <c r="B16" t="s">
        <v>119</v>
      </c>
      <c r="C16" t="s">
        <v>506</v>
      </c>
      <c r="D16" s="136">
        <f>(SUMIF('Credit Note Approval Form'!$C:$C,Dashboard!$A16,'Credit Note Approval Form'!$F:$F))*(1-SUMIF('Credit Note Approval Form'!$C:$C,Dashboard!$A16,'Credit Note Approval Form'!$S:$S))</f>
        <v>2248334.0720820529</v>
      </c>
      <c r="E16" s="136">
        <f>(SUMIF('Credit Note Approval Form'!$C:$C,Dashboard!$A16,'Credit Note Approval Form'!$I:$I))*(1-SUMIF('Credit Note Approval Form'!$C:$C,Dashboard!$A16,'Credit Note Approval Form'!$S:$S))</f>
        <v>70440.49628055151</v>
      </c>
      <c r="F16" s="136">
        <f>(SUMIF('Credit Note Approval Form'!$C:$C,Dashboard!$A16,'Credit Note Approval Form'!$H:$H))*(1-SUMIF('Credit Note Approval Form'!$C:$C,Dashboard!$A16,'Credit Note Approval Form'!$S:$S))</f>
        <v>80209.79212941743</v>
      </c>
      <c r="G16" s="136">
        <f>(SUMIF('Credit Note Approval Form'!$C:$C,Dashboard!$A16,'Credit Note Approval Form'!$J:$J)+SUMIF('Credit Note Approval Form'!$C:$C,Dashboard!$A16,'Credit Note Approval Form'!$M:$M))*(1-SUMIF('Credit Note Approval Form'!$C:$C,Dashboard!$A16,'Credit Note Approval Form'!$S:$S))</f>
        <v>198970.06306925238</v>
      </c>
      <c r="H16" s="136">
        <f>(SUMIF('Credit Note Approval Form'!$C:$C,Dashboard!$A16,'Credit Note Approval Form'!$P:$P))*(1-SUMIF('Credit Note Approval Form'!$C:$C,Dashboard!$A16,'Credit Note Approval Form'!$S:$S))</f>
        <v>0</v>
      </c>
      <c r="I16" s="136">
        <f>(SUMIF('Credit Note Approval Form'!$C:$C,Dashboard!$A16,'Credit Note Approval Form'!$O:$O))*(1-SUMIF('Credit Note Approval Form'!$C:$C,Dashboard!$A16,'Credit Note Approval Form'!$S:$S))</f>
        <v>0</v>
      </c>
      <c r="K16" s="136">
        <f t="shared" si="0"/>
        <v>2597954.4235612741</v>
      </c>
    </row>
    <row r="17" spans="1:11" x14ac:dyDescent="0.25">
      <c r="A17" t="s">
        <v>445</v>
      </c>
      <c r="B17" t="s">
        <v>84</v>
      </c>
      <c r="C17" t="s">
        <v>506</v>
      </c>
      <c r="D17" s="136">
        <f>(SUMIF('Credit Note Approval Form'!$C:$C,Dashboard!$A17,'Credit Note Approval Form'!$F:$F))*(1-SUMIF('Credit Note Approval Form'!$C:$C,Dashboard!$A17,'Credit Note Approval Form'!$S:$S))</f>
        <v>6879772.6884345254</v>
      </c>
      <c r="E17" s="136">
        <f>(SUMIF('Credit Note Approval Form'!$C:$C,Dashboard!$A17,'Credit Note Approval Form'!$I:$I))*(1-SUMIF('Credit Note Approval Form'!$C:$C,Dashboard!$A17,'Credit Note Approval Form'!$S:$S))</f>
        <v>305922.57418783999</v>
      </c>
      <c r="F17" s="136">
        <f>(SUMIF('Credit Note Approval Form'!$C:$C,Dashboard!$A17,'Credit Note Approval Form'!$H:$H))*(1-SUMIF('Credit Note Approval Form'!$C:$C,Dashboard!$A17,'Credit Note Approval Form'!$S:$S))</f>
        <v>257956.57240046482</v>
      </c>
      <c r="G17" s="136">
        <f>(SUMIF('Credit Note Approval Form'!$C:$C,Dashboard!$A17,'Credit Note Approval Form'!$J:$J)+SUMIF('Credit Note Approval Form'!$C:$C,Dashboard!$A17,'Credit Note Approval Form'!$M:$M))*(1-SUMIF('Credit Note Approval Form'!$C:$C,Dashboard!$A17,'Credit Note Approval Form'!$S:$S))</f>
        <v>1812354.9706373001</v>
      </c>
      <c r="H17" s="136">
        <f>(SUMIF('Credit Note Approval Form'!$C:$C,Dashboard!$A17,'Credit Note Approval Form'!$P:$P))*(1-SUMIF('Credit Note Approval Form'!$C:$C,Dashboard!$A17,'Credit Note Approval Form'!$S:$S))</f>
        <v>45941.070384495826</v>
      </c>
      <c r="I17" s="136">
        <f>(SUMIF('Credit Note Approval Form'!$C:$C,Dashboard!$A17,'Credit Note Approval Form'!$O:$O))*(1-SUMIF('Credit Note Approval Form'!$C:$C,Dashboard!$A17,'Credit Note Approval Form'!$S:$S))</f>
        <v>6375.4432399787684</v>
      </c>
      <c r="K17" s="136">
        <f t="shared" si="0"/>
        <v>9308323.3192846049</v>
      </c>
    </row>
    <row r="18" spans="1:11" x14ac:dyDescent="0.25">
      <c r="A18" t="s">
        <v>464</v>
      </c>
      <c r="B18" t="s">
        <v>92</v>
      </c>
      <c r="C18" t="s">
        <v>506</v>
      </c>
      <c r="D18" s="136">
        <f>(SUMIF('Credit Note Approval Form'!$C:$C,Dashboard!$A18,'Credit Note Approval Form'!$F:$F))*(1-SUMIF('Credit Note Approval Form'!$C:$C,Dashboard!$A18,'Credit Note Approval Form'!$S:$S))</f>
        <v>706186.09055730444</v>
      </c>
      <c r="E18" s="136">
        <f>(SUMIF('Credit Note Approval Form'!$C:$C,Dashboard!$A18,'Credit Note Approval Form'!$I:$I))*(1-SUMIF('Credit Note Approval Form'!$C:$C,Dashboard!$A18,'Credit Note Approval Form'!$S:$S))</f>
        <v>17128.617838235299</v>
      </c>
      <c r="F18" s="136">
        <f>(SUMIF('Credit Note Approval Form'!$C:$C,Dashboard!$A18,'Credit Note Approval Form'!$H:$H))*(1-SUMIF('Credit Note Approval Form'!$C:$C,Dashboard!$A18,'Credit Note Approval Form'!$S:$S))</f>
        <v>101707.07738176211</v>
      </c>
      <c r="G18" s="136">
        <f>(SUMIF('Credit Note Approval Form'!$C:$C,Dashboard!$A18,'Credit Note Approval Form'!$J:$J)+SUMIF('Credit Note Approval Form'!$C:$C,Dashboard!$A18,'Credit Note Approval Form'!$M:$M))*(1-SUMIF('Credit Note Approval Form'!$C:$C,Dashboard!$A18,'Credit Note Approval Form'!$S:$S))</f>
        <v>858245.1563826924</v>
      </c>
      <c r="H18" s="136">
        <f>(SUMIF('Credit Note Approval Form'!$C:$C,Dashboard!$A18,'Credit Note Approval Form'!$P:$P))*(1-SUMIF('Credit Note Approval Form'!$C:$C,Dashboard!$A18,'Credit Note Approval Form'!$S:$S))</f>
        <v>64976.688000000002</v>
      </c>
      <c r="I18" s="136">
        <f>(SUMIF('Credit Note Approval Form'!$C:$C,Dashboard!$A18,'Credit Note Approval Form'!$O:$O))*(1-SUMIF('Credit Note Approval Form'!$C:$C,Dashboard!$A18,'Credit Note Approval Form'!$S:$S))</f>
        <v>2856.6367020141292</v>
      </c>
      <c r="K18" s="136">
        <f t="shared" si="0"/>
        <v>1751100.2668620085</v>
      </c>
    </row>
    <row r="19" spans="1:11" x14ac:dyDescent="0.25">
      <c r="A19" t="s">
        <v>507</v>
      </c>
      <c r="B19" t="s">
        <v>109</v>
      </c>
      <c r="C19" t="s">
        <v>506</v>
      </c>
      <c r="D19" s="136">
        <f>(SUMIF('Credit Note Approval Form'!$C:$C,Dashboard!$A19,'Credit Note Approval Form'!$F:$F))*(1-SUMIF('Credit Note Approval Form'!$C:$C,Dashboard!$A19,'Credit Note Approval Form'!$S:$S))</f>
        <v>0</v>
      </c>
      <c r="E19" s="136">
        <f>(SUMIF('Credit Note Approval Form'!$C:$C,Dashboard!$A19,'Credit Note Approval Form'!$I:$I))*(1-SUMIF('Credit Note Approval Form'!$C:$C,Dashboard!$A19,'Credit Note Approval Form'!$S:$S))</f>
        <v>0</v>
      </c>
      <c r="F19" s="136">
        <f>(SUMIF('Credit Note Approval Form'!$C:$C,Dashboard!$A19,'Credit Note Approval Form'!$H:$H))*(1-SUMIF('Credit Note Approval Form'!$C:$C,Dashboard!$A19,'Credit Note Approval Form'!$S:$S))</f>
        <v>0</v>
      </c>
      <c r="G19" s="136">
        <f>(SUMIF('Credit Note Approval Form'!$C:$C,Dashboard!$A19,'Credit Note Approval Form'!$J:$J)+SUMIF('Credit Note Approval Form'!$C:$C,Dashboard!$A19,'Credit Note Approval Form'!$M:$M))*(1-SUMIF('Credit Note Approval Form'!$C:$C,Dashboard!$A19,'Credit Note Approval Form'!$S:$S))</f>
        <v>0</v>
      </c>
      <c r="H19" s="136">
        <f>(SUMIF('Credit Note Approval Form'!$C:$C,Dashboard!$A19,'Credit Note Approval Form'!$P:$P))*(1-SUMIF('Credit Note Approval Form'!$C:$C,Dashboard!$A19,'Credit Note Approval Form'!$S:$S))</f>
        <v>0</v>
      </c>
      <c r="I19" s="136">
        <f>(SUMIF('Credit Note Approval Form'!$C:$C,Dashboard!$A19,'Credit Note Approval Form'!$O:$O))*(1-SUMIF('Credit Note Approval Form'!$C:$C,Dashboard!$A19,'Credit Note Approval Form'!$S:$S))</f>
        <v>0</v>
      </c>
      <c r="K19" s="136">
        <f t="shared" si="0"/>
        <v>0</v>
      </c>
    </row>
    <row r="20" spans="1:11" x14ac:dyDescent="0.25">
      <c r="A20" t="s">
        <v>470</v>
      </c>
      <c r="B20" t="s">
        <v>102</v>
      </c>
      <c r="C20" t="s">
        <v>506</v>
      </c>
      <c r="D20" s="136">
        <f>(SUMIF('Credit Note Approval Form'!$C:$C,Dashboard!$A20,'Credit Note Approval Form'!$F:$F))*(1-SUMIF('Credit Note Approval Form'!$C:$C,Dashboard!$A20,'Credit Note Approval Form'!$S:$S))</f>
        <v>944242.05206896551</v>
      </c>
      <c r="E20" s="136">
        <f>(SUMIF('Credit Note Approval Form'!$C:$C,Dashboard!$A20,'Credit Note Approval Form'!$I:$I))*(1-SUMIF('Credit Note Approval Form'!$C:$C,Dashboard!$A20,'Credit Note Approval Form'!$S:$S))</f>
        <v>7894.11328125</v>
      </c>
      <c r="F20" s="136">
        <f>(SUMIF('Credit Note Approval Form'!$C:$C,Dashboard!$A20,'Credit Note Approval Form'!$H:$H))*(1-SUMIF('Credit Note Approval Form'!$C:$C,Dashboard!$A20,'Credit Note Approval Form'!$S:$S))</f>
        <v>0</v>
      </c>
      <c r="G20" s="136">
        <f>(SUMIF('Credit Note Approval Form'!$C:$C,Dashboard!$A20,'Credit Note Approval Form'!$J:$J)+SUMIF('Credit Note Approval Form'!$C:$C,Dashboard!$A20,'Credit Note Approval Form'!$M:$M))*(1-SUMIF('Credit Note Approval Form'!$C:$C,Dashboard!$A20,'Credit Note Approval Form'!$S:$S))</f>
        <v>166154.2450103029</v>
      </c>
      <c r="H20" s="136">
        <f>(SUMIF('Credit Note Approval Form'!$C:$C,Dashboard!$A20,'Credit Note Approval Form'!$P:$P))*(1-SUMIF('Credit Note Approval Form'!$C:$C,Dashboard!$A20,'Credit Note Approval Form'!$S:$S))</f>
        <v>8438.7128314702622</v>
      </c>
      <c r="I20" s="136">
        <f>(SUMIF('Credit Note Approval Form'!$C:$C,Dashboard!$A20,'Credit Note Approval Form'!$O:$O))*(1-SUMIF('Credit Note Approval Form'!$C:$C,Dashboard!$A20,'Credit Note Approval Form'!$S:$S))</f>
        <v>0</v>
      </c>
      <c r="K20" s="136">
        <f t="shared" si="0"/>
        <v>1126729.1231919886</v>
      </c>
    </row>
    <row r="21" spans="1:11" x14ac:dyDescent="0.25">
      <c r="A21" t="s">
        <v>477</v>
      </c>
      <c r="B21" t="s">
        <v>508</v>
      </c>
      <c r="C21" t="s">
        <v>506</v>
      </c>
      <c r="D21" s="136">
        <f>(SUMIF('Credit Note Approval Form'!$C:$C,Dashboard!$A21,'Credit Note Approval Form'!$F:$F))*(1-SUMIF('Credit Note Approval Form'!$C:$C,Dashboard!$A21,'Credit Note Approval Form'!$S:$S))</f>
        <v>0</v>
      </c>
      <c r="E21" s="136">
        <f>(SUMIF('Credit Note Approval Form'!$C:$C,Dashboard!$A21,'Credit Note Approval Form'!$I:$I))*(1-SUMIF('Credit Note Approval Form'!$C:$C,Dashboard!$A21,'Credit Note Approval Form'!$S:$S))</f>
        <v>138652.20973579682</v>
      </c>
      <c r="F21" s="136">
        <f>(SUMIF('Credit Note Approval Form'!$C:$C,Dashboard!$A21,'Credit Note Approval Form'!$H:$H))*(1-SUMIF('Credit Note Approval Form'!$C:$C,Dashboard!$A21,'Credit Note Approval Form'!$S:$S))</f>
        <v>0</v>
      </c>
      <c r="G21" s="136">
        <f>(SUMIF('Credit Note Approval Form'!$C:$C,Dashboard!$A21,'Credit Note Approval Form'!$J:$J)+SUMIF('Credit Note Approval Form'!$C:$C,Dashboard!$A21,'Credit Note Approval Form'!$M:$M))*(1-SUMIF('Credit Note Approval Form'!$C:$C,Dashboard!$A21,'Credit Note Approval Form'!$S:$S))</f>
        <v>384186.18195000006</v>
      </c>
      <c r="H21" s="136">
        <f>(SUMIF('Credit Note Approval Form'!$C:$C,Dashboard!$A21,'Credit Note Approval Form'!$P:$P))*(1-SUMIF('Credit Note Approval Form'!$C:$C,Dashboard!$A21,'Credit Note Approval Form'!$S:$S))</f>
        <v>0</v>
      </c>
      <c r="I21" s="136">
        <f>(SUMIF('Credit Note Approval Form'!$C:$C,Dashboard!$A21,'Credit Note Approval Form'!$O:$O))*(1-SUMIF('Credit Note Approval Form'!$C:$C,Dashboard!$A21,'Credit Note Approval Form'!$S:$S))</f>
        <v>0</v>
      </c>
      <c r="K21" s="136">
        <f t="shared" si="0"/>
        <v>522838.3916857969</v>
      </c>
    </row>
    <row r="22" spans="1:11" x14ac:dyDescent="0.25">
      <c r="A22" t="s">
        <v>489</v>
      </c>
      <c r="B22" t="s">
        <v>115</v>
      </c>
      <c r="C22" t="s">
        <v>506</v>
      </c>
      <c r="D22" s="136">
        <f>(SUMIF('Credit Note Approval Form'!$C:$C,Dashboard!$A22,'Credit Note Approval Form'!$F:$F))*(1-SUMIF('Credit Note Approval Form'!$C:$C,Dashboard!$A22,'Credit Note Approval Form'!$S:$S))</f>
        <v>0</v>
      </c>
      <c r="E22" s="136">
        <f>(SUMIF('Credit Note Approval Form'!$C:$C,Dashboard!$A22,'Credit Note Approval Form'!$I:$I))*(1-SUMIF('Credit Note Approval Form'!$C:$C,Dashboard!$A22,'Credit Note Approval Form'!$S:$S))</f>
        <v>56303.143453703749</v>
      </c>
      <c r="F22" s="136">
        <f>(SUMIF('Credit Note Approval Form'!$C:$C,Dashboard!$A22,'Credit Note Approval Form'!$H:$H))*(1-SUMIF('Credit Note Approval Form'!$C:$C,Dashboard!$A22,'Credit Note Approval Form'!$S:$S))</f>
        <v>48657.03299522349</v>
      </c>
      <c r="G22" s="136">
        <f>(SUMIF('Credit Note Approval Form'!$C:$C,Dashboard!$A22,'Credit Note Approval Form'!$J:$J)+SUMIF('Credit Note Approval Form'!$C:$C,Dashboard!$A22,'Credit Note Approval Form'!$M:$M))*(1-SUMIF('Credit Note Approval Form'!$C:$C,Dashboard!$A22,'Credit Note Approval Form'!$S:$S))</f>
        <v>0</v>
      </c>
      <c r="H22" s="136">
        <f>(SUMIF('Credit Note Approval Form'!$C:$C,Dashboard!$A22,'Credit Note Approval Form'!$P:$P))*(1-SUMIF('Credit Note Approval Form'!$C:$C,Dashboard!$A22,'Credit Note Approval Form'!$S:$S))</f>
        <v>18186.196246455511</v>
      </c>
      <c r="I22" s="136">
        <f>(SUMIF('Credit Note Approval Form'!$C:$C,Dashboard!$A22,'Credit Note Approval Form'!$O:$O))*(1-SUMIF('Credit Note Approval Form'!$C:$C,Dashboard!$A22,'Credit Note Approval Form'!$S:$S))</f>
        <v>0</v>
      </c>
      <c r="K22" s="136">
        <f t="shared" si="0"/>
        <v>123146.37269538274</v>
      </c>
    </row>
    <row r="23" spans="1:11" x14ac:dyDescent="0.25">
      <c r="A23" t="s">
        <v>459</v>
      </c>
      <c r="B23" t="s">
        <v>89</v>
      </c>
      <c r="C23" t="s">
        <v>506</v>
      </c>
      <c r="D23" s="136">
        <f>(SUMIF('Credit Note Approval Form'!$C:$C,Dashboard!$A23,'Credit Note Approval Form'!$F:$F))*(1-SUMIF('Credit Note Approval Form'!$C:$C,Dashboard!$A23,'Credit Note Approval Form'!$S:$S))</f>
        <v>1485922.4981180457</v>
      </c>
      <c r="E23" s="136">
        <f>(SUMIF('Credit Note Approval Form'!$C:$C,Dashboard!$A23,'Credit Note Approval Form'!$I:$I))*(1-SUMIF('Credit Note Approval Form'!$C:$C,Dashboard!$A23,'Credit Note Approval Form'!$S:$S))</f>
        <v>183577.52377520924</v>
      </c>
      <c r="F23" s="136">
        <f>(SUMIF('Credit Note Approval Form'!$C:$C,Dashboard!$A23,'Credit Note Approval Form'!$H:$H))*(1-SUMIF('Credit Note Approval Form'!$C:$C,Dashboard!$A23,'Credit Note Approval Form'!$S:$S))</f>
        <v>42489.26</v>
      </c>
      <c r="G23" s="136">
        <f>(SUMIF('Credit Note Approval Form'!$C:$C,Dashboard!$A23,'Credit Note Approval Form'!$J:$J)+SUMIF('Credit Note Approval Form'!$C:$C,Dashboard!$A23,'Credit Note Approval Form'!$M:$M))*(1-SUMIF('Credit Note Approval Form'!$C:$C,Dashboard!$A23,'Credit Note Approval Form'!$S:$S))</f>
        <v>177722.10398955175</v>
      </c>
      <c r="H23" s="136">
        <f>(SUMIF('Credit Note Approval Form'!$C:$C,Dashboard!$A23,'Credit Note Approval Form'!$P:$P))*(1-SUMIF('Credit Note Approval Form'!$C:$C,Dashboard!$A23,'Credit Note Approval Form'!$S:$S))</f>
        <v>21857.068528674969</v>
      </c>
      <c r="I23" s="136">
        <f>(SUMIF('Credit Note Approval Form'!$C:$C,Dashboard!$A23,'Credit Note Approval Form'!$O:$O))*(1-SUMIF('Credit Note Approval Form'!$C:$C,Dashboard!$A23,'Credit Note Approval Form'!$S:$S))</f>
        <v>0</v>
      </c>
      <c r="K23" s="136">
        <f t="shared" si="0"/>
        <v>1911568.4544114817</v>
      </c>
    </row>
    <row r="24" spans="1:11" x14ac:dyDescent="0.25">
      <c r="A24" t="s">
        <v>475</v>
      </c>
      <c r="B24" t="s">
        <v>476</v>
      </c>
      <c r="C24" t="s">
        <v>506</v>
      </c>
      <c r="D24" s="136">
        <f>(SUMIF('Credit Note Approval Form'!$C:$C,Dashboard!$A24,'Credit Note Approval Form'!$F:$F))*(1-SUMIF('Credit Note Approval Form'!$C:$C,Dashboard!$A24,'Credit Note Approval Form'!$S:$S))</f>
        <v>531504.97792922007</v>
      </c>
      <c r="E24" s="136">
        <f>(SUMIF('Credit Note Approval Form'!$C:$C,Dashboard!$A24,'Credit Note Approval Form'!$I:$I))*(1-SUMIF('Credit Note Approval Form'!$C:$C,Dashboard!$A24,'Credit Note Approval Form'!$S:$S))</f>
        <v>17152.64169230769</v>
      </c>
      <c r="F24" s="136">
        <f>(SUMIF('Credit Note Approval Form'!$C:$C,Dashboard!$A24,'Credit Note Approval Form'!$H:$H))*(1-SUMIF('Credit Note Approval Form'!$C:$C,Dashboard!$A24,'Credit Note Approval Form'!$S:$S))</f>
        <v>19545.059600000001</v>
      </c>
      <c r="G24" s="136">
        <f>(SUMIF('Credit Note Approval Form'!$C:$C,Dashboard!$A24,'Credit Note Approval Form'!$J:$J)+SUMIF('Credit Note Approval Form'!$C:$C,Dashboard!$A24,'Credit Note Approval Form'!$M:$M))*(1-SUMIF('Credit Note Approval Form'!$C:$C,Dashboard!$A24,'Credit Note Approval Form'!$S:$S))</f>
        <v>87860.457248607243</v>
      </c>
      <c r="H24" s="136">
        <f>(SUMIF('Credit Note Approval Form'!$C:$C,Dashboard!$A24,'Credit Note Approval Form'!$P:$P))*(1-SUMIF('Credit Note Approval Form'!$C:$C,Dashboard!$A24,'Credit Note Approval Form'!$S:$S))</f>
        <v>130406.07689999999</v>
      </c>
      <c r="I24" s="136">
        <f>(SUMIF('Credit Note Approval Form'!$C:$C,Dashboard!$A24,'Credit Note Approval Form'!$O:$O))*(1-SUMIF('Credit Note Approval Form'!$C:$C,Dashboard!$A24,'Credit Note Approval Form'!$S:$S))</f>
        <v>0</v>
      </c>
      <c r="K24" s="136">
        <f t="shared" si="0"/>
        <v>786469.21337013505</v>
      </c>
    </row>
    <row r="25" spans="1:11" x14ac:dyDescent="0.25">
      <c r="A25" t="s">
        <v>446</v>
      </c>
      <c r="B25" t="s">
        <v>447</v>
      </c>
      <c r="C25" t="s">
        <v>506</v>
      </c>
      <c r="D25" s="136">
        <f>(SUMIF('Credit Note Approval Form'!$C:$C,Dashboard!$A25,'Credit Note Approval Form'!$F:$F))*(1-SUMIF('Credit Note Approval Form'!$C:$C,Dashboard!$A25,'Credit Note Approval Form'!$S:$S))</f>
        <v>7927333.2130537434</v>
      </c>
      <c r="E25" s="136">
        <f>(SUMIF('Credit Note Approval Form'!$C:$C,Dashboard!$A25,'Credit Note Approval Form'!$I:$I))*(1-SUMIF('Credit Note Approval Form'!$C:$C,Dashboard!$A25,'Credit Note Approval Form'!$S:$S))</f>
        <v>425835.89738627296</v>
      </c>
      <c r="F25" s="136">
        <f>(SUMIF('Credit Note Approval Form'!$C:$C,Dashboard!$A25,'Credit Note Approval Form'!$H:$H))*(1-SUMIF('Credit Note Approval Form'!$C:$C,Dashboard!$A25,'Credit Note Approval Form'!$S:$S))</f>
        <v>311625.15111370326</v>
      </c>
      <c r="G25" s="136">
        <f>(SUMIF('Credit Note Approval Form'!$C:$C,Dashboard!$A25,'Credit Note Approval Form'!$J:$J)+SUMIF('Credit Note Approval Form'!$C:$C,Dashboard!$A25,'Credit Note Approval Form'!$M:$M))*(1-SUMIF('Credit Note Approval Form'!$C:$C,Dashboard!$A25,'Credit Note Approval Form'!$S:$S))</f>
        <v>2099358.7266744878</v>
      </c>
      <c r="H25" s="136">
        <f>(SUMIF('Credit Note Approval Form'!$C:$C,Dashboard!$A25,'Credit Note Approval Form'!$P:$P))*(1-SUMIF('Credit Note Approval Form'!$C:$C,Dashboard!$A25,'Credit Note Approval Form'!$S:$S))</f>
        <v>352396.86932905135</v>
      </c>
      <c r="I25" s="136">
        <f>(SUMIF('Credit Note Approval Form'!$C:$C,Dashboard!$A25,'Credit Note Approval Form'!$O:$O))*(1-SUMIF('Credit Note Approval Form'!$C:$C,Dashboard!$A25,'Credit Note Approval Form'!$S:$S))</f>
        <v>6932.9304716135839</v>
      </c>
      <c r="K25" s="136">
        <f t="shared" si="0"/>
        <v>11123482.788028874</v>
      </c>
    </row>
    <row r="26" spans="1:11" x14ac:dyDescent="0.25">
      <c r="A26" t="s">
        <v>465</v>
      </c>
      <c r="B26" t="s">
        <v>466</v>
      </c>
      <c r="C26" t="s">
        <v>506</v>
      </c>
      <c r="D26" s="136">
        <f>(SUMIF('Credit Note Approval Form'!$C:$C,Dashboard!$A26,'Credit Note Approval Form'!$F:$F))*(1-SUMIF('Credit Note Approval Form'!$C:$C,Dashboard!$A26,'Credit Note Approval Form'!$S:$S))</f>
        <v>4698809.9327564389</v>
      </c>
      <c r="E26" s="136">
        <f>(SUMIF('Credit Note Approval Form'!$C:$C,Dashboard!$A26,'Credit Note Approval Form'!$I:$I))*(1-SUMIF('Credit Note Approval Form'!$C:$C,Dashboard!$A26,'Credit Note Approval Form'!$S:$S))</f>
        <v>21273.730875000005</v>
      </c>
      <c r="F26" s="136">
        <f>(SUMIF('Credit Note Approval Form'!$C:$C,Dashboard!$A26,'Credit Note Approval Form'!$H:$H))*(1-SUMIF('Credit Note Approval Form'!$C:$C,Dashboard!$A26,'Credit Note Approval Form'!$S:$S))</f>
        <v>38549.346799999999</v>
      </c>
      <c r="G26" s="136">
        <f>(SUMIF('Credit Note Approval Form'!$C:$C,Dashboard!$A26,'Credit Note Approval Form'!$J:$J)+SUMIF('Credit Note Approval Form'!$C:$C,Dashboard!$A26,'Credit Note Approval Form'!$M:$M))*(1-SUMIF('Credit Note Approval Form'!$C:$C,Dashboard!$A26,'Credit Note Approval Form'!$S:$S))</f>
        <v>1007150.480514706</v>
      </c>
      <c r="H26" s="136">
        <f>(SUMIF('Credit Note Approval Form'!$C:$C,Dashboard!$A26,'Credit Note Approval Form'!$P:$P))*(1-SUMIF('Credit Note Approval Form'!$C:$C,Dashboard!$A26,'Credit Note Approval Form'!$S:$S))</f>
        <v>0</v>
      </c>
      <c r="I26" s="136">
        <f>(SUMIF('Credit Note Approval Form'!$C:$C,Dashboard!$A26,'Credit Note Approval Form'!$O:$O))*(1-SUMIF('Credit Note Approval Form'!$C:$C,Dashboard!$A26,'Credit Note Approval Form'!$S:$S))</f>
        <v>1789.4755196956371</v>
      </c>
      <c r="K26" s="136">
        <f t="shared" si="0"/>
        <v>5767572.966465841</v>
      </c>
    </row>
    <row r="27" spans="1:11" x14ac:dyDescent="0.25">
      <c r="A27" t="s">
        <v>495</v>
      </c>
      <c r="B27" t="s">
        <v>114</v>
      </c>
      <c r="C27" t="s">
        <v>506</v>
      </c>
      <c r="D27" s="136">
        <f>(SUMIF('Credit Note Approval Form'!$C:$C,Dashboard!$A27,'Credit Note Approval Form'!$F:$F))*(1-SUMIF('Credit Note Approval Form'!$C:$C,Dashboard!$A27,'Credit Note Approval Form'!$S:$S))</f>
        <v>0</v>
      </c>
      <c r="E27" s="136">
        <f>(SUMIF('Credit Note Approval Form'!$C:$C,Dashboard!$A27,'Credit Note Approval Form'!$I:$I))*(1-SUMIF('Credit Note Approval Form'!$C:$C,Dashboard!$A27,'Credit Note Approval Form'!$S:$S))</f>
        <v>0</v>
      </c>
      <c r="F27" s="136">
        <f>(SUMIF('Credit Note Approval Form'!$C:$C,Dashboard!$A27,'Credit Note Approval Form'!$H:$H))*(1-SUMIF('Credit Note Approval Form'!$C:$C,Dashboard!$A27,'Credit Note Approval Form'!$S:$S))</f>
        <v>0</v>
      </c>
      <c r="G27" s="136">
        <f>(SUMIF('Credit Note Approval Form'!$C:$C,Dashboard!$A27,'Credit Note Approval Form'!$J:$J)+SUMIF('Credit Note Approval Form'!$C:$C,Dashboard!$A27,'Credit Note Approval Form'!$M:$M))*(1-SUMIF('Credit Note Approval Form'!$C:$C,Dashboard!$A27,'Credit Note Approval Form'!$S:$S))</f>
        <v>57401.14081549691</v>
      </c>
      <c r="H27" s="136">
        <f>(SUMIF('Credit Note Approval Form'!$C:$C,Dashboard!$A27,'Credit Note Approval Form'!$P:$P))*(1-SUMIF('Credit Note Approval Form'!$C:$C,Dashboard!$A27,'Credit Note Approval Form'!$S:$S))</f>
        <v>0</v>
      </c>
      <c r="I27" s="136">
        <f>(SUMIF('Credit Note Approval Form'!$C:$C,Dashboard!$A27,'Credit Note Approval Form'!$O:$O))*(1-SUMIF('Credit Note Approval Form'!$C:$C,Dashboard!$A27,'Credit Note Approval Form'!$S:$S))</f>
        <v>0</v>
      </c>
      <c r="K27" s="136">
        <f t="shared" si="0"/>
        <v>57401.14081549691</v>
      </c>
    </row>
    <row r="28" spans="1:11" x14ac:dyDescent="0.25">
      <c r="A28" t="s">
        <v>471</v>
      </c>
      <c r="B28" t="s">
        <v>103</v>
      </c>
      <c r="C28" t="s">
        <v>506</v>
      </c>
      <c r="D28" s="136">
        <f>(SUMIF('Credit Note Approval Form'!$C:$C,Dashboard!$A28,'Credit Note Approval Form'!$F:$F))*(1-SUMIF('Credit Note Approval Form'!$C:$C,Dashboard!$A28,'Credit Note Approval Form'!$S:$S))</f>
        <v>1050414.3842143372</v>
      </c>
      <c r="E28" s="136">
        <f>(SUMIF('Credit Note Approval Form'!$C:$C,Dashboard!$A28,'Credit Note Approval Form'!$I:$I))*(1-SUMIF('Credit Note Approval Form'!$C:$C,Dashboard!$A28,'Credit Note Approval Form'!$S:$S))</f>
        <v>24147.355200000005</v>
      </c>
      <c r="F28" s="136">
        <f>(SUMIF('Credit Note Approval Form'!$C:$C,Dashboard!$A28,'Credit Note Approval Form'!$H:$H))*(1-SUMIF('Credit Note Approval Form'!$C:$C,Dashboard!$A28,'Credit Note Approval Form'!$S:$S))</f>
        <v>133943.92573697204</v>
      </c>
      <c r="G28" s="136">
        <f>(SUMIF('Credit Note Approval Form'!$C:$C,Dashboard!$A28,'Credit Note Approval Form'!$J:$J)+SUMIF('Credit Note Approval Form'!$C:$C,Dashboard!$A28,'Credit Note Approval Form'!$M:$M))*(1-SUMIF('Credit Note Approval Form'!$C:$C,Dashboard!$A28,'Credit Note Approval Form'!$S:$S))</f>
        <v>1220988.3696854746</v>
      </c>
      <c r="H28" s="136">
        <f>(SUMIF('Credit Note Approval Form'!$C:$C,Dashboard!$A28,'Credit Note Approval Form'!$P:$P))*(1-SUMIF('Credit Note Approval Form'!$C:$C,Dashboard!$A28,'Credit Note Approval Form'!$S:$S))</f>
        <v>14940.796200000001</v>
      </c>
      <c r="I28" s="136">
        <f>(SUMIF('Credit Note Approval Form'!$C:$C,Dashboard!$A28,'Credit Note Approval Form'!$O:$O))*(1-SUMIF('Credit Note Approval Form'!$C:$C,Dashboard!$A28,'Credit Note Approval Form'!$S:$S))</f>
        <v>3546.3999999999996</v>
      </c>
      <c r="K28" s="136">
        <f t="shared" si="0"/>
        <v>2447981.2310367841</v>
      </c>
    </row>
    <row r="29" spans="1:11" x14ac:dyDescent="0.25">
      <c r="A29" t="s">
        <v>474</v>
      </c>
      <c r="B29" t="s">
        <v>106</v>
      </c>
      <c r="C29" t="s">
        <v>506</v>
      </c>
      <c r="D29" s="136">
        <f>(SUMIF('Credit Note Approval Form'!$C:$C,Dashboard!$A29,'Credit Note Approval Form'!$F:$F))*(1-SUMIF('Credit Note Approval Form'!$C:$C,Dashboard!$A29,'Credit Note Approval Form'!$S:$S))</f>
        <v>1333724.4922751607</v>
      </c>
      <c r="E29" s="136">
        <f>(SUMIF('Credit Note Approval Form'!$C:$C,Dashboard!$A29,'Credit Note Approval Form'!$I:$I))*(1-SUMIF('Credit Note Approval Form'!$C:$C,Dashboard!$A29,'Credit Note Approval Form'!$S:$S))</f>
        <v>22846.457304718573</v>
      </c>
      <c r="F29" s="136">
        <f>(SUMIF('Credit Note Approval Form'!$C:$C,Dashboard!$A29,'Credit Note Approval Form'!$H:$H))*(1-SUMIF('Credit Note Approval Form'!$C:$C,Dashboard!$A29,'Credit Note Approval Form'!$S:$S))</f>
        <v>74356.205000000016</v>
      </c>
      <c r="G29" s="136">
        <f>(SUMIF('Credit Note Approval Form'!$C:$C,Dashboard!$A29,'Credit Note Approval Form'!$J:$J)+SUMIF('Credit Note Approval Form'!$C:$C,Dashboard!$A29,'Credit Note Approval Form'!$M:$M))*(1-SUMIF('Credit Note Approval Form'!$C:$C,Dashboard!$A29,'Credit Note Approval Form'!$S:$S))</f>
        <v>133147.46368805229</v>
      </c>
      <c r="H29" s="136">
        <f>(SUMIF('Credit Note Approval Form'!$C:$C,Dashboard!$A29,'Credit Note Approval Form'!$P:$P))*(1-SUMIF('Credit Note Approval Form'!$C:$C,Dashboard!$A29,'Credit Note Approval Form'!$S:$S))</f>
        <v>9776.6954999999998</v>
      </c>
      <c r="I29" s="136">
        <f>(SUMIF('Credit Note Approval Form'!$C:$C,Dashboard!$A29,'Credit Note Approval Form'!$O:$O))*(1-SUMIF('Credit Note Approval Form'!$C:$C,Dashboard!$A29,'Credit Note Approval Form'!$S:$S))</f>
        <v>11894.079992328148</v>
      </c>
      <c r="K29" s="136">
        <f t="shared" si="0"/>
        <v>1585745.3937602597</v>
      </c>
    </row>
    <row r="30" spans="1:11" x14ac:dyDescent="0.25">
      <c r="A30" t="s">
        <v>439</v>
      </c>
      <c r="B30" t="s">
        <v>509</v>
      </c>
      <c r="C30" t="s">
        <v>506</v>
      </c>
      <c r="D30" s="136">
        <f>(SUMIF('Credit Note Approval Form'!$C:$C,Dashboard!$A30,'Credit Note Approval Form'!$F:$F))*(1-SUMIF('Credit Note Approval Form'!$C:$C,Dashboard!$A30,'Credit Note Approval Form'!$S:$S))</f>
        <v>840822.00544984185</v>
      </c>
      <c r="E30" s="136">
        <f>(SUMIF('Credit Note Approval Form'!$C:$C,Dashboard!$A30,'Credit Note Approval Form'!$I:$I))*(1-SUMIF('Credit Note Approval Form'!$C:$C,Dashboard!$A30,'Credit Note Approval Form'!$S:$S))</f>
        <v>244544.98216665612</v>
      </c>
      <c r="F30" s="136">
        <f>(SUMIF('Credit Note Approval Form'!$C:$C,Dashboard!$A30,'Credit Note Approval Form'!$H:$H))*(1-SUMIF('Credit Note Approval Form'!$C:$C,Dashboard!$A30,'Credit Note Approval Form'!$S:$S))</f>
        <v>204102.98529772786</v>
      </c>
      <c r="G30" s="136">
        <f>(SUMIF('Credit Note Approval Form'!$C:$C,Dashboard!$A30,'Credit Note Approval Form'!$J:$J)+SUMIF('Credit Note Approval Form'!$C:$C,Dashboard!$A30,'Credit Note Approval Form'!$M:$M))*(1-SUMIF('Credit Note Approval Form'!$C:$C,Dashboard!$A30,'Credit Note Approval Form'!$S:$S))</f>
        <v>860047.80957418238</v>
      </c>
      <c r="H30" s="136">
        <f>(SUMIF('Credit Note Approval Form'!$C:$C,Dashboard!$A30,'Credit Note Approval Form'!$P:$P))*(1-SUMIF('Credit Note Approval Form'!$C:$C,Dashboard!$A30,'Credit Note Approval Form'!$S:$S))</f>
        <v>218102.54443725862</v>
      </c>
      <c r="I30" s="136">
        <f>(SUMIF('Credit Note Approval Form'!$C:$C,Dashboard!$A30,'Credit Note Approval Form'!$O:$O))*(1-SUMIF('Credit Note Approval Form'!$C:$C,Dashboard!$A30,'Credit Note Approval Form'!$S:$S))</f>
        <v>72919.221611624642</v>
      </c>
      <c r="K30" s="136">
        <f t="shared" si="0"/>
        <v>2440539.5485372916</v>
      </c>
    </row>
    <row r="31" spans="1:11" x14ac:dyDescent="0.25">
      <c r="A31" t="s">
        <v>510</v>
      </c>
      <c r="B31" t="s">
        <v>511</v>
      </c>
      <c r="C31" t="s">
        <v>506</v>
      </c>
      <c r="D31" s="136">
        <f>(SUMIF('Credit Note Approval Form'!$C:$C,Dashboard!$A31,'Credit Note Approval Form'!$F:$F))*(1-SUMIF('Credit Note Approval Form'!$C:$C,Dashboard!$A31,'Credit Note Approval Form'!$S:$S))</f>
        <v>0</v>
      </c>
      <c r="E31" s="136">
        <f>(SUMIF('Credit Note Approval Form'!$C:$C,Dashboard!$A31,'Credit Note Approval Form'!$I:$I))*(1-SUMIF('Credit Note Approval Form'!$C:$C,Dashboard!$A31,'Credit Note Approval Form'!$S:$S))</f>
        <v>0</v>
      </c>
      <c r="F31" s="136">
        <f>(SUMIF('Credit Note Approval Form'!$C:$C,Dashboard!$A31,'Credit Note Approval Form'!$H:$H))*(1-SUMIF('Credit Note Approval Form'!$C:$C,Dashboard!$A31,'Credit Note Approval Form'!$S:$S))</f>
        <v>0</v>
      </c>
      <c r="G31" s="136">
        <f>(SUMIF('Credit Note Approval Form'!$C:$C,Dashboard!$A31,'Credit Note Approval Form'!$J:$J)+SUMIF('Credit Note Approval Form'!$C:$C,Dashboard!$A31,'Credit Note Approval Form'!$M:$M))*(1-SUMIF('Credit Note Approval Form'!$C:$C,Dashboard!$A31,'Credit Note Approval Form'!$S:$S))</f>
        <v>0</v>
      </c>
      <c r="H31" s="136">
        <f>(SUMIF('Credit Note Approval Form'!$C:$C,Dashboard!$A31,'Credit Note Approval Form'!$P:$P))*(1-SUMIF('Credit Note Approval Form'!$C:$C,Dashboard!$A31,'Credit Note Approval Form'!$S:$S))</f>
        <v>0</v>
      </c>
      <c r="I31" s="136">
        <f>(SUMIF('Credit Note Approval Form'!$C:$C,Dashboard!$A31,'Credit Note Approval Form'!$O:$O))*(1-SUMIF('Credit Note Approval Form'!$C:$C,Dashboard!$A31,'Credit Note Approval Form'!$S:$S))</f>
        <v>0</v>
      </c>
      <c r="K31" s="136">
        <f t="shared" si="0"/>
        <v>0</v>
      </c>
    </row>
    <row r="32" spans="1:11" x14ac:dyDescent="0.25">
      <c r="A32" t="s">
        <v>490</v>
      </c>
      <c r="B32" t="s">
        <v>116</v>
      </c>
      <c r="C32" t="s">
        <v>506</v>
      </c>
      <c r="D32" s="136">
        <f>(SUMIF('Credit Note Approval Form'!$C:$C,Dashboard!$A32,'Credit Note Approval Form'!$F:$F))*(1-SUMIF('Credit Note Approval Form'!$C:$C,Dashboard!$A32,'Credit Note Approval Form'!$S:$S))</f>
        <v>607380.17139999999</v>
      </c>
      <c r="E32" s="136">
        <f>(SUMIF('Credit Note Approval Form'!$C:$C,Dashboard!$A32,'Credit Note Approval Form'!$I:$I))*(1-SUMIF('Credit Note Approval Form'!$C:$C,Dashboard!$A32,'Credit Note Approval Form'!$S:$S))</f>
        <v>42704.550669184282</v>
      </c>
      <c r="F32" s="136">
        <f>(SUMIF('Credit Note Approval Form'!$C:$C,Dashboard!$A32,'Credit Note Approval Form'!$H:$H))*(1-SUMIF('Credit Note Approval Form'!$C:$C,Dashboard!$A32,'Credit Note Approval Form'!$S:$S))</f>
        <v>12624.435134817802</v>
      </c>
      <c r="G32" s="136">
        <f>(SUMIF('Credit Note Approval Form'!$C:$C,Dashboard!$A32,'Credit Note Approval Form'!$J:$J)+SUMIF('Credit Note Approval Form'!$C:$C,Dashboard!$A32,'Credit Note Approval Form'!$M:$M))*(1-SUMIF('Credit Note Approval Form'!$C:$C,Dashboard!$A32,'Credit Note Approval Form'!$S:$S))</f>
        <v>156639.29753153076</v>
      </c>
      <c r="H32" s="136">
        <f>(SUMIF('Credit Note Approval Form'!$C:$C,Dashboard!$A32,'Credit Note Approval Form'!$P:$P))*(1-SUMIF('Credit Note Approval Form'!$C:$C,Dashboard!$A32,'Credit Note Approval Form'!$S:$S))</f>
        <v>63623.7261</v>
      </c>
      <c r="I32" s="136">
        <f>(SUMIF('Credit Note Approval Form'!$C:$C,Dashboard!$A32,'Credit Note Approval Form'!$O:$O))*(1-SUMIF('Credit Note Approval Form'!$C:$C,Dashboard!$A32,'Credit Note Approval Form'!$S:$S))</f>
        <v>0</v>
      </c>
      <c r="K32" s="136">
        <f t="shared" si="0"/>
        <v>882972.18083553284</v>
      </c>
    </row>
    <row r="33" spans="1:13" x14ac:dyDescent="0.25">
      <c r="A33" t="s">
        <v>455</v>
      </c>
      <c r="B33" t="s">
        <v>456</v>
      </c>
      <c r="C33" t="s">
        <v>506</v>
      </c>
      <c r="D33" s="136">
        <f>(SUMIF('Credit Note Approval Form'!$C:$C,Dashboard!$A33,'Credit Note Approval Form'!$F:$F))*(1-SUMIF('Credit Note Approval Form'!$C:$C,Dashboard!$A33,'Credit Note Approval Form'!$S:$S))</f>
        <v>840209.16804103809</v>
      </c>
      <c r="E33" s="136">
        <f>(SUMIF('Credit Note Approval Form'!$C:$C,Dashboard!$A33,'Credit Note Approval Form'!$I:$I))*(1-SUMIF('Credit Note Approval Form'!$C:$C,Dashboard!$A33,'Credit Note Approval Form'!$S:$S))</f>
        <v>0</v>
      </c>
      <c r="F33" s="136">
        <f>(SUMIF('Credit Note Approval Form'!$C:$C,Dashboard!$A33,'Credit Note Approval Form'!$H:$H))*(1-SUMIF('Credit Note Approval Form'!$C:$C,Dashboard!$A33,'Credit Note Approval Form'!$S:$S))</f>
        <v>0</v>
      </c>
      <c r="G33" s="136">
        <f>(SUMIF('Credit Note Approval Form'!$C:$C,Dashboard!$A33,'Credit Note Approval Form'!$J:$J)+SUMIF('Credit Note Approval Form'!$C:$C,Dashboard!$A33,'Credit Note Approval Form'!$M:$M))*(1-SUMIF('Credit Note Approval Form'!$C:$C,Dashboard!$A33,'Credit Note Approval Form'!$S:$S))</f>
        <v>170903.7860491907</v>
      </c>
      <c r="H33" s="136">
        <f>(SUMIF('Credit Note Approval Form'!$C:$C,Dashboard!$A33,'Credit Note Approval Form'!$P:$P))*(1-SUMIF('Credit Note Approval Form'!$C:$C,Dashboard!$A33,'Credit Note Approval Form'!$S:$S))</f>
        <v>38339.673463262188</v>
      </c>
      <c r="I33" s="136">
        <f>(SUMIF('Credit Note Approval Form'!$C:$C,Dashboard!$A33,'Credit Note Approval Form'!$O:$O))*(1-SUMIF('Credit Note Approval Form'!$C:$C,Dashboard!$A33,'Credit Note Approval Form'!$S:$S))</f>
        <v>0</v>
      </c>
      <c r="K33" s="136">
        <f t="shared" si="0"/>
        <v>1049452.6275534909</v>
      </c>
    </row>
    <row r="34" spans="1:13" x14ac:dyDescent="0.25">
      <c r="A34" t="s">
        <v>451</v>
      </c>
      <c r="B34" t="s">
        <v>452</v>
      </c>
      <c r="C34" t="s">
        <v>506</v>
      </c>
      <c r="D34" s="136">
        <f>(SUMIF('Credit Note Approval Form'!$C:$C,Dashboard!$A34,'Credit Note Approval Form'!$F:$F))*(1-SUMIF('Credit Note Approval Form'!$C:$C,Dashboard!$A34,'Credit Note Approval Form'!$S:$S))</f>
        <v>0</v>
      </c>
      <c r="E34" s="136">
        <f>(SUMIF('Credit Note Approval Form'!$C:$C,Dashboard!$A34,'Credit Note Approval Form'!$I:$I))*(1-SUMIF('Credit Note Approval Form'!$C:$C,Dashboard!$A34,'Credit Note Approval Form'!$S:$S))</f>
        <v>0</v>
      </c>
      <c r="F34" s="136">
        <f>(SUMIF('Credit Note Approval Form'!$C:$C,Dashboard!$A34,'Credit Note Approval Form'!$H:$H))*(1-SUMIF('Credit Note Approval Form'!$C:$C,Dashboard!$A34,'Credit Note Approval Form'!$S:$S))</f>
        <v>0</v>
      </c>
      <c r="G34" s="136">
        <f>(SUMIF('Credit Note Approval Form'!$C:$C,Dashboard!$A34,'Credit Note Approval Form'!$J:$J)+SUMIF('Credit Note Approval Form'!$C:$C,Dashboard!$A34,'Credit Note Approval Form'!$M:$M))*(1-SUMIF('Credit Note Approval Form'!$C:$C,Dashboard!$A34,'Credit Note Approval Form'!$S:$S))</f>
        <v>0</v>
      </c>
      <c r="H34" s="136">
        <f>(SUMIF('Credit Note Approval Form'!$C:$C,Dashboard!$A34,'Credit Note Approval Form'!$P:$P))*(1-SUMIF('Credit Note Approval Form'!$C:$C,Dashboard!$A34,'Credit Note Approval Form'!$S:$S))</f>
        <v>0</v>
      </c>
      <c r="I34" s="136">
        <f>(SUMIF('Credit Note Approval Form'!$C:$C,Dashboard!$A34,'Credit Note Approval Form'!$O:$O))*(1-SUMIF('Credit Note Approval Form'!$C:$C,Dashboard!$A34,'Credit Note Approval Form'!$S:$S))</f>
        <v>0</v>
      </c>
      <c r="K34" s="136">
        <f t="shared" si="0"/>
        <v>0</v>
      </c>
    </row>
    <row r="35" spans="1:13" x14ac:dyDescent="0.25">
      <c r="A35" t="s">
        <v>453</v>
      </c>
      <c r="B35" t="s">
        <v>454</v>
      </c>
      <c r="C35" t="s">
        <v>506</v>
      </c>
      <c r="D35" s="136">
        <f>(SUMIF('Credit Note Approval Form'!$C:$C,Dashboard!$A35,'Credit Note Approval Form'!$F:$F))*(1-SUMIF('Credit Note Approval Form'!$C:$C,Dashboard!$A35,'Credit Note Approval Form'!$S:$S))</f>
        <v>314575.6474942519</v>
      </c>
      <c r="E35" s="136">
        <f>(SUMIF('Credit Note Approval Form'!$C:$C,Dashboard!$A35,'Credit Note Approval Form'!$I:$I))*(1-SUMIF('Credit Note Approval Form'!$C:$C,Dashboard!$A35,'Credit Note Approval Form'!$S:$S))</f>
        <v>5338.4254737736255</v>
      </c>
      <c r="F35" s="136">
        <f>(SUMIF('Credit Note Approval Form'!$C:$C,Dashboard!$A35,'Credit Note Approval Form'!$H:$H))*(1-SUMIF('Credit Note Approval Form'!$C:$C,Dashboard!$A35,'Credit Note Approval Form'!$S:$S))</f>
        <v>42940.161922002088</v>
      </c>
      <c r="G35" s="136">
        <f>(SUMIF('Credit Note Approval Form'!$C:$C,Dashboard!$A35,'Credit Note Approval Form'!$J:$J)+SUMIF('Credit Note Approval Form'!$C:$C,Dashboard!$A35,'Credit Note Approval Form'!$M:$M))*(1-SUMIF('Credit Note Approval Form'!$C:$C,Dashboard!$A35,'Credit Note Approval Form'!$S:$S))</f>
        <v>285426.48193041363</v>
      </c>
      <c r="H35" s="136">
        <f>(SUMIF('Credit Note Approval Form'!$C:$C,Dashboard!$A35,'Credit Note Approval Form'!$P:$P))*(1-SUMIF('Credit Note Approval Form'!$C:$C,Dashboard!$A35,'Credit Note Approval Form'!$S:$S))</f>
        <v>18381.084204671261</v>
      </c>
      <c r="I35" s="136">
        <f>(SUMIF('Credit Note Approval Form'!$C:$C,Dashboard!$A35,'Credit Note Approval Form'!$O:$O))*(1-SUMIF('Credit Note Approval Form'!$C:$C,Dashboard!$A35,'Credit Note Approval Form'!$S:$S))</f>
        <v>0</v>
      </c>
      <c r="K35" s="136">
        <f t="shared" si="0"/>
        <v>666661.80102511239</v>
      </c>
    </row>
    <row r="36" spans="1:13" x14ac:dyDescent="0.25">
      <c r="A36" t="s">
        <v>462</v>
      </c>
      <c r="B36" t="s">
        <v>90</v>
      </c>
      <c r="C36" t="s">
        <v>506</v>
      </c>
      <c r="D36" s="136">
        <f>(SUMIF('Credit Note Approval Form'!$C:$C,Dashboard!$A36,'Credit Note Approval Form'!$F:$F))*(1-SUMIF('Credit Note Approval Form'!$C:$C,Dashboard!$A36,'Credit Note Approval Form'!$S:$S))</f>
        <v>1424903.4255000402</v>
      </c>
      <c r="E36" s="136">
        <f>(SUMIF('Credit Note Approval Form'!$C:$C,Dashboard!$A36,'Credit Note Approval Form'!$I:$I))*(1-SUMIF('Credit Note Approval Form'!$C:$C,Dashboard!$A36,'Credit Note Approval Form'!$S:$S))</f>
        <v>313593.28747010051</v>
      </c>
      <c r="F36" s="136">
        <f>(SUMIF('Credit Note Approval Form'!$C:$C,Dashboard!$A36,'Credit Note Approval Form'!$H:$H))*(1-SUMIF('Credit Note Approval Form'!$C:$C,Dashboard!$A36,'Credit Note Approval Form'!$S:$S))</f>
        <v>44188.830399999999</v>
      </c>
      <c r="G36" s="136">
        <f>(SUMIF('Credit Note Approval Form'!$C:$C,Dashboard!$A36,'Credit Note Approval Form'!$J:$J)+SUMIF('Credit Note Approval Form'!$C:$C,Dashboard!$A36,'Credit Note Approval Form'!$M:$M))*(1-SUMIF('Credit Note Approval Form'!$C:$C,Dashboard!$A36,'Credit Note Approval Form'!$S:$S))</f>
        <v>169472.69948611886</v>
      </c>
      <c r="H36" s="136">
        <f>(SUMIF('Credit Note Approval Form'!$C:$C,Dashboard!$A36,'Credit Note Approval Form'!$P:$P))*(1-SUMIF('Credit Note Approval Form'!$C:$C,Dashboard!$A36,'Credit Note Approval Form'!$S:$S))</f>
        <v>18285.409411988108</v>
      </c>
      <c r="I36" s="136">
        <f>(SUMIF('Credit Note Approval Form'!$C:$C,Dashboard!$A36,'Credit Note Approval Form'!$O:$O))*(1-SUMIF('Credit Note Approval Form'!$C:$C,Dashboard!$A36,'Credit Note Approval Form'!$S:$S))</f>
        <v>5805.1839999999993</v>
      </c>
      <c r="K36" s="136">
        <f t="shared" si="0"/>
        <v>1976248.8362682476</v>
      </c>
    </row>
    <row r="37" spans="1:13" x14ac:dyDescent="0.25">
      <c r="A37" t="s">
        <v>438</v>
      </c>
      <c r="B37" t="s">
        <v>75</v>
      </c>
      <c r="C37" t="s">
        <v>506</v>
      </c>
      <c r="D37" s="136">
        <f>(SUMIF('Credit Note Approval Form'!$C:$C,Dashboard!$A37,'Credit Note Approval Form'!$F:$F))*(1-SUMIF('Credit Note Approval Form'!$C:$C,Dashboard!$A37,'Credit Note Approval Form'!$S:$S))</f>
        <v>0</v>
      </c>
      <c r="E37" s="136">
        <f>(SUMIF('Credit Note Approval Form'!$C:$C,Dashboard!$A37,'Credit Note Approval Form'!$I:$I))*(1-SUMIF('Credit Note Approval Form'!$C:$C,Dashboard!$A37,'Credit Note Approval Form'!$S:$S))</f>
        <v>0</v>
      </c>
      <c r="F37" s="136">
        <f>(SUMIF('Credit Note Approval Form'!$C:$C,Dashboard!$A37,'Credit Note Approval Form'!$H:$H))*(1-SUMIF('Credit Note Approval Form'!$C:$C,Dashboard!$A37,'Credit Note Approval Form'!$S:$S))</f>
        <v>0</v>
      </c>
      <c r="G37" s="136">
        <f>(SUMIF('Credit Note Approval Form'!$C:$C,Dashboard!$A37,'Credit Note Approval Form'!$J:$J)+SUMIF('Credit Note Approval Form'!$C:$C,Dashboard!$A37,'Credit Note Approval Form'!$M:$M))*(1-SUMIF('Credit Note Approval Form'!$C:$C,Dashboard!$A37,'Credit Note Approval Form'!$S:$S))</f>
        <v>1145434.3402044091</v>
      </c>
      <c r="H37" s="136">
        <f>(SUMIF('Credit Note Approval Form'!$C:$C,Dashboard!$A37,'Credit Note Approval Form'!$P:$P))*(1-SUMIF('Credit Note Approval Form'!$C:$C,Dashboard!$A37,'Credit Note Approval Form'!$S:$S))</f>
        <v>149285.6180027877</v>
      </c>
      <c r="I37" s="136">
        <f>(SUMIF('Credit Note Approval Form'!$C:$C,Dashboard!$A37,'Credit Note Approval Form'!$O:$O))*(1-SUMIF('Credit Note Approval Form'!$C:$C,Dashboard!$A37,'Credit Note Approval Form'!$S:$S))</f>
        <v>0</v>
      </c>
      <c r="K37" s="136">
        <f t="shared" si="0"/>
        <v>1294719.9582071968</v>
      </c>
    </row>
    <row r="38" spans="1:13" x14ac:dyDescent="0.25">
      <c r="A38" t="s">
        <v>478</v>
      </c>
      <c r="B38" t="s">
        <v>107</v>
      </c>
      <c r="C38" t="s">
        <v>506</v>
      </c>
      <c r="D38" s="136">
        <f>(SUMIF('Credit Note Approval Form'!$C:$C,Dashboard!$A38,'Credit Note Approval Form'!$F:$F))*(1-SUMIF('Credit Note Approval Form'!$C:$C,Dashboard!$A38,'Credit Note Approval Form'!$S:$S))</f>
        <v>3076288.0207670815</v>
      </c>
      <c r="E38" s="136">
        <f>(SUMIF('Credit Note Approval Form'!$C:$C,Dashboard!$A38,'Credit Note Approval Form'!$I:$I))*(1-SUMIF('Credit Note Approval Form'!$C:$C,Dashboard!$A38,'Credit Note Approval Form'!$S:$S))</f>
        <v>238598.94958515125</v>
      </c>
      <c r="F38" s="136">
        <f>(SUMIF('Credit Note Approval Form'!$C:$C,Dashboard!$A38,'Credit Note Approval Form'!$H:$H))*(1-SUMIF('Credit Note Approval Form'!$C:$C,Dashboard!$A38,'Credit Note Approval Form'!$S:$S))</f>
        <v>29038.118712522384</v>
      </c>
      <c r="G38" s="136">
        <f>(SUMIF('Credit Note Approval Form'!$C:$C,Dashboard!$A38,'Credit Note Approval Form'!$J:$J)+SUMIF('Credit Note Approval Form'!$C:$C,Dashboard!$A38,'Credit Note Approval Form'!$M:$M))*(1-SUMIF('Credit Note Approval Form'!$C:$C,Dashboard!$A38,'Credit Note Approval Form'!$S:$S))</f>
        <v>779177.83469999989</v>
      </c>
      <c r="H38" s="136">
        <f>(SUMIF('Credit Note Approval Form'!$C:$C,Dashboard!$A38,'Credit Note Approval Form'!$P:$P))*(1-SUMIF('Credit Note Approval Form'!$C:$C,Dashboard!$A38,'Credit Note Approval Form'!$S:$S))</f>
        <v>15859.351729673414</v>
      </c>
      <c r="I38" s="136">
        <f>(SUMIF('Credit Note Approval Form'!$C:$C,Dashboard!$A38,'Credit Note Approval Form'!$O:$O))*(1-SUMIF('Credit Note Approval Form'!$C:$C,Dashboard!$A38,'Credit Note Approval Form'!$S:$S))</f>
        <v>0</v>
      </c>
      <c r="K38" s="136">
        <f t="shared" si="0"/>
        <v>4138962.2754944288</v>
      </c>
    </row>
    <row r="39" spans="1:13" x14ac:dyDescent="0.25">
      <c r="A39" t="s">
        <v>487</v>
      </c>
      <c r="B39" t="s">
        <v>112</v>
      </c>
      <c r="C39" t="s">
        <v>506</v>
      </c>
      <c r="D39" s="136">
        <f>(SUMIF('Credit Note Approval Form'!$C:$C,Dashboard!$A39,'Credit Note Approval Form'!$F:$F))*(1-SUMIF('Credit Note Approval Form'!$C:$C,Dashboard!$A39,'Credit Note Approval Form'!$S:$S))</f>
        <v>0</v>
      </c>
      <c r="E39" s="136">
        <f>(SUMIF('Credit Note Approval Form'!$C:$C,Dashboard!$A39,'Credit Note Approval Form'!$I:$I))*(1-SUMIF('Credit Note Approval Form'!$C:$C,Dashboard!$A39,'Credit Note Approval Form'!$S:$S))</f>
        <v>0</v>
      </c>
      <c r="F39" s="136">
        <f>(SUMIF('Credit Note Approval Form'!$C:$C,Dashboard!$A39,'Credit Note Approval Form'!$H:$H))*(1-SUMIF('Credit Note Approval Form'!$C:$C,Dashboard!$A39,'Credit Note Approval Form'!$S:$S))</f>
        <v>0</v>
      </c>
      <c r="G39" s="136">
        <f>(SUMIF('Credit Note Approval Form'!$C:$C,Dashboard!$A39,'Credit Note Approval Form'!$J:$J)+SUMIF('Credit Note Approval Form'!$C:$C,Dashboard!$A39,'Credit Note Approval Form'!$M:$M))*(1-SUMIF('Credit Note Approval Form'!$C:$C,Dashboard!$A39,'Credit Note Approval Form'!$S:$S))</f>
        <v>0</v>
      </c>
      <c r="H39" s="136">
        <f>(SUMIF('Credit Note Approval Form'!$C:$C,Dashboard!$A39,'Credit Note Approval Form'!$P:$P))*(1-SUMIF('Credit Note Approval Form'!$C:$C,Dashboard!$A39,'Credit Note Approval Form'!$S:$S))</f>
        <v>0</v>
      </c>
      <c r="I39" s="136">
        <f>(SUMIF('Credit Note Approval Form'!$C:$C,Dashboard!$A39,'Credit Note Approval Form'!$O:$O))*(1-SUMIF('Credit Note Approval Form'!$C:$C,Dashboard!$A39,'Credit Note Approval Form'!$S:$S))</f>
        <v>0</v>
      </c>
      <c r="K39" s="136">
        <f t="shared" si="0"/>
        <v>0</v>
      </c>
    </row>
    <row r="40" spans="1:13" x14ac:dyDescent="0.25">
      <c r="A40">
        <v>1300006460</v>
      </c>
      <c r="B40" t="s">
        <v>516</v>
      </c>
      <c r="C40" t="s">
        <v>506</v>
      </c>
      <c r="D40" s="136">
        <f>(SUMIF('Credit Note Approval Form'!$C:$C,Dashboard!$A40,'Credit Note Approval Form'!$F:$F))*(1-SUMIF('Credit Note Approval Form'!$C:$C,Dashboard!$A40,'Credit Note Approval Form'!$S:$S))</f>
        <v>4129248.3813959719</v>
      </c>
      <c r="E40" s="136">
        <f>(SUMIF('Credit Note Approval Form'!$C:$C,Dashboard!$A40,'Credit Note Approval Form'!$I:$I))*(1-SUMIF('Credit Note Approval Form'!$C:$C,Dashboard!$A40,'Credit Note Approval Form'!$S:$S))</f>
        <v>111187.53407537899</v>
      </c>
      <c r="F40" s="136">
        <f>(SUMIF('Credit Note Approval Form'!$C:$C,Dashboard!$A40,'Credit Note Approval Form'!$H:$H))*(1-SUMIF('Credit Note Approval Form'!$C:$C,Dashboard!$A40,'Credit Note Approval Form'!$S:$S))</f>
        <v>140693.3114286912</v>
      </c>
      <c r="G40" s="136">
        <f>(SUMIF('Credit Note Approval Form'!$C:$C,Dashboard!$A40,'Credit Note Approval Form'!$J:$J)+SUMIF('Credit Note Approval Form'!$C:$C,Dashboard!$A40,'Credit Note Approval Form'!$M:$M))*(1-SUMIF('Credit Note Approval Form'!$C:$C,Dashboard!$A40,'Credit Note Approval Form'!$S:$S))</f>
        <v>1495365.2712072842</v>
      </c>
      <c r="H40" s="136">
        <f>(SUMIF('Credit Note Approval Form'!$C:$C,Dashboard!$A40,'Credit Note Approval Form'!$P:$P))*(1-SUMIF('Credit Note Approval Form'!$C:$C,Dashboard!$A40,'Credit Note Approval Form'!$S:$S))</f>
        <v>37602.674999999996</v>
      </c>
      <c r="I40" s="136">
        <f>(SUMIF('Credit Note Approval Form'!$C:$C,Dashboard!$A40,'Credit Note Approval Form'!$O:$O))*(1-SUMIF('Credit Note Approval Form'!$C:$C,Dashboard!$A40,'Credit Note Approval Form'!$S:$S))</f>
        <v>0</v>
      </c>
      <c r="K40" s="136">
        <f>SUM(D40:J40)</f>
        <v>5914097.173107326</v>
      </c>
      <c r="M40" t="s">
        <v>519</v>
      </c>
    </row>
    <row r="41" spans="1:13" x14ac:dyDescent="0.25">
      <c r="A41" t="s">
        <v>437</v>
      </c>
      <c r="B41" t="s">
        <v>72</v>
      </c>
      <c r="C41" t="s">
        <v>506</v>
      </c>
      <c r="D41" s="136">
        <f>(SUMIF('Credit Note Approval Form'!$C:$C,Dashboard!$A41,'Credit Note Approval Form'!$F:$F))*(1-SUMIF('Credit Note Approval Form'!$C:$C,Dashboard!$A41,'Credit Note Approval Form'!$S:$S))</f>
        <v>1245170.0602769353</v>
      </c>
      <c r="E41" s="136">
        <f>(SUMIF('Credit Note Approval Form'!$C:$C,Dashboard!$A41,'Credit Note Approval Form'!$I:$I))*(1-SUMIF('Credit Note Approval Form'!$C:$C,Dashboard!$A41,'Credit Note Approval Form'!$S:$S))</f>
        <v>316617.67183446395</v>
      </c>
      <c r="F41" s="136">
        <f>(SUMIF('Credit Note Approval Form'!$C:$C,Dashboard!$A41,'Credit Note Approval Form'!$H:$H))*(1-SUMIF('Credit Note Approval Form'!$C:$C,Dashboard!$A41,'Credit Note Approval Form'!$S:$S))</f>
        <v>33510.709160033904</v>
      </c>
      <c r="G41" s="136">
        <f>(SUMIF('Credit Note Approval Form'!$C:$C,Dashboard!$A41,'Credit Note Approval Form'!$J:$J)+SUMIF('Credit Note Approval Form'!$C:$C,Dashboard!$A41,'Credit Note Approval Form'!$M:$M))*(1-SUMIF('Credit Note Approval Form'!$C:$C,Dashboard!$A41,'Credit Note Approval Form'!$S:$S))</f>
        <v>345365.53103515087</v>
      </c>
      <c r="H41" s="136">
        <f>(SUMIF('Credit Note Approval Form'!$C:$C,Dashboard!$A41,'Credit Note Approval Form'!$P:$P))*(1-SUMIF('Credit Note Approval Form'!$C:$C,Dashboard!$A41,'Credit Note Approval Form'!$S:$S))</f>
        <v>165187.27131851792</v>
      </c>
      <c r="I41" s="136">
        <f>(SUMIF('Credit Note Approval Form'!$C:$C,Dashboard!$A41,'Credit Note Approval Form'!$O:$O))*(1-SUMIF('Credit Note Approval Form'!$C:$C,Dashboard!$A41,'Credit Note Approval Form'!$S:$S))</f>
        <v>7001.8456965894711</v>
      </c>
      <c r="K41" s="136">
        <f t="shared" si="0"/>
        <v>2112853.0893216915</v>
      </c>
    </row>
    <row r="42" spans="1:13" x14ac:dyDescent="0.25">
      <c r="A42" t="s">
        <v>472</v>
      </c>
      <c r="B42" t="s">
        <v>473</v>
      </c>
      <c r="C42" t="s">
        <v>506</v>
      </c>
      <c r="D42" s="136">
        <f>(SUMIF('Credit Note Approval Form'!$C:$C,Dashboard!$A42,'Credit Note Approval Form'!$F:$F))*(1-SUMIF('Credit Note Approval Form'!$C:$C,Dashboard!$A42,'Credit Note Approval Form'!$S:$S))</f>
        <v>1056676.6719084925</v>
      </c>
      <c r="E42" s="136">
        <f>(SUMIF('Credit Note Approval Form'!$C:$C,Dashboard!$A42,'Credit Note Approval Form'!$I:$I))*(1-SUMIF('Credit Note Approval Form'!$C:$C,Dashboard!$A42,'Credit Note Approval Form'!$S:$S))</f>
        <v>82599.992640000011</v>
      </c>
      <c r="F42" s="136">
        <f>(SUMIF('Credit Note Approval Form'!$C:$C,Dashboard!$A42,'Credit Note Approval Form'!$H:$H))*(1-SUMIF('Credit Note Approval Form'!$C:$C,Dashboard!$A42,'Credit Note Approval Form'!$S:$S))</f>
        <v>116459.19900000001</v>
      </c>
      <c r="G42" s="136">
        <f>(SUMIF('Credit Note Approval Form'!$C:$C,Dashboard!$A42,'Credit Note Approval Form'!$J:$J)+SUMIF('Credit Note Approval Form'!$C:$C,Dashboard!$A42,'Credit Note Approval Form'!$M:$M))*(1-SUMIF('Credit Note Approval Form'!$C:$C,Dashboard!$A42,'Credit Note Approval Form'!$S:$S))</f>
        <v>810189.24390250689</v>
      </c>
      <c r="H42" s="136">
        <f>(SUMIF('Credit Note Approval Form'!$C:$C,Dashboard!$A42,'Credit Note Approval Form'!$P:$P))*(1-SUMIF('Credit Note Approval Form'!$C:$C,Dashboard!$A42,'Credit Note Approval Form'!$S:$S))</f>
        <v>141702.27353189714</v>
      </c>
      <c r="I42" s="136">
        <f>(SUMIF('Credit Note Approval Form'!$C:$C,Dashboard!$A42,'Credit Note Approval Form'!$O:$O))*(1-SUMIF('Credit Note Approval Form'!$C:$C,Dashboard!$A42,'Credit Note Approval Form'!$S:$S))</f>
        <v>0</v>
      </c>
      <c r="K42" s="136">
        <f t="shared" si="0"/>
        <v>2207627.3809828963</v>
      </c>
    </row>
    <row r="43" spans="1:13" x14ac:dyDescent="0.25">
      <c r="A43" s="146" t="s">
        <v>512</v>
      </c>
      <c r="B43" s="146" t="s">
        <v>513</v>
      </c>
      <c r="C43" s="146" t="s">
        <v>506</v>
      </c>
      <c r="D43" s="147">
        <f>D44+D45</f>
        <v>1673884.6261102241</v>
      </c>
      <c r="E43" s="147">
        <f t="shared" ref="E43:I43" si="1">E44+E45</f>
        <v>49065.433280013676</v>
      </c>
      <c r="F43" s="147">
        <f t="shared" si="1"/>
        <v>0</v>
      </c>
      <c r="G43" s="147">
        <f t="shared" si="1"/>
        <v>0</v>
      </c>
      <c r="H43" s="147">
        <f t="shared" si="1"/>
        <v>30437.342639418861</v>
      </c>
      <c r="I43" s="147">
        <f t="shared" si="1"/>
        <v>71697.01024594983</v>
      </c>
      <c r="J43" s="146"/>
      <c r="K43" s="147">
        <f t="shared" si="0"/>
        <v>1825084.4122756063</v>
      </c>
    </row>
    <row r="44" spans="1:13" x14ac:dyDescent="0.25">
      <c r="A44" s="145">
        <v>1010105134</v>
      </c>
      <c r="B44" t="s">
        <v>53</v>
      </c>
      <c r="C44" t="s">
        <v>506</v>
      </c>
      <c r="D44" s="136">
        <f>(SUMIF('Credit Note Approval Form'!$C:$C,Dashboard!$A44,'Credit Note Approval Form'!$F:$F))*(1-SUMIF('Credit Note Approval Form'!$C:$C,Dashboard!$A44,'Credit Note Approval Form'!$S:$S))</f>
        <v>1673884.6261102241</v>
      </c>
      <c r="E44" s="136">
        <f>(SUMIF('Credit Note Approval Form'!$C:$C,Dashboard!$A44,'Credit Note Approval Form'!$I:$I))*(1-SUMIF('Credit Note Approval Form'!$C:$C,Dashboard!$A44,'Credit Note Approval Form'!$S:$S))</f>
        <v>49065.433280013676</v>
      </c>
      <c r="F44" s="136">
        <f>(SUMIF('Credit Note Approval Form'!$C:$C,Dashboard!$A44,'Credit Note Approval Form'!$H:$H))*(1-SUMIF('Credit Note Approval Form'!$C:$C,Dashboard!$A44,'Credit Note Approval Form'!$S:$S))</f>
        <v>0</v>
      </c>
      <c r="G44" s="136">
        <f>(SUMIF('Credit Note Approval Form'!$C:$C,Dashboard!$A44,'Credit Note Approval Form'!$J:$J)+SUMIF('Credit Note Approval Form'!$C:$C,Dashboard!$A44,'Credit Note Approval Form'!$M:$M))*(1-SUMIF('Credit Note Approval Form'!$C:$C,Dashboard!$A44,'Credit Note Approval Form'!$S:$S))</f>
        <v>0</v>
      </c>
      <c r="H44" s="136">
        <f>(SUMIF('Credit Note Approval Form'!$C:$C,Dashboard!$A44,'Credit Note Approval Form'!$P:$P))*(1-SUMIF('Credit Note Approval Form'!$C:$C,Dashboard!$A44,'Credit Note Approval Form'!$S:$S))</f>
        <v>30437.342639418861</v>
      </c>
      <c r="I44" s="136">
        <f>(SUMIF('Credit Note Approval Form'!$C:$C,Dashboard!$A44,'Credit Note Approval Form'!$O:$O))*(1-SUMIF('Credit Note Approval Form'!$C:$C,Dashboard!$A44,'Credit Note Approval Form'!$S:$S))</f>
        <v>71697.01024594983</v>
      </c>
      <c r="K44" s="136">
        <f t="shared" ref="K44" si="2">SUM(D44:J44)</f>
        <v>1825084.4122756063</v>
      </c>
    </row>
    <row r="45" spans="1:13" x14ac:dyDescent="0.25">
      <c r="A45" t="s">
        <v>448</v>
      </c>
      <c r="B45" t="s">
        <v>85</v>
      </c>
      <c r="C45" t="s">
        <v>506</v>
      </c>
      <c r="D45" s="136">
        <f>(SUMIF('Credit Note Approval Form'!$C:$C,Dashboard!$A45,'Credit Note Approval Form'!$F:$F))*(1-SUMIF('Credit Note Approval Form'!$C:$C,Dashboard!$A45,'Credit Note Approval Form'!$S:$S))</f>
        <v>0</v>
      </c>
      <c r="E45" s="136">
        <f>(SUMIF('Credit Note Approval Form'!$C:$C,Dashboard!$A45,'Credit Note Approval Form'!$I:$I))*(1-SUMIF('Credit Note Approval Form'!$C:$C,Dashboard!$A45,'Credit Note Approval Form'!$S:$S))</f>
        <v>0</v>
      </c>
      <c r="F45" s="136">
        <f>(SUMIF('Credit Note Approval Form'!$C:$C,Dashboard!$A45,'Credit Note Approval Form'!$H:$H))*(1-SUMIF('Credit Note Approval Form'!$C:$C,Dashboard!$A45,'Credit Note Approval Form'!$S:$S))</f>
        <v>0</v>
      </c>
      <c r="G45" s="136">
        <f>(SUMIF('Credit Note Approval Form'!$C:$C,Dashboard!$A45,'Credit Note Approval Form'!$J:$J)+SUMIF('Credit Note Approval Form'!$C:$C,Dashboard!$A45,'Credit Note Approval Form'!$M:$M))*(1-SUMIF('Credit Note Approval Form'!$C:$C,Dashboard!$A45,'Credit Note Approval Form'!$S:$S))</f>
        <v>0</v>
      </c>
      <c r="H45" s="136">
        <f>(SUMIF('Credit Note Approval Form'!$C:$C,Dashboard!$A45,'Credit Note Approval Form'!$P:$P))*(1-SUMIF('Credit Note Approval Form'!$C:$C,Dashboard!$A45,'Credit Note Approval Form'!$S:$S))</f>
        <v>0</v>
      </c>
      <c r="I45" s="136">
        <f>(SUMIF('Credit Note Approval Form'!$C:$C,Dashboard!$A45,'Credit Note Approval Form'!$O:$O))*(1-SUMIF('Credit Note Approval Form'!$C:$C,Dashboard!$A45,'Credit Note Approval Form'!$S:$S))</f>
        <v>0</v>
      </c>
      <c r="K45" s="136">
        <f t="shared" si="0"/>
        <v>0</v>
      </c>
    </row>
    <row r="46" spans="1:13" x14ac:dyDescent="0.25">
      <c r="A46" t="s">
        <v>443</v>
      </c>
      <c r="B46" t="s">
        <v>82</v>
      </c>
      <c r="C46" t="s">
        <v>506</v>
      </c>
      <c r="D46" s="136">
        <f>(SUMIF('Credit Note Approval Form'!$C:$C,Dashboard!$A46,'Credit Note Approval Form'!$F:$F))*(1-SUMIF('Credit Note Approval Form'!$C:$C,Dashboard!$A46,'Credit Note Approval Form'!$S:$S))</f>
        <v>514419.69529096561</v>
      </c>
      <c r="E46" s="136">
        <f>(SUMIF('Credit Note Approval Form'!$C:$C,Dashboard!$A46,'Credit Note Approval Form'!$I:$I))*(1-SUMIF('Credit Note Approval Form'!$C:$C,Dashboard!$A46,'Credit Note Approval Form'!$S:$S))</f>
        <v>0</v>
      </c>
      <c r="F46" s="136">
        <f>(SUMIF('Credit Note Approval Form'!$C:$C,Dashboard!$A46,'Credit Note Approval Form'!$H:$H))*(1-SUMIF('Credit Note Approval Form'!$C:$C,Dashboard!$A46,'Credit Note Approval Form'!$S:$S))</f>
        <v>0</v>
      </c>
      <c r="G46" s="136">
        <f>(SUMIF('Credit Note Approval Form'!$C:$C,Dashboard!$A46,'Credit Note Approval Form'!$J:$J)+SUMIF('Credit Note Approval Form'!$C:$C,Dashboard!$A46,'Credit Note Approval Form'!$M:$M))*(1-SUMIF('Credit Note Approval Form'!$C:$C,Dashboard!$A46,'Credit Note Approval Form'!$S:$S))</f>
        <v>170180.30343249187</v>
      </c>
      <c r="H46" s="136">
        <f>(SUMIF('Credit Note Approval Form'!$C:$C,Dashboard!$A46,'Credit Note Approval Form'!$P:$P))*(1-SUMIF('Credit Note Approval Form'!$C:$C,Dashboard!$A46,'Credit Note Approval Form'!$S:$S))</f>
        <v>16784.948932498999</v>
      </c>
      <c r="I46" s="136">
        <f>(SUMIF('Credit Note Approval Form'!$C:$C,Dashboard!$A46,'Credit Note Approval Form'!$O:$O))*(1-SUMIF('Credit Note Approval Form'!$C:$C,Dashboard!$A46,'Credit Note Approval Form'!$S:$S))</f>
        <v>5242.5584165220307</v>
      </c>
      <c r="K46" s="136">
        <f t="shared" si="0"/>
        <v>706627.50607247849</v>
      </c>
    </row>
    <row r="47" spans="1:13" x14ac:dyDescent="0.25">
      <c r="A47" t="s">
        <v>441</v>
      </c>
      <c r="B47" t="s">
        <v>81</v>
      </c>
      <c r="C47" t="s">
        <v>506</v>
      </c>
      <c r="D47" s="136">
        <f>(SUMIF('Credit Note Approval Form'!$C:$C,Dashboard!$A47,'Credit Note Approval Form'!$F:$F))*(1-SUMIF('Credit Note Approval Form'!$C:$C,Dashboard!$A47,'Credit Note Approval Form'!$S:$S))</f>
        <v>323603.76703545597</v>
      </c>
      <c r="E47" s="136">
        <f>(SUMIF('Credit Note Approval Form'!$C:$C,Dashboard!$A47,'Credit Note Approval Form'!$I:$I))*(1-SUMIF('Credit Note Approval Form'!$C:$C,Dashboard!$A47,'Credit Note Approval Form'!$S:$S))</f>
        <v>81355.849742305712</v>
      </c>
      <c r="F47" s="136">
        <f>(SUMIF('Credit Note Approval Form'!$C:$C,Dashboard!$A47,'Credit Note Approval Form'!$H:$H))*(1-SUMIF('Credit Note Approval Form'!$C:$C,Dashboard!$A47,'Credit Note Approval Form'!$S:$S))</f>
        <v>32039.076439559532</v>
      </c>
      <c r="G47" s="136">
        <f>(SUMIF('Credit Note Approval Form'!$C:$C,Dashboard!$A47,'Credit Note Approval Form'!$J:$J)+SUMIF('Credit Note Approval Form'!$C:$C,Dashboard!$A47,'Credit Note Approval Form'!$M:$M))*(1-SUMIF('Credit Note Approval Form'!$C:$C,Dashboard!$A47,'Credit Note Approval Form'!$S:$S))</f>
        <v>224887.60654172796</v>
      </c>
      <c r="H47" s="136">
        <f>(SUMIF('Credit Note Approval Form'!$C:$C,Dashboard!$A47,'Credit Note Approval Form'!$P:$P))*(1-SUMIF('Credit Note Approval Form'!$C:$C,Dashboard!$A47,'Credit Note Approval Form'!$S:$S))</f>
        <v>235400.8358744361</v>
      </c>
      <c r="I47" s="136">
        <f>(SUMIF('Credit Note Approval Form'!$C:$C,Dashboard!$A47,'Credit Note Approval Form'!$O:$O))*(1-SUMIF('Credit Note Approval Form'!$C:$C,Dashboard!$A47,'Credit Note Approval Form'!$S:$S))</f>
        <v>33941.447014217454</v>
      </c>
      <c r="K47" s="136">
        <f t="shared" si="0"/>
        <v>931228.58264770277</v>
      </c>
    </row>
    <row r="48" spans="1:13" x14ac:dyDescent="0.25">
      <c r="A48" t="s">
        <v>440</v>
      </c>
      <c r="B48" t="s">
        <v>77</v>
      </c>
      <c r="C48" t="s">
        <v>506</v>
      </c>
      <c r="D48" s="136">
        <f>(SUMIF('Credit Note Approval Form'!$C:$C,Dashboard!$A48,'Credit Note Approval Form'!$F:$F))*(1-SUMIF('Credit Note Approval Form'!$C:$C,Dashboard!$A48,'Credit Note Approval Form'!$S:$S))</f>
        <v>0</v>
      </c>
      <c r="E48" s="136">
        <f>(SUMIF('Credit Note Approval Form'!$C:$C,Dashboard!$A48,'Credit Note Approval Form'!$I:$I))*(1-SUMIF('Credit Note Approval Form'!$C:$C,Dashboard!$A48,'Credit Note Approval Form'!$S:$S))</f>
        <v>0</v>
      </c>
      <c r="F48" s="136">
        <f>(SUMIF('Credit Note Approval Form'!$C:$C,Dashboard!$A48,'Credit Note Approval Form'!$H:$H))*(1-SUMIF('Credit Note Approval Form'!$C:$C,Dashboard!$A48,'Credit Note Approval Form'!$S:$S))</f>
        <v>96845.059724770152</v>
      </c>
      <c r="G48" s="136">
        <f>(SUMIF('Credit Note Approval Form'!$C:$C,Dashboard!$A48,'Credit Note Approval Form'!$J:$J)+SUMIF('Credit Note Approval Form'!$C:$C,Dashboard!$A48,'Credit Note Approval Form'!$M:$M))*(1-SUMIF('Credit Note Approval Form'!$C:$C,Dashboard!$A48,'Credit Note Approval Form'!$S:$S))</f>
        <v>113896.65997286543</v>
      </c>
      <c r="H48" s="136">
        <f>(SUMIF('Credit Note Approval Form'!$C:$C,Dashboard!$A48,'Credit Note Approval Form'!$P:$P))*(1-SUMIF('Credit Note Approval Form'!$C:$C,Dashboard!$A48,'Credit Note Approval Form'!$S:$S))</f>
        <v>59489.76108424674</v>
      </c>
      <c r="I48" s="136">
        <f>(SUMIF('Credit Note Approval Form'!$C:$C,Dashboard!$A48,'Credit Note Approval Form'!$O:$O))*(1-SUMIF('Credit Note Approval Form'!$C:$C,Dashboard!$A48,'Credit Note Approval Form'!$S:$S))</f>
        <v>0</v>
      </c>
      <c r="K48" s="136">
        <f t="shared" si="0"/>
        <v>270231.4807818823</v>
      </c>
    </row>
    <row r="49" spans="1:11" x14ac:dyDescent="0.25">
      <c r="A49" t="s">
        <v>449</v>
      </c>
      <c r="B49" t="s">
        <v>86</v>
      </c>
      <c r="C49" t="s">
        <v>506</v>
      </c>
      <c r="D49" s="136">
        <f>(SUMIF('Credit Note Approval Form'!$C:$C,Dashboard!$A49,'Credit Note Approval Form'!$F:$F))*(1-SUMIF('Credit Note Approval Form'!$C:$C,Dashboard!$A49,'Credit Note Approval Form'!$S:$S))</f>
        <v>1238154.1887056853</v>
      </c>
      <c r="E49" s="136">
        <f>(SUMIF('Credit Note Approval Form'!$C:$C,Dashboard!$A49,'Credit Note Approval Form'!$I:$I))*(1-SUMIF('Credit Note Approval Form'!$C:$C,Dashboard!$A49,'Credit Note Approval Form'!$S:$S))</f>
        <v>42397.907388277687</v>
      </c>
      <c r="F49" s="136">
        <f>(SUMIF('Credit Note Approval Form'!$C:$C,Dashboard!$A49,'Credit Note Approval Form'!$H:$H))*(1-SUMIF('Credit Note Approval Form'!$C:$C,Dashboard!$A49,'Credit Note Approval Form'!$S:$S))</f>
        <v>100836.70217598889</v>
      </c>
      <c r="G49" s="136">
        <f>(SUMIF('Credit Note Approval Form'!$C:$C,Dashboard!$A49,'Credit Note Approval Form'!$J:$J)+SUMIF('Credit Note Approval Form'!$C:$C,Dashboard!$A49,'Credit Note Approval Form'!$M:$M))*(1-SUMIF('Credit Note Approval Form'!$C:$C,Dashboard!$A49,'Credit Note Approval Form'!$S:$S))</f>
        <v>351889.16637606075</v>
      </c>
      <c r="H49" s="136">
        <f>(SUMIF('Credit Note Approval Form'!$C:$C,Dashboard!$A49,'Credit Note Approval Form'!$P:$P))*(1-SUMIF('Credit Note Approval Form'!$C:$C,Dashboard!$A49,'Credit Note Approval Form'!$S:$S))</f>
        <v>159606.11839769868</v>
      </c>
      <c r="I49" s="136">
        <f>(SUMIF('Credit Note Approval Form'!$C:$C,Dashboard!$A49,'Credit Note Approval Form'!$O:$O))*(1-SUMIF('Credit Note Approval Form'!$C:$C,Dashboard!$A49,'Credit Note Approval Form'!$S:$S))</f>
        <v>0</v>
      </c>
      <c r="K49" s="136">
        <f t="shared" si="0"/>
        <v>1892884.0830437113</v>
      </c>
    </row>
    <row r="50" spans="1:11" x14ac:dyDescent="0.25">
      <c r="A50" t="s">
        <v>492</v>
      </c>
      <c r="B50" t="s">
        <v>118</v>
      </c>
      <c r="C50" t="s">
        <v>506</v>
      </c>
      <c r="D50" s="136">
        <f>(SUMIF('Credit Note Approval Form'!$C:$C,Dashboard!$A50,'Credit Note Approval Form'!$F:$F))*(1-SUMIF('Credit Note Approval Form'!$C:$C,Dashboard!$A50,'Credit Note Approval Form'!$S:$S))</f>
        <v>877947.86409468204</v>
      </c>
      <c r="E50" s="136">
        <f>(SUMIF('Credit Note Approval Form'!$C:$C,Dashboard!$A50,'Credit Note Approval Form'!$I:$I))*(1-SUMIF('Credit Note Approval Form'!$C:$C,Dashboard!$A50,'Credit Note Approval Form'!$S:$S))</f>
        <v>24613.328496454396</v>
      </c>
      <c r="F50" s="136">
        <f>(SUMIF('Credit Note Approval Form'!$C:$C,Dashboard!$A50,'Credit Note Approval Form'!$H:$H))*(1-SUMIF('Credit Note Approval Form'!$C:$C,Dashboard!$A50,'Credit Note Approval Form'!$S:$S))</f>
        <v>23806.908689564832</v>
      </c>
      <c r="G50" s="136">
        <f>(SUMIF('Credit Note Approval Form'!$C:$C,Dashboard!$A50,'Credit Note Approval Form'!$J:$J)+SUMIF('Credit Note Approval Form'!$C:$C,Dashboard!$A50,'Credit Note Approval Form'!$M:$M))*(1-SUMIF('Credit Note Approval Form'!$C:$C,Dashboard!$A50,'Credit Note Approval Form'!$S:$S))</f>
        <v>139907.55050580623</v>
      </c>
      <c r="H50" s="136">
        <f>(SUMIF('Credit Note Approval Form'!$C:$C,Dashboard!$A50,'Credit Note Approval Form'!$P:$P))*(1-SUMIF('Credit Note Approval Form'!$C:$C,Dashboard!$A50,'Credit Note Approval Form'!$S:$S))</f>
        <v>22572.489042751895</v>
      </c>
      <c r="I50" s="136">
        <f>(SUMIF('Credit Note Approval Form'!$C:$C,Dashboard!$A50,'Credit Note Approval Form'!$O:$O))*(1-SUMIF('Credit Note Approval Form'!$C:$C,Dashboard!$A50,'Credit Note Approval Form'!$S:$S))</f>
        <v>4853.5990463431363</v>
      </c>
      <c r="K50" s="136">
        <f t="shared" si="0"/>
        <v>1093701.7398756028</v>
      </c>
    </row>
    <row r="51" spans="1:11" x14ac:dyDescent="0.25">
      <c r="A51" t="s">
        <v>463</v>
      </c>
      <c r="B51" t="s">
        <v>91</v>
      </c>
      <c r="C51" t="s">
        <v>506</v>
      </c>
      <c r="D51" s="136">
        <f>(SUMIF('Credit Note Approval Form'!$C:$C,Dashboard!$A51,'Credit Note Approval Form'!$F:$F))*(1-SUMIF('Credit Note Approval Form'!$C:$C,Dashboard!$A51,'Credit Note Approval Form'!$S:$S))</f>
        <v>0</v>
      </c>
      <c r="E51" s="136">
        <f>(SUMIF('Credit Note Approval Form'!$C:$C,Dashboard!$A51,'Credit Note Approval Form'!$I:$I))*(1-SUMIF('Credit Note Approval Form'!$C:$C,Dashboard!$A51,'Credit Note Approval Form'!$S:$S))</f>
        <v>0</v>
      </c>
      <c r="F51" s="136">
        <f>(SUMIF('Credit Note Approval Form'!$C:$C,Dashboard!$A51,'Credit Note Approval Form'!$H:$H))*(1-SUMIF('Credit Note Approval Form'!$C:$C,Dashboard!$A51,'Credit Note Approval Form'!$S:$S))</f>
        <v>0</v>
      </c>
      <c r="G51" s="136">
        <f>(SUMIF('Credit Note Approval Form'!$C:$C,Dashboard!$A51,'Credit Note Approval Form'!$J:$J)+SUMIF('Credit Note Approval Form'!$C:$C,Dashboard!$A51,'Credit Note Approval Form'!$M:$M))*(1-SUMIF('Credit Note Approval Form'!$C:$C,Dashboard!$A51,'Credit Note Approval Form'!$S:$S))</f>
        <v>0</v>
      </c>
      <c r="H51" s="136">
        <f>(SUMIF('Credit Note Approval Form'!$C:$C,Dashboard!$A51,'Credit Note Approval Form'!$P:$P))*(1-SUMIF('Credit Note Approval Form'!$C:$C,Dashboard!$A51,'Credit Note Approval Form'!$S:$S))</f>
        <v>0</v>
      </c>
      <c r="I51" s="136">
        <f>(SUMIF('Credit Note Approval Form'!$C:$C,Dashboard!$A51,'Credit Note Approval Form'!$O:$O))*(1-SUMIF('Credit Note Approval Form'!$C:$C,Dashboard!$A51,'Credit Note Approval Form'!$S:$S))</f>
        <v>0</v>
      </c>
      <c r="K51" s="136">
        <f t="shared" si="0"/>
        <v>0</v>
      </c>
    </row>
    <row r="52" spans="1:11" x14ac:dyDescent="0.25">
      <c r="A52" t="s">
        <v>479</v>
      </c>
      <c r="B52" t="s">
        <v>480</v>
      </c>
      <c r="C52" t="s">
        <v>506</v>
      </c>
      <c r="D52" s="136">
        <f>(SUMIF('Credit Note Approval Form'!$C:$C,Dashboard!$A52,'Credit Note Approval Form'!$F:$F))*(1-SUMIF('Credit Note Approval Form'!$C:$C,Dashboard!$A52,'Credit Note Approval Form'!$S:$S))</f>
        <v>1622699.3513140131</v>
      </c>
      <c r="E52" s="136">
        <f>(SUMIF('Credit Note Approval Form'!$C:$C,Dashboard!$A52,'Credit Note Approval Form'!$I:$I))*(1-SUMIF('Credit Note Approval Form'!$C:$C,Dashboard!$A52,'Credit Note Approval Form'!$S:$S))</f>
        <v>260135.42224293988</v>
      </c>
      <c r="F52" s="136">
        <f>(SUMIF('Credit Note Approval Form'!$C:$C,Dashboard!$A52,'Credit Note Approval Form'!$H:$H))*(1-SUMIF('Credit Note Approval Form'!$C:$C,Dashboard!$A52,'Credit Note Approval Form'!$S:$S))</f>
        <v>242577.99933970673</v>
      </c>
      <c r="G52" s="136">
        <f>(SUMIF('Credit Note Approval Form'!$C:$C,Dashboard!$A52,'Credit Note Approval Form'!$J:$J)+SUMIF('Credit Note Approval Form'!$C:$C,Dashboard!$A52,'Credit Note Approval Form'!$M:$M))*(1-SUMIF('Credit Note Approval Form'!$C:$C,Dashboard!$A52,'Credit Note Approval Form'!$S:$S))</f>
        <v>2085466.1729484336</v>
      </c>
      <c r="H52" s="136">
        <f>(SUMIF('Credit Note Approval Form'!$C:$C,Dashboard!$A52,'Credit Note Approval Form'!$P:$P))*(1-SUMIF('Credit Note Approval Form'!$C:$C,Dashboard!$A52,'Credit Note Approval Form'!$S:$S))</f>
        <v>157931.23499999999</v>
      </c>
      <c r="I52" s="136">
        <f>(SUMIF('Credit Note Approval Form'!$C:$C,Dashboard!$A52,'Credit Note Approval Form'!$O:$O))*(1-SUMIF('Credit Note Approval Form'!$C:$C,Dashboard!$A52,'Credit Note Approval Form'!$S:$S))</f>
        <v>30706.367999999999</v>
      </c>
      <c r="K52" s="136">
        <f t="shared" si="0"/>
        <v>4399516.5488450937</v>
      </c>
    </row>
    <row r="53" spans="1:11" x14ac:dyDescent="0.25">
      <c r="A53" t="s">
        <v>468</v>
      </c>
      <c r="B53" t="s">
        <v>469</v>
      </c>
      <c r="C53" t="s">
        <v>506</v>
      </c>
      <c r="D53" s="136">
        <f>(SUMIF('Credit Note Approval Form'!$C:$C,Dashboard!$A53,'Credit Note Approval Form'!$F:$F))*(1-SUMIF('Credit Note Approval Form'!$C:$C,Dashboard!$A53,'Credit Note Approval Form'!$S:$S))</f>
        <v>867910.93492026348</v>
      </c>
      <c r="E53" s="136">
        <f>(SUMIF('Credit Note Approval Form'!$C:$C,Dashboard!$A53,'Credit Note Approval Form'!$I:$I))*(1-SUMIF('Credit Note Approval Form'!$C:$C,Dashboard!$A53,'Credit Note Approval Form'!$S:$S))</f>
        <v>49294.043750000004</v>
      </c>
      <c r="F53" s="136">
        <f>(SUMIF('Credit Note Approval Form'!$C:$C,Dashboard!$A53,'Credit Note Approval Form'!$H:$H))*(1-SUMIF('Credit Note Approval Form'!$C:$C,Dashboard!$A53,'Credit Note Approval Form'!$S:$S))</f>
        <v>23438.260418808764</v>
      </c>
      <c r="G53" s="136">
        <f>(SUMIF('Credit Note Approval Form'!$C:$C,Dashboard!$A53,'Credit Note Approval Form'!$J:$J)+SUMIF('Credit Note Approval Form'!$C:$C,Dashboard!$A53,'Credit Note Approval Form'!$M:$M))*(1-SUMIF('Credit Note Approval Form'!$C:$C,Dashboard!$A53,'Credit Note Approval Form'!$S:$S))</f>
        <v>1228730.8804547768</v>
      </c>
      <c r="H53" s="136">
        <f>(SUMIF('Credit Note Approval Form'!$C:$C,Dashboard!$A53,'Credit Note Approval Form'!$P:$P))*(1-SUMIF('Credit Note Approval Form'!$C:$C,Dashboard!$A53,'Credit Note Approval Form'!$S:$S))</f>
        <v>142138.1115</v>
      </c>
      <c r="I53" s="136">
        <f>(SUMIF('Credit Note Approval Form'!$C:$C,Dashboard!$A53,'Credit Note Approval Form'!$O:$O))*(1-SUMIF('Credit Note Approval Form'!$C:$C,Dashboard!$A53,'Credit Note Approval Form'!$S:$S))</f>
        <v>3443.8649850054453</v>
      </c>
      <c r="K53" s="136">
        <f t="shared" si="0"/>
        <v>2314956.0960288546</v>
      </c>
    </row>
    <row r="54" spans="1:11" x14ac:dyDescent="0.25">
      <c r="K54" s="136">
        <f>SUM(K2:K53)</f>
        <v>96581204.030243546</v>
      </c>
    </row>
    <row r="56" spans="1:11" x14ac:dyDescent="0.25">
      <c r="K56" s="136">
        <f>K54-'Credit Note Approval Form'!$T$53</f>
        <v>353943.53481397033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W64"/>
  <sheetViews>
    <sheetView tabSelected="1" zoomScale="85" zoomScaleNormal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C9" sqref="C9"/>
    </sheetView>
  </sheetViews>
  <sheetFormatPr defaultRowHeight="15" x14ac:dyDescent="0.25"/>
  <cols>
    <col min="1" max="1" width="1.5703125" customWidth="1"/>
    <col min="2" max="2" width="5.42578125" customWidth="1"/>
    <col min="3" max="3" width="12.42578125" customWidth="1"/>
    <col min="4" max="4" width="40" bestFit="1" customWidth="1"/>
    <col min="5" max="5" width="8.140625" customWidth="1"/>
    <col min="6" max="6" width="13.7109375" customWidth="1"/>
    <col min="7" max="7" width="13.7109375" hidden="1" customWidth="1"/>
    <col min="8" max="11" width="13.7109375" customWidth="1"/>
    <col min="12" max="12" width="13.7109375" hidden="1" customWidth="1"/>
    <col min="13" max="16" width="13.7109375" customWidth="1"/>
    <col min="17" max="17" width="15.28515625" bestFit="1" customWidth="1"/>
    <col min="18" max="18" width="1.42578125" customWidth="1"/>
    <col min="19" max="19" width="11.7109375" customWidth="1"/>
    <col min="20" max="20" width="15.28515625" bestFit="1" customWidth="1"/>
  </cols>
  <sheetData>
    <row r="1" spans="1:23" ht="23.25" x14ac:dyDescent="0.35">
      <c r="B1" s="109" t="str">
        <f>CONCATENATE("CASTEL MALAWI TRADITIONAL TRADE SCHEME"," ",D3," ",D4," RESULTS")</f>
        <v>CASTEL MALAWI TRADITIONAL TRADE SCHEME AUGUST 2021 RESULTS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  <c r="R1" s="104"/>
      <c r="S1" s="104"/>
      <c r="T1" s="105"/>
    </row>
    <row r="2" spans="1:23" ht="5.25" customHeight="1" x14ac:dyDescent="0.25"/>
    <row r="3" spans="1:23" x14ac:dyDescent="0.25">
      <c r="B3" s="35"/>
      <c r="C3" s="34" t="s">
        <v>340</v>
      </c>
      <c r="D3" s="10" t="s">
        <v>370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36"/>
    </row>
    <row r="4" spans="1:23" x14ac:dyDescent="0.25">
      <c r="B4" s="35"/>
      <c r="C4" s="34" t="s">
        <v>341</v>
      </c>
      <c r="D4" s="37">
        <v>2021</v>
      </c>
      <c r="E4" s="10"/>
      <c r="F4" s="34"/>
      <c r="G4" s="34"/>
      <c r="H4" s="10"/>
      <c r="I4" s="10"/>
      <c r="J4" s="10"/>
      <c r="K4" s="10"/>
      <c r="L4" s="10"/>
      <c r="M4" s="10"/>
      <c r="N4" s="10"/>
      <c r="O4" s="10"/>
      <c r="P4" s="10"/>
      <c r="Q4" s="38"/>
      <c r="S4" s="9"/>
    </row>
    <row r="5" spans="1:23" ht="5.25" customHeight="1" x14ac:dyDescent="0.25">
      <c r="B5" s="35"/>
      <c r="C5" s="10"/>
      <c r="D5" s="10"/>
      <c r="E5" s="10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ht="20.100000000000001" customHeight="1" x14ac:dyDescent="0.25">
      <c r="B6" s="56"/>
      <c r="C6" s="56"/>
      <c r="D6" s="56"/>
      <c r="E6" s="56"/>
      <c r="F6" s="167" t="s">
        <v>336</v>
      </c>
      <c r="G6" s="167"/>
      <c r="H6" s="168"/>
      <c r="I6" s="168"/>
      <c r="J6" s="168"/>
      <c r="K6" s="168"/>
      <c r="L6" s="168"/>
      <c r="M6" s="168"/>
      <c r="N6" s="168"/>
      <c r="O6" s="168"/>
      <c r="P6" s="168"/>
      <c r="Q6" s="168"/>
      <c r="S6" s="169" t="s">
        <v>423</v>
      </c>
      <c r="T6" s="114"/>
    </row>
    <row r="7" spans="1:23" ht="20.100000000000001" customHeight="1" x14ac:dyDescent="0.25">
      <c r="A7" s="14"/>
      <c r="B7" s="57" t="s">
        <v>337</v>
      </c>
      <c r="C7" s="57" t="s">
        <v>338</v>
      </c>
      <c r="D7" s="57" t="s">
        <v>1</v>
      </c>
      <c r="E7" s="57" t="s">
        <v>152</v>
      </c>
      <c r="F7" s="65" t="s">
        <v>417</v>
      </c>
      <c r="G7" s="65" t="s">
        <v>418</v>
      </c>
      <c r="H7" s="66" t="s">
        <v>130</v>
      </c>
      <c r="I7" s="66" t="s">
        <v>131</v>
      </c>
      <c r="J7" s="66" t="s">
        <v>514</v>
      </c>
      <c r="K7" s="66" t="s">
        <v>515</v>
      </c>
      <c r="L7" s="84" t="s">
        <v>161</v>
      </c>
      <c r="M7" s="66" t="s">
        <v>354</v>
      </c>
      <c r="N7" s="66" t="s">
        <v>355</v>
      </c>
      <c r="O7" s="66" t="s">
        <v>132</v>
      </c>
      <c r="P7" s="66" t="s">
        <v>133</v>
      </c>
      <c r="Q7" s="66" t="s">
        <v>420</v>
      </c>
      <c r="S7" s="169"/>
      <c r="T7" s="115" t="s">
        <v>339</v>
      </c>
    </row>
    <row r="8" spans="1:23" x14ac:dyDescent="0.25">
      <c r="B8" s="55">
        <v>1</v>
      </c>
      <c r="C8" s="55">
        <v>1010105134</v>
      </c>
      <c r="D8" s="55" t="s">
        <v>53</v>
      </c>
      <c r="E8" s="55" t="s">
        <v>140</v>
      </c>
      <c r="F8" s="40">
        <f>SUMIFS(Workings!$N:$N,Workings!$A:$A,'Credit Note Approval Form'!$C8,Workings!$E:$E,'Credit Note Approval Form'!F$7)</f>
        <v>1673884.6261102241</v>
      </c>
      <c r="G8" s="40">
        <f>SUMIFS(Workings!$N:$N,Workings!$A:$A,'Credit Note Approval Form'!$C8,Workings!$E:$E,'Credit Note Approval Form'!G$7)</f>
        <v>0</v>
      </c>
      <c r="H8" s="40">
        <f>SUMIFS(Workings!$N:$N,Workings!$A:$A,'Credit Note Approval Form'!$C8,Workings!$E:$E,'Credit Note Approval Form'!H$7)</f>
        <v>0</v>
      </c>
      <c r="I8" s="40">
        <f>SUMIFS(Workings!$N:$N,Workings!$A:$A,'Credit Note Approval Form'!$C8,Workings!$E:$E,'Credit Note Approval Form'!I$7)</f>
        <v>49065.433280013676</v>
      </c>
      <c r="J8" s="40">
        <f>SUMIFS(Workings!$N:$N,Workings!$A:$A,'Credit Note Approval Form'!$C8,Workings!$E:$E,'Credit Note Approval Form'!J$7)</f>
        <v>0</v>
      </c>
      <c r="K8" s="40">
        <f>SUMIFS(Workings!$N:$N,Workings!$A:$A,'Credit Note Approval Form'!$C8,Workings!$E:$E,'Credit Note Approval Form'!K$7)</f>
        <v>0</v>
      </c>
      <c r="L8" s="40">
        <f>SUMIFS(Workings!$N:$N,Workings!$A:$A,'Credit Note Approval Form'!$C8,Workings!$E:$E,'Credit Note Approval Form'!L$7)</f>
        <v>0</v>
      </c>
      <c r="M8" s="40">
        <f>SUMIFS(Workings!$N:$N,Workings!$A:$A,'Credit Note Approval Form'!$C8,Workings!$E:$E,'Credit Note Approval Form'!M$7)</f>
        <v>0</v>
      </c>
      <c r="N8" s="40">
        <f>SUMIFS(Workings!$N:$N,Workings!$A:$A,'Credit Note Approval Form'!$C8,Workings!$E:$E,'Credit Note Approval Form'!N$7)</f>
        <v>20912.828423725943</v>
      </c>
      <c r="O8" s="40">
        <f>SUMIFS(Workings!$N:$N,Workings!$A:$A,'Credit Note Approval Form'!$C8,Workings!$E:$E,'Credit Note Approval Form'!O$7)</f>
        <v>71697.01024594983</v>
      </c>
      <c r="P8" s="40">
        <f>SUMIFS(Workings!$N:$N,Workings!$A:$A,'Credit Note Approval Form'!$C8,Workings!$E:$E,'Credit Note Approval Form'!P$7)</f>
        <v>30437.342639418861</v>
      </c>
      <c r="Q8" s="58">
        <f t="shared" ref="Q8:Q52" si="0">SUM($F8:$P8)</f>
        <v>1845997.2406993322</v>
      </c>
      <c r="S8" s="116">
        <f>IF(_xlfn.XLOOKUP($C8,'TT Around time'!$A:$A,'TT Around time'!$D:$D,,0)-_xlfn.XLOOKUP($C8,'TT Around time'!$A:$A,'TT Around time'!$E:$E,,0)&gt;'Discount Scheme Target'!$N$4,'Discount Scheme Target'!$N$5,IF(_xlfn.XLOOKUP($C8,'TT Around time'!$A:$A,'TT Around time'!$D:$D,,0)-_xlfn.XLOOKUP($C8,'TT Around time'!$A:$A,'TT Around time'!$E:$E,,0)&gt;'Discount Scheme Target'!$M$4,'Discount Scheme Target'!$M$5,IF(_xlfn.XLOOKUP($C8,'TT Around time'!$A:$A,'TT Around time'!$D:$D,,0)-_xlfn.XLOOKUP($C8,'TT Around time'!$A:$A,'TT Around time'!$E:$E,,0)&gt;'Discount Scheme Target'!$L$4,'Discount Scheme Target'!$L$5,0)))</f>
        <v>0</v>
      </c>
      <c r="T8" s="58">
        <f>Q8*(1-S8)</f>
        <v>1845997.2406993322</v>
      </c>
    </row>
    <row r="9" spans="1:23" x14ac:dyDescent="0.25">
      <c r="B9" s="41">
        <v>2</v>
      </c>
      <c r="C9" s="41">
        <v>1010920019</v>
      </c>
      <c r="D9" s="163" t="s">
        <v>76</v>
      </c>
      <c r="E9" s="41" t="s">
        <v>140</v>
      </c>
      <c r="F9" s="42">
        <f>SUMIFS(Workings!$N:$N,Workings!$A:$A,'Credit Note Approval Form'!$C9,Workings!$E:$E,'Credit Note Approval Form'!F$7)</f>
        <v>1121096.0072664558</v>
      </c>
      <c r="G9" s="42">
        <f>SUMIFS(Workings!$N:$N,Workings!$A:$A,'Credit Note Approval Form'!$C9,Workings!$E:$E,'Credit Note Approval Form'!G$7)</f>
        <v>0</v>
      </c>
      <c r="H9" s="42">
        <f>SUMIFS(Workings!$N:$N,Workings!$A:$A,'Credit Note Approval Form'!$C9,Workings!$E:$E,'Credit Note Approval Form'!H$7)</f>
        <v>272137.31373030384</v>
      </c>
      <c r="I9" s="42">
        <f>SUMIFS(Workings!$N:$N,Workings!$A:$A,'Credit Note Approval Form'!$C9,Workings!$E:$E,'Credit Note Approval Form'!I$7)</f>
        <v>326059.97622220818</v>
      </c>
      <c r="J9" s="42">
        <f>SUMIFS(Workings!$N:$N,Workings!$A:$A,'Credit Note Approval Form'!$C9,Workings!$E:$E,'Credit Note Approval Form'!J$7)</f>
        <v>637007.82886367105</v>
      </c>
      <c r="K9" s="42">
        <f>SUMIFS(Workings!$N:$N,Workings!$A:$A,'Credit Note Approval Form'!$C9,Workings!$E:$E,'Credit Note Approval Form'!K$7)</f>
        <v>18266.522295101309</v>
      </c>
      <c r="L9" s="42">
        <f>SUMIFS(Workings!$N:$N,Workings!$A:$A,'Credit Note Approval Form'!$C9,Workings!$E:$E,'Credit Note Approval Form'!L$7)</f>
        <v>0</v>
      </c>
      <c r="M9" s="42">
        <f>SUMIFS(Workings!$N:$N,Workings!$A:$A,'Credit Note Approval Form'!$C9,Workings!$E:$E,'Credit Note Approval Form'!M$7)</f>
        <v>509722.58390190545</v>
      </c>
      <c r="N9" s="42">
        <f>SUMIFS(Workings!$N:$N,Workings!$A:$A,'Credit Note Approval Form'!$C9,Workings!$E:$E,'Credit Note Approval Form'!N$7)</f>
        <v>31107.293756607305</v>
      </c>
      <c r="O9" s="42">
        <f>SUMIFS(Workings!$N:$N,Workings!$A:$A,'Credit Note Approval Form'!$C9,Workings!$E:$E,'Credit Note Approval Form'!O$7)</f>
        <v>97225.628815499513</v>
      </c>
      <c r="P9" s="42">
        <f>SUMIFS(Workings!$N:$N,Workings!$A:$A,'Credit Note Approval Form'!$C9,Workings!$E:$E,'Credit Note Approval Form'!P$7)</f>
        <v>290803.39258301147</v>
      </c>
      <c r="Q9" s="59">
        <f t="shared" si="0"/>
        <v>3303426.5474347644</v>
      </c>
      <c r="S9" s="107">
        <f>IF(_xlfn.XLOOKUP($C9,'TT Around time'!$A:$A,'TT Around time'!$D:$D,,0)-_xlfn.XLOOKUP($C9,'TT Around time'!$A:$A,'TT Around time'!$E:$E,,0)&gt;'Discount Scheme Target'!$N$4,'Discount Scheme Target'!$N$5,IF(_xlfn.XLOOKUP($C9,'TT Around time'!$A:$A,'TT Around time'!$D:$D,,0)-_xlfn.XLOOKUP($C9,'TT Around time'!$A:$A,'TT Around time'!$E:$E,,0)&gt;'Discount Scheme Target'!$M$4,'Discount Scheme Target'!$M$5,IF(_xlfn.XLOOKUP($C9,'TT Around time'!$A:$A,'TT Around time'!$D:$D,,0)-_xlfn.XLOOKUP($C9,'TT Around time'!$A:$A,'TT Around time'!$E:$E,,0)&gt;'Discount Scheme Target'!$L$4,'Discount Scheme Target'!$L$5,0)))</f>
        <v>0.25</v>
      </c>
      <c r="T9" s="59">
        <f t="shared" ref="T9:T51" si="1">Q9*(1-S9)</f>
        <v>2477569.9105760735</v>
      </c>
    </row>
    <row r="10" spans="1:23" x14ac:dyDescent="0.25">
      <c r="B10" s="41">
        <v>3</v>
      </c>
      <c r="C10" s="41">
        <v>1010601015</v>
      </c>
      <c r="D10" s="41" t="s">
        <v>75</v>
      </c>
      <c r="E10" s="41" t="s">
        <v>140</v>
      </c>
      <c r="F10" s="42">
        <f>SUMIFS(Workings!$N:$N,Workings!$A:$A,'Credit Note Approval Form'!$C10,Workings!$E:$E,'Credit Note Approval Form'!F$7)</f>
        <v>0</v>
      </c>
      <c r="G10" s="42">
        <f>SUMIFS(Workings!$N:$N,Workings!$A:$A,'Credit Note Approval Form'!$C10,Workings!$E:$E,'Credit Note Approval Form'!G$7)</f>
        <v>0</v>
      </c>
      <c r="H10" s="42">
        <f>SUMIFS(Workings!$N:$N,Workings!$A:$A,'Credit Note Approval Form'!$C10,Workings!$E:$E,'Credit Note Approval Form'!H$7)</f>
        <v>0</v>
      </c>
      <c r="I10" s="42">
        <f>SUMIFS(Workings!$N:$N,Workings!$A:$A,'Credit Note Approval Form'!$C10,Workings!$E:$E,'Credit Note Approval Form'!I$7)</f>
        <v>0</v>
      </c>
      <c r="J10" s="42">
        <f>SUMIFS(Workings!$N:$N,Workings!$A:$A,'Credit Note Approval Form'!$C10,Workings!$E:$E,'Credit Note Approval Form'!J$7)</f>
        <v>1201823.1254260505</v>
      </c>
      <c r="K10" s="42">
        <f>SUMIFS(Workings!$N:$N,Workings!$A:$A,'Credit Note Approval Form'!$C10,Workings!$E:$E,'Credit Note Approval Form'!K$7)</f>
        <v>79340.20436728443</v>
      </c>
      <c r="L10" s="42">
        <f>SUMIFS(Workings!$N:$N,Workings!$A:$A,'Credit Note Approval Form'!$C10,Workings!$E:$E,'Credit Note Approval Form'!L$7)</f>
        <v>0</v>
      </c>
      <c r="M10" s="42">
        <f>SUMIFS(Workings!$N:$N,Workings!$A:$A,'Credit Note Approval Form'!$C10,Workings!$E:$E,'Credit Note Approval Form'!M$7)</f>
        <v>325422.66151316167</v>
      </c>
      <c r="N10" s="42">
        <f>SUMIFS(Workings!$N:$N,Workings!$A:$A,'Credit Note Approval Form'!$C10,Workings!$E:$E,'Credit Note Approval Form'!N$7)</f>
        <v>139935.21018016568</v>
      </c>
      <c r="O10" s="42">
        <f>SUMIFS(Workings!$N:$N,Workings!$A:$A,'Credit Note Approval Form'!$C10,Workings!$E:$E,'Credit Note Approval Form'!O$7)</f>
        <v>0</v>
      </c>
      <c r="P10" s="42">
        <f>SUMIFS(Workings!$N:$N,Workings!$A:$A,'Credit Note Approval Form'!$C10,Workings!$E:$E,'Credit Note Approval Form'!P$7)</f>
        <v>199047.49067038362</v>
      </c>
      <c r="Q10" s="59">
        <f t="shared" si="0"/>
        <v>1945568.6921570459</v>
      </c>
      <c r="S10" s="107">
        <f>IF(_xlfn.XLOOKUP($C10,'TT Around time'!$A:$A,'TT Around time'!$D:$D,,0)-_xlfn.XLOOKUP($C10,'TT Around time'!$A:$A,'TT Around time'!$E:$E,,0)&gt;'Discount Scheme Target'!$N$4,'Discount Scheme Target'!$N$5,IF(_xlfn.XLOOKUP($C10,'TT Around time'!$A:$A,'TT Around time'!$D:$D,,0)-_xlfn.XLOOKUP($C10,'TT Around time'!$A:$A,'TT Around time'!$E:$E,,0)&gt;'Discount Scheme Target'!$M$4,'Discount Scheme Target'!$M$5,IF(_xlfn.XLOOKUP($C10,'TT Around time'!$A:$A,'TT Around time'!$D:$D,,0)-_xlfn.XLOOKUP($C10,'TT Around time'!$A:$A,'TT Around time'!$E:$E,,0)&gt;'Discount Scheme Target'!$L$4,'Discount Scheme Target'!$L$5,0)))</f>
        <v>0.25</v>
      </c>
      <c r="T10" s="59">
        <f t="shared" si="1"/>
        <v>1459176.5191177845</v>
      </c>
    </row>
    <row r="11" spans="1:23" x14ac:dyDescent="0.25">
      <c r="B11" s="55">
        <v>4</v>
      </c>
      <c r="C11" s="41">
        <v>1010410048</v>
      </c>
      <c r="D11" s="41" t="s">
        <v>72</v>
      </c>
      <c r="E11" s="41" t="s">
        <v>140</v>
      </c>
      <c r="F11" s="42">
        <f>SUMIFS(Workings!$N:$N,Workings!$A:$A,'Credit Note Approval Form'!$C11,Workings!$E:$E,'Credit Note Approval Form'!F$7)</f>
        <v>1245170.0602769353</v>
      </c>
      <c r="G11" s="42">
        <f>SUMIFS(Workings!$N:$N,Workings!$A:$A,'Credit Note Approval Form'!$C11,Workings!$E:$E,'Credit Note Approval Form'!G$7)</f>
        <v>0</v>
      </c>
      <c r="H11" s="42">
        <f>SUMIFS(Workings!$N:$N,Workings!$A:$A,'Credit Note Approval Form'!$C11,Workings!$E:$E,'Credit Note Approval Form'!H$7)</f>
        <v>33510.709160033904</v>
      </c>
      <c r="I11" s="42">
        <f>SUMIFS(Workings!$N:$N,Workings!$A:$A,'Credit Note Approval Form'!$C11,Workings!$E:$E,'Credit Note Approval Form'!I$7)</f>
        <v>316617.67183446395</v>
      </c>
      <c r="J11" s="42">
        <f>SUMIFS(Workings!$N:$N,Workings!$A:$A,'Credit Note Approval Form'!$C11,Workings!$E:$E,'Credit Note Approval Form'!J$7)</f>
        <v>311293.46080597508</v>
      </c>
      <c r="K11" s="42">
        <f>SUMIFS(Workings!$N:$N,Workings!$A:$A,'Credit Note Approval Form'!$C11,Workings!$E:$E,'Credit Note Approval Form'!K$7)</f>
        <v>52682.042785569531</v>
      </c>
      <c r="L11" s="42">
        <f>SUMIFS(Workings!$N:$N,Workings!$A:$A,'Credit Note Approval Form'!$C11,Workings!$E:$E,'Credit Note Approval Form'!L$7)</f>
        <v>0</v>
      </c>
      <c r="M11" s="42">
        <f>SUMIFS(Workings!$N:$N,Workings!$A:$A,'Credit Note Approval Form'!$C11,Workings!$E:$E,'Credit Note Approval Form'!M$7)</f>
        <v>34072.070229175806</v>
      </c>
      <c r="N11" s="42">
        <f>SUMIFS(Workings!$N:$N,Workings!$A:$A,'Credit Note Approval Form'!$C11,Workings!$E:$E,'Credit Note Approval Form'!N$7)</f>
        <v>13244.354335447373</v>
      </c>
      <c r="O11" s="42">
        <f>SUMIFS(Workings!$N:$N,Workings!$A:$A,'Credit Note Approval Form'!$C11,Workings!$E:$E,'Credit Note Approval Form'!O$7)</f>
        <v>7001.8456965894711</v>
      </c>
      <c r="P11" s="42">
        <f>SUMIFS(Workings!$N:$N,Workings!$A:$A,'Credit Note Approval Form'!$C11,Workings!$E:$E,'Credit Note Approval Form'!P$7)</f>
        <v>165187.27131851792</v>
      </c>
      <c r="Q11" s="59">
        <f t="shared" si="0"/>
        <v>2178779.4864427084</v>
      </c>
      <c r="S11" s="107">
        <f>IF(_xlfn.XLOOKUP($C11,'TT Around time'!$A:$A,'TT Around time'!$D:$D,,0)-_xlfn.XLOOKUP($C11,'TT Around time'!$A:$A,'TT Around time'!$E:$E,,0)&gt;'Discount Scheme Target'!$N$4,'Discount Scheme Target'!$N$5,IF(_xlfn.XLOOKUP($C11,'TT Around time'!$A:$A,'TT Around time'!$D:$D,,0)-_xlfn.XLOOKUP($C11,'TT Around time'!$A:$A,'TT Around time'!$E:$E,,0)&gt;'Discount Scheme Target'!$M$4,'Discount Scheme Target'!$M$5,IF(_xlfn.XLOOKUP($C11,'TT Around time'!$A:$A,'TT Around time'!$D:$D,,0)-_xlfn.XLOOKUP($C11,'TT Around time'!$A:$A,'TT Around time'!$E:$E,,0)&gt;'Discount Scheme Target'!$L$4,'Discount Scheme Target'!$L$5,0)))</f>
        <v>0</v>
      </c>
      <c r="T11" s="59">
        <f t="shared" si="1"/>
        <v>2178779.4864427084</v>
      </c>
    </row>
    <row r="12" spans="1:23" x14ac:dyDescent="0.25">
      <c r="B12" s="41">
        <v>5</v>
      </c>
      <c r="C12" s="41">
        <v>1011730003</v>
      </c>
      <c r="D12" s="41" t="s">
        <v>77</v>
      </c>
      <c r="E12" s="41" t="s">
        <v>140</v>
      </c>
      <c r="F12" s="42">
        <f>SUMIFS(Workings!$N:$N,Workings!$A:$A,'Credit Note Approval Form'!$C12,Workings!$E:$E,'Credit Note Approval Form'!F$7)</f>
        <v>0</v>
      </c>
      <c r="G12" s="42">
        <f>SUMIFS(Workings!$N:$N,Workings!$A:$A,'Credit Note Approval Form'!$C12,Workings!$E:$E,'Credit Note Approval Form'!G$7)</f>
        <v>0</v>
      </c>
      <c r="H12" s="42">
        <f>SUMIFS(Workings!$N:$N,Workings!$A:$A,'Credit Note Approval Form'!$C12,Workings!$E:$E,'Credit Note Approval Form'!H$7)</f>
        <v>129126.74629969354</v>
      </c>
      <c r="I12" s="42">
        <f>SUMIFS(Workings!$N:$N,Workings!$A:$A,'Credit Note Approval Form'!$C12,Workings!$E:$E,'Credit Note Approval Form'!I$7)</f>
        <v>0</v>
      </c>
      <c r="J12" s="42">
        <f>SUMIFS(Workings!$N:$N,Workings!$A:$A,'Credit Note Approval Form'!$C12,Workings!$E:$E,'Credit Note Approval Form'!J$7)</f>
        <v>151862.21329715391</v>
      </c>
      <c r="K12" s="42">
        <f>SUMIFS(Workings!$N:$N,Workings!$A:$A,'Credit Note Approval Form'!$C12,Workings!$E:$E,'Credit Note Approval Form'!K$7)</f>
        <v>11977.828785897567</v>
      </c>
      <c r="L12" s="42">
        <f>SUMIFS(Workings!$N:$N,Workings!$A:$A,'Credit Note Approval Form'!$C12,Workings!$E:$E,'Credit Note Approval Form'!L$7)</f>
        <v>0</v>
      </c>
      <c r="M12" s="42">
        <f>SUMIFS(Workings!$N:$N,Workings!$A:$A,'Credit Note Approval Form'!$C12,Workings!$E:$E,'Credit Note Approval Form'!M$7)</f>
        <v>0</v>
      </c>
      <c r="N12" s="42">
        <f>SUMIFS(Workings!$N:$N,Workings!$A:$A,'Credit Note Approval Form'!$C12,Workings!$E:$E,'Credit Note Approval Form'!N$7)</f>
        <v>0</v>
      </c>
      <c r="O12" s="42">
        <f>SUMIFS(Workings!$N:$N,Workings!$A:$A,'Credit Note Approval Form'!$C12,Workings!$E:$E,'Credit Note Approval Form'!O$7)</f>
        <v>0</v>
      </c>
      <c r="P12" s="42">
        <f>SUMIFS(Workings!$N:$N,Workings!$A:$A,'Credit Note Approval Form'!$C12,Workings!$E:$E,'Credit Note Approval Form'!P$7)</f>
        <v>79319.681445662325</v>
      </c>
      <c r="Q12" s="59">
        <f t="shared" si="0"/>
        <v>372286.46982840734</v>
      </c>
      <c r="S12" s="107">
        <f>IF(_xlfn.XLOOKUP($C12,'TT Around time'!$A:$A,'TT Around time'!$D:$D,,0)-_xlfn.XLOOKUP($C12,'TT Around time'!$A:$A,'TT Around time'!$E:$E,,0)&gt;'Discount Scheme Target'!$N$4,'Discount Scheme Target'!$N$5,IF(_xlfn.XLOOKUP($C12,'TT Around time'!$A:$A,'TT Around time'!$D:$D,,0)-_xlfn.XLOOKUP($C12,'TT Around time'!$A:$A,'TT Around time'!$E:$E,,0)&gt;'Discount Scheme Target'!$M$4,'Discount Scheme Target'!$M$5,IF(_xlfn.XLOOKUP($C12,'TT Around time'!$A:$A,'TT Around time'!$D:$D,,0)-_xlfn.XLOOKUP($C12,'TT Around time'!$A:$A,'TT Around time'!$E:$E,,0)&gt;'Discount Scheme Target'!$L$4,'Discount Scheme Target'!$L$5,0)))</f>
        <v>0.25</v>
      </c>
      <c r="T12" s="59">
        <f t="shared" si="1"/>
        <v>279214.85237130552</v>
      </c>
    </row>
    <row r="13" spans="1:23" x14ac:dyDescent="0.25">
      <c r="B13" s="41">
        <v>6</v>
      </c>
      <c r="C13" s="41">
        <v>1300003024</v>
      </c>
      <c r="D13" s="41" t="s">
        <v>84</v>
      </c>
      <c r="E13" s="41" t="s">
        <v>140</v>
      </c>
      <c r="F13" s="42">
        <f>SUMIFS(Workings!$N:$N,Workings!$A:$A,'Credit Note Approval Form'!$C13,Workings!$E:$E,'Credit Note Approval Form'!F$7)</f>
        <v>6879772.6884345254</v>
      </c>
      <c r="G13" s="42">
        <f>SUMIFS(Workings!$N:$N,Workings!$A:$A,'Credit Note Approval Form'!$C13,Workings!$E:$E,'Credit Note Approval Form'!G$7)</f>
        <v>0</v>
      </c>
      <c r="H13" s="42">
        <f>SUMIFS(Workings!$N:$N,Workings!$A:$A,'Credit Note Approval Form'!$C13,Workings!$E:$E,'Credit Note Approval Form'!H$7)</f>
        <v>257956.57240046482</v>
      </c>
      <c r="I13" s="42">
        <f>SUMIFS(Workings!$N:$N,Workings!$A:$A,'Credit Note Approval Form'!$C13,Workings!$E:$E,'Credit Note Approval Form'!I$7)</f>
        <v>305922.57418783999</v>
      </c>
      <c r="J13" s="42">
        <f>SUMIFS(Workings!$N:$N,Workings!$A:$A,'Credit Note Approval Form'!$C13,Workings!$E:$E,'Credit Note Approval Form'!J$7)</f>
        <v>1479012.0625142364</v>
      </c>
      <c r="K13" s="42">
        <f>SUMIFS(Workings!$N:$N,Workings!$A:$A,'Credit Note Approval Form'!$C13,Workings!$E:$E,'Credit Note Approval Form'!K$7)</f>
        <v>16090.264436002357</v>
      </c>
      <c r="L13" s="42">
        <f>SUMIFS(Workings!$N:$N,Workings!$A:$A,'Credit Note Approval Form'!$C13,Workings!$E:$E,'Credit Note Approval Form'!L$7)</f>
        <v>0</v>
      </c>
      <c r="M13" s="42">
        <f>SUMIFS(Workings!$N:$N,Workings!$A:$A,'Credit Note Approval Form'!$C13,Workings!$E:$E,'Credit Note Approval Form'!M$7)</f>
        <v>333342.90812306356</v>
      </c>
      <c r="N13" s="42">
        <f>SUMIFS(Workings!$N:$N,Workings!$A:$A,'Credit Note Approval Form'!$C13,Workings!$E:$E,'Credit Note Approval Form'!N$7)</f>
        <v>21823.399596488129</v>
      </c>
      <c r="O13" s="42">
        <f>SUMIFS(Workings!$N:$N,Workings!$A:$A,'Credit Note Approval Form'!$C13,Workings!$E:$E,'Credit Note Approval Form'!O$7)</f>
        <v>6375.4432399787684</v>
      </c>
      <c r="P13" s="42">
        <f>SUMIFS(Workings!$N:$N,Workings!$A:$A,'Credit Note Approval Form'!$C13,Workings!$E:$E,'Credit Note Approval Form'!P$7)</f>
        <v>45941.070384495826</v>
      </c>
      <c r="Q13" s="59">
        <f t="shared" si="0"/>
        <v>9346236.9833170958</v>
      </c>
      <c r="S13" s="107">
        <f>IF(_xlfn.XLOOKUP($C13,'TT Around time'!$A:$A,'TT Around time'!$D:$D,,0)-_xlfn.XLOOKUP($C13,'TT Around time'!$A:$A,'TT Around time'!$E:$E,,0)&gt;'Discount Scheme Target'!$N$4,'Discount Scheme Target'!$N$5,IF(_xlfn.XLOOKUP($C13,'TT Around time'!$A:$A,'TT Around time'!$D:$D,,0)-_xlfn.XLOOKUP($C13,'TT Around time'!$A:$A,'TT Around time'!$E:$E,,0)&gt;'Discount Scheme Target'!$M$4,'Discount Scheme Target'!$M$5,IF(_xlfn.XLOOKUP($C13,'TT Around time'!$A:$A,'TT Around time'!$D:$D,,0)-_xlfn.XLOOKUP($C13,'TT Around time'!$A:$A,'TT Around time'!$E:$E,,0)&gt;'Discount Scheme Target'!$L$4,'Discount Scheme Target'!$L$5,0)))</f>
        <v>0</v>
      </c>
      <c r="T13" s="59">
        <f t="shared" si="1"/>
        <v>9346236.9833170958</v>
      </c>
    </row>
    <row r="14" spans="1:23" x14ac:dyDescent="0.25">
      <c r="B14" s="55">
        <v>7</v>
      </c>
      <c r="C14" s="41">
        <v>1210516003</v>
      </c>
      <c r="D14" s="41" t="s">
        <v>83</v>
      </c>
      <c r="E14" s="41" t="s">
        <v>140</v>
      </c>
      <c r="F14" s="42">
        <f>SUMIFS(Workings!$N:$N,Workings!$A:$A,'Credit Note Approval Form'!$C14,Workings!$E:$E,'Credit Note Approval Form'!F$7)</f>
        <v>1016803.8129654001</v>
      </c>
      <c r="G14" s="42">
        <f>SUMIFS(Workings!$N:$N,Workings!$A:$A,'Credit Note Approval Form'!$C14,Workings!$E:$E,'Credit Note Approval Form'!G$7)</f>
        <v>0</v>
      </c>
      <c r="H14" s="42">
        <f>SUMIFS(Workings!$N:$N,Workings!$A:$A,'Credit Note Approval Form'!$C14,Workings!$E:$E,'Credit Note Approval Form'!H$7)</f>
        <v>24013.822886061189</v>
      </c>
      <c r="I14" s="42">
        <f>SUMIFS(Workings!$N:$N,Workings!$A:$A,'Credit Note Approval Form'!$C14,Workings!$E:$E,'Credit Note Approval Form'!I$7)</f>
        <v>65320.530123384451</v>
      </c>
      <c r="J14" s="42">
        <f>SUMIFS(Workings!$N:$N,Workings!$A:$A,'Credit Note Approval Form'!$C14,Workings!$E:$E,'Credit Note Approval Form'!J$7)</f>
        <v>317930.55417455977</v>
      </c>
      <c r="K14" s="42">
        <f>SUMIFS(Workings!$N:$N,Workings!$A:$A,'Credit Note Approval Form'!$C14,Workings!$E:$E,'Credit Note Approval Form'!K$7)</f>
        <v>6476.8514412635186</v>
      </c>
      <c r="L14" s="42">
        <f>SUMIFS(Workings!$N:$N,Workings!$A:$A,'Credit Note Approval Form'!$C14,Workings!$E:$E,'Credit Note Approval Form'!L$7)</f>
        <v>0</v>
      </c>
      <c r="M14" s="42">
        <f>SUMIFS(Workings!$N:$N,Workings!$A:$A,'Credit Note Approval Form'!$C14,Workings!$E:$E,'Credit Note Approval Form'!M$7)</f>
        <v>28810.921238911164</v>
      </c>
      <c r="N14" s="42">
        <f>SUMIFS(Workings!$N:$N,Workings!$A:$A,'Credit Note Approval Form'!$C14,Workings!$E:$E,'Credit Note Approval Form'!N$7)</f>
        <v>11949.019314425275</v>
      </c>
      <c r="O14" s="42">
        <f>SUMIFS(Workings!$N:$N,Workings!$A:$A,'Credit Note Approval Form'!$C14,Workings!$E:$E,'Credit Note Approval Form'!O$7)</f>
        <v>6395.8035900779432</v>
      </c>
      <c r="P14" s="42">
        <f>SUMIFS(Workings!$N:$N,Workings!$A:$A,'Credit Note Approval Form'!$C14,Workings!$E:$E,'Credit Note Approval Form'!P$7)</f>
        <v>13599.158043107847</v>
      </c>
      <c r="Q14" s="59">
        <f t="shared" si="0"/>
        <v>1491300.473777191</v>
      </c>
      <c r="S14" s="107">
        <f>IF(_xlfn.XLOOKUP($C14,'TT Around time'!$A:$A,'TT Around time'!$D:$D,,0)-_xlfn.XLOOKUP($C14,'TT Around time'!$A:$A,'TT Around time'!$E:$E,,0)&gt;'Discount Scheme Target'!$N$4,'Discount Scheme Target'!$N$5,IF(_xlfn.XLOOKUP($C14,'TT Around time'!$A:$A,'TT Around time'!$D:$D,,0)-_xlfn.XLOOKUP($C14,'TT Around time'!$A:$A,'TT Around time'!$E:$E,,0)&gt;'Discount Scheme Target'!$M$4,'Discount Scheme Target'!$M$5,IF(_xlfn.XLOOKUP($C14,'TT Around time'!$A:$A,'TT Around time'!$D:$D,,0)-_xlfn.XLOOKUP($C14,'TT Around time'!$A:$A,'TT Around time'!$E:$E,,0)&gt;'Discount Scheme Target'!$L$4,'Discount Scheme Target'!$L$5,0)))</f>
        <v>0</v>
      </c>
      <c r="T14" s="59">
        <f t="shared" si="1"/>
        <v>1491300.473777191</v>
      </c>
    </row>
    <row r="15" spans="1:23" x14ac:dyDescent="0.25">
      <c r="B15" s="41">
        <v>8</v>
      </c>
      <c r="C15" s="41">
        <v>1200505027</v>
      </c>
      <c r="D15" s="41" t="s">
        <v>82</v>
      </c>
      <c r="E15" s="41" t="s">
        <v>140</v>
      </c>
      <c r="F15" s="42">
        <f>SUMIFS(Workings!$N:$N,Workings!$A:$A,'Credit Note Approval Form'!$C15,Workings!$E:$E,'Credit Note Approval Form'!F$7)</f>
        <v>514419.69529096561</v>
      </c>
      <c r="G15" s="42">
        <f>SUMIFS(Workings!$N:$N,Workings!$A:$A,'Credit Note Approval Form'!$C15,Workings!$E:$E,'Credit Note Approval Form'!G$7)</f>
        <v>0</v>
      </c>
      <c r="H15" s="42">
        <f>SUMIFS(Workings!$N:$N,Workings!$A:$A,'Credit Note Approval Form'!$C15,Workings!$E:$E,'Credit Note Approval Form'!H$7)</f>
        <v>0</v>
      </c>
      <c r="I15" s="42">
        <f>SUMIFS(Workings!$N:$N,Workings!$A:$A,'Credit Note Approval Form'!$C15,Workings!$E:$E,'Credit Note Approval Form'!I$7)</f>
        <v>0</v>
      </c>
      <c r="J15" s="42">
        <f>SUMIFS(Workings!$N:$N,Workings!$A:$A,'Credit Note Approval Form'!$C15,Workings!$E:$E,'Credit Note Approval Form'!J$7)</f>
        <v>117787.55862127231</v>
      </c>
      <c r="K15" s="42">
        <f>SUMIFS(Workings!$N:$N,Workings!$A:$A,'Credit Note Approval Form'!$C15,Workings!$E:$E,'Credit Note Approval Form'!K$7)</f>
        <v>0</v>
      </c>
      <c r="L15" s="42">
        <f>SUMIFS(Workings!$N:$N,Workings!$A:$A,'Credit Note Approval Form'!$C15,Workings!$E:$E,'Credit Note Approval Form'!L$7)</f>
        <v>0</v>
      </c>
      <c r="M15" s="42">
        <f>SUMIFS(Workings!$N:$N,Workings!$A:$A,'Credit Note Approval Form'!$C15,Workings!$E:$E,'Credit Note Approval Form'!M$7)</f>
        <v>52392.744811219563</v>
      </c>
      <c r="N15" s="42">
        <f>SUMIFS(Workings!$N:$N,Workings!$A:$A,'Credit Note Approval Form'!$C15,Workings!$E:$E,'Credit Note Approval Form'!N$7)</f>
        <v>0</v>
      </c>
      <c r="O15" s="42">
        <f>SUMIFS(Workings!$N:$N,Workings!$A:$A,'Credit Note Approval Form'!$C15,Workings!$E:$E,'Credit Note Approval Form'!O$7)</f>
        <v>5242.5584165220307</v>
      </c>
      <c r="P15" s="42">
        <f>SUMIFS(Workings!$N:$N,Workings!$A:$A,'Credit Note Approval Form'!$C15,Workings!$E:$E,'Credit Note Approval Form'!P$7)</f>
        <v>16784.948932498999</v>
      </c>
      <c r="Q15" s="59">
        <f t="shared" si="0"/>
        <v>706627.50607247849</v>
      </c>
      <c r="S15" s="107">
        <f>IF(_xlfn.XLOOKUP($C15,'TT Around time'!$A:$A,'TT Around time'!$D:$D,,0)-_xlfn.XLOOKUP($C15,'TT Around time'!$A:$A,'TT Around time'!$E:$E,,0)&gt;'Discount Scheme Target'!$N$4,'Discount Scheme Target'!$N$5,IF(_xlfn.XLOOKUP($C15,'TT Around time'!$A:$A,'TT Around time'!$D:$D,,0)-_xlfn.XLOOKUP($C15,'TT Around time'!$A:$A,'TT Around time'!$E:$E,,0)&gt;'Discount Scheme Target'!$M$4,'Discount Scheme Target'!$M$5,IF(_xlfn.XLOOKUP($C15,'TT Around time'!$A:$A,'TT Around time'!$D:$D,,0)-_xlfn.XLOOKUP($C15,'TT Around time'!$A:$A,'TT Around time'!$E:$E,,0)&gt;'Discount Scheme Target'!$L$4,'Discount Scheme Target'!$L$5,0)))</f>
        <v>0</v>
      </c>
      <c r="T15" s="59">
        <f t="shared" si="1"/>
        <v>706627.50607247849</v>
      </c>
    </row>
    <row r="16" spans="1:23" x14ac:dyDescent="0.25">
      <c r="B16" s="41">
        <v>9</v>
      </c>
      <c r="C16" s="41">
        <v>1300006450</v>
      </c>
      <c r="D16" s="41" t="s">
        <v>142</v>
      </c>
      <c r="E16" s="41" t="s">
        <v>140</v>
      </c>
      <c r="F16" s="42">
        <f>SUMIFS(Workings!$N:$N,Workings!$A:$A,'Credit Note Approval Form'!$C16,Workings!$E:$E,'Credit Note Approval Form'!F$7)</f>
        <v>483464.78048455919</v>
      </c>
      <c r="G16" s="42">
        <f>SUMIFS(Workings!$N:$N,Workings!$A:$A,'Credit Note Approval Form'!$C16,Workings!$E:$E,'Credit Note Approval Form'!G$7)</f>
        <v>0</v>
      </c>
      <c r="H16" s="42">
        <f>SUMIFS(Workings!$N:$N,Workings!$A:$A,'Credit Note Approval Form'!$C16,Workings!$E:$E,'Credit Note Approval Form'!H$7)</f>
        <v>12104.315404814932</v>
      </c>
      <c r="I16" s="42">
        <f>SUMIFS(Workings!$N:$N,Workings!$A:$A,'Credit Note Approval Form'!$C16,Workings!$E:$E,'Credit Note Approval Form'!I$7)</f>
        <v>96782.705528963706</v>
      </c>
      <c r="J16" s="42">
        <f>SUMIFS(Workings!$N:$N,Workings!$A:$A,'Credit Note Approval Form'!$C16,Workings!$E:$E,'Credit Note Approval Form'!J$7)</f>
        <v>188393.11570793716</v>
      </c>
      <c r="K16" s="42">
        <f>SUMIFS(Workings!$N:$N,Workings!$A:$A,'Credit Note Approval Form'!$C16,Workings!$E:$E,'Credit Note Approval Form'!K$7)</f>
        <v>4269.6147597356394</v>
      </c>
      <c r="L16" s="42">
        <f>SUMIFS(Workings!$N:$N,Workings!$A:$A,'Credit Note Approval Form'!$C16,Workings!$E:$E,'Credit Note Approval Form'!L$7)</f>
        <v>0</v>
      </c>
      <c r="M16" s="42">
        <f>SUMIFS(Workings!$N:$N,Workings!$A:$A,'Credit Note Approval Form'!$C16,Workings!$E:$E,'Credit Note Approval Form'!M$7)</f>
        <v>17864.226242800021</v>
      </c>
      <c r="N16" s="42">
        <f>SUMIFS(Workings!$N:$N,Workings!$A:$A,'Credit Note Approval Form'!$C16,Workings!$E:$E,'Credit Note Approval Form'!N$7)</f>
        <v>0</v>
      </c>
      <c r="O16" s="42">
        <f>SUMIFS(Workings!$N:$N,Workings!$A:$A,'Credit Note Approval Form'!$C16,Workings!$E:$E,'Credit Note Approval Form'!O$7)</f>
        <v>0</v>
      </c>
      <c r="P16" s="42">
        <f>SUMIFS(Workings!$N:$N,Workings!$A:$A,'Credit Note Approval Form'!$C16,Workings!$E:$E,'Credit Note Approval Form'!P$7)</f>
        <v>15003.515540369961</v>
      </c>
      <c r="Q16" s="59">
        <f t="shared" si="0"/>
        <v>817882.27366918069</v>
      </c>
      <c r="S16" s="162">
        <v>1</v>
      </c>
      <c r="T16" s="59">
        <f t="shared" si="1"/>
        <v>0</v>
      </c>
      <c r="V16" s="161" t="s">
        <v>956</v>
      </c>
      <c r="W16" s="138"/>
    </row>
    <row r="17" spans="2:23" x14ac:dyDescent="0.25">
      <c r="B17" s="55">
        <v>10</v>
      </c>
      <c r="C17" s="41">
        <v>1120501001</v>
      </c>
      <c r="D17" s="41" t="s">
        <v>81</v>
      </c>
      <c r="E17" s="41" t="s">
        <v>140</v>
      </c>
      <c r="F17" s="42">
        <f>SUMIFS(Workings!$N:$N,Workings!$A:$A,'Credit Note Approval Form'!$C17,Workings!$E:$E,'Credit Note Approval Form'!F$7)</f>
        <v>380710.31415935996</v>
      </c>
      <c r="G17" s="42">
        <f>SUMIFS(Workings!$N:$N,Workings!$A:$A,'Credit Note Approval Form'!$C17,Workings!$E:$E,'Credit Note Approval Form'!G$7)</f>
        <v>0</v>
      </c>
      <c r="H17" s="42">
        <f>SUMIFS(Workings!$N:$N,Workings!$A:$A,'Credit Note Approval Form'!$C17,Workings!$E:$E,'Credit Note Approval Form'!H$7)</f>
        <v>37693.031105364156</v>
      </c>
      <c r="I17" s="42">
        <f>SUMIFS(Workings!$N:$N,Workings!$A:$A,'Credit Note Approval Form'!$C17,Workings!$E:$E,'Credit Note Approval Form'!I$7)</f>
        <v>95712.764402712608</v>
      </c>
      <c r="J17" s="42">
        <f>SUMIFS(Workings!$N:$N,Workings!$A:$A,'Credit Note Approval Form'!$C17,Workings!$E:$E,'Credit Note Approval Form'!J$7)</f>
        <v>236358.72099702485</v>
      </c>
      <c r="K17" s="42">
        <f>SUMIFS(Workings!$N:$N,Workings!$A:$A,'Credit Note Approval Form'!$C17,Workings!$E:$E,'Credit Note Approval Form'!K$7)</f>
        <v>6503.1786600367514</v>
      </c>
      <c r="L17" s="42">
        <f>SUMIFS(Workings!$N:$N,Workings!$A:$A,'Credit Note Approval Form'!$C17,Workings!$E:$E,'Credit Note Approval Form'!L$7)</f>
        <v>0</v>
      </c>
      <c r="M17" s="42">
        <f>SUMIFS(Workings!$N:$N,Workings!$A:$A,'Credit Note Approval Form'!$C17,Workings!$E:$E,'Credit Note Approval Form'!M$7)</f>
        <v>28214.933757949213</v>
      </c>
      <c r="N17" s="42">
        <f>SUMIFS(Workings!$N:$N,Workings!$A:$A,'Credit Note Approval Form'!$C17,Workings!$E:$E,'Credit Note Approval Form'!N$7)</f>
        <v>11689.960560094842</v>
      </c>
      <c r="O17" s="42">
        <f>SUMIFS(Workings!$N:$N,Workings!$A:$A,'Credit Note Approval Form'!$C17,Workings!$E:$E,'Credit Note Approval Form'!O$7)</f>
        <v>39931.114134373478</v>
      </c>
      <c r="P17" s="42">
        <f>SUMIFS(Workings!$N:$N,Workings!$A:$A,'Credit Note Approval Form'!$C17,Workings!$E:$E,'Credit Note Approval Form'!P$7)</f>
        <v>276942.15985227778</v>
      </c>
      <c r="Q17" s="59">
        <f t="shared" si="0"/>
        <v>1113756.1776291935</v>
      </c>
      <c r="S17" s="107">
        <f>IF(_xlfn.XLOOKUP($C17,'TT Around time'!$A:$A,'TT Around time'!$D:$D,,0)-_xlfn.XLOOKUP($C17,'TT Around time'!$A:$A,'TT Around time'!$E:$E,,0)&gt;'Discount Scheme Target'!$N$4,'Discount Scheme Target'!$N$5,IF(_xlfn.XLOOKUP($C17,'TT Around time'!$A:$A,'TT Around time'!$D:$D,,0)-_xlfn.XLOOKUP($C17,'TT Around time'!$A:$A,'TT Around time'!$E:$E,,0)&gt;'Discount Scheme Target'!$M$4,'Discount Scheme Target'!$M$5,IF(_xlfn.XLOOKUP($C17,'TT Around time'!$A:$A,'TT Around time'!$D:$D,,0)-_xlfn.XLOOKUP($C17,'TT Around time'!$A:$A,'TT Around time'!$E:$E,,0)&gt;'Discount Scheme Target'!$L$4,'Discount Scheme Target'!$L$5,0)))</f>
        <v>0.15</v>
      </c>
      <c r="T17" s="59">
        <f t="shared" si="1"/>
        <v>946692.75098481448</v>
      </c>
    </row>
    <row r="18" spans="2:23" x14ac:dyDescent="0.25">
      <c r="B18" s="41">
        <v>11</v>
      </c>
      <c r="C18" s="41">
        <v>1300006451</v>
      </c>
      <c r="D18" s="41" t="s">
        <v>143</v>
      </c>
      <c r="E18" s="41" t="s">
        <v>140</v>
      </c>
      <c r="F18" s="42">
        <f>SUMIFS(Workings!$N:$N,Workings!$A:$A,'Credit Note Approval Form'!$C18,Workings!$E:$E,'Credit Note Approval Form'!F$7)</f>
        <v>314575.6474942519</v>
      </c>
      <c r="G18" s="42">
        <f>SUMIFS(Workings!$N:$N,Workings!$A:$A,'Credit Note Approval Form'!$C18,Workings!$E:$E,'Credit Note Approval Form'!G$7)</f>
        <v>0</v>
      </c>
      <c r="H18" s="42">
        <f>SUMIFS(Workings!$N:$N,Workings!$A:$A,'Credit Note Approval Form'!$C18,Workings!$E:$E,'Credit Note Approval Form'!H$7)</f>
        <v>42940.161922002088</v>
      </c>
      <c r="I18" s="42">
        <f>SUMIFS(Workings!$N:$N,Workings!$A:$A,'Credit Note Approval Form'!$C18,Workings!$E:$E,'Credit Note Approval Form'!I$7)</f>
        <v>5338.4254737736255</v>
      </c>
      <c r="J18" s="42">
        <f>SUMIFS(Workings!$N:$N,Workings!$A:$A,'Credit Note Approval Form'!$C18,Workings!$E:$E,'Credit Note Approval Form'!J$7)</f>
        <v>69510.328630200602</v>
      </c>
      <c r="K18" s="42">
        <f>SUMIFS(Workings!$N:$N,Workings!$A:$A,'Credit Note Approval Form'!$C18,Workings!$E:$E,'Credit Note Approval Form'!K$7)</f>
        <v>0</v>
      </c>
      <c r="L18" s="42">
        <f>SUMIFS(Workings!$N:$N,Workings!$A:$A,'Credit Note Approval Form'!$C18,Workings!$E:$E,'Credit Note Approval Form'!L$7)</f>
        <v>0</v>
      </c>
      <c r="M18" s="42">
        <f>SUMIFS(Workings!$N:$N,Workings!$A:$A,'Credit Note Approval Form'!$C18,Workings!$E:$E,'Credit Note Approval Form'!M$7)</f>
        <v>215916.15330021302</v>
      </c>
      <c r="N18" s="42">
        <f>SUMIFS(Workings!$N:$N,Workings!$A:$A,'Credit Note Approval Form'!$C18,Workings!$E:$E,'Credit Note Approval Form'!N$7)</f>
        <v>0</v>
      </c>
      <c r="O18" s="42">
        <f>SUMIFS(Workings!$N:$N,Workings!$A:$A,'Credit Note Approval Form'!$C18,Workings!$E:$E,'Credit Note Approval Form'!O$7)</f>
        <v>0</v>
      </c>
      <c r="P18" s="42">
        <f>SUMIFS(Workings!$N:$N,Workings!$A:$A,'Credit Note Approval Form'!$C18,Workings!$E:$E,'Credit Note Approval Form'!P$7)</f>
        <v>18381.084204671261</v>
      </c>
      <c r="Q18" s="59">
        <f t="shared" si="0"/>
        <v>666661.80102511239</v>
      </c>
      <c r="S18" s="148">
        <f>IF(_xlfn.XLOOKUP($C18,'TT Around time'!$A:$A,'TT Around time'!$D:$D,,0)-_xlfn.XLOOKUP($C18,'TT Around time'!$A:$A,'TT Around time'!$E:$E,,0)&gt;'Discount Scheme Target'!$N$4,'Discount Scheme Target'!$N$5,IF(_xlfn.XLOOKUP($C18,'TT Around time'!$A:$A,'TT Around time'!$D:$D,,0)-_xlfn.XLOOKUP($C18,'TT Around time'!$A:$A,'TT Around time'!$E:$E,,0)&gt;'Discount Scheme Target'!$M$4,'Discount Scheme Target'!$M$5,IF(_xlfn.XLOOKUP($C18,'TT Around time'!$A:$A,'TT Around time'!$D:$D,,0)-_xlfn.XLOOKUP($C18,'TT Around time'!$A:$A,'TT Around time'!$E:$E,,0)&gt;'Discount Scheme Target'!$L$4,'Discount Scheme Target'!$L$5,0)))</f>
        <v>0</v>
      </c>
      <c r="T18" s="59">
        <f t="shared" si="1"/>
        <v>666661.80102511239</v>
      </c>
      <c r="W18" s="138"/>
    </row>
    <row r="19" spans="2:23" x14ac:dyDescent="0.25">
      <c r="B19" s="41">
        <v>12</v>
      </c>
      <c r="C19" s="41">
        <v>1300006430</v>
      </c>
      <c r="D19" s="41" t="s">
        <v>144</v>
      </c>
      <c r="E19" s="41" t="s">
        <v>140</v>
      </c>
      <c r="F19" s="42">
        <f>SUMIFS(Workings!$N:$N,Workings!$A:$A,'Credit Note Approval Form'!$C19,Workings!$E:$E,'Credit Note Approval Form'!F$7)</f>
        <v>7927333.2130537434</v>
      </c>
      <c r="G19" s="42">
        <f>SUMIFS(Workings!$N:$N,Workings!$A:$A,'Credit Note Approval Form'!$C19,Workings!$E:$E,'Credit Note Approval Form'!G$7)</f>
        <v>0</v>
      </c>
      <c r="H19" s="42">
        <f>SUMIFS(Workings!$N:$N,Workings!$A:$A,'Credit Note Approval Form'!$C19,Workings!$E:$E,'Credit Note Approval Form'!H$7)</f>
        <v>311625.15111370326</v>
      </c>
      <c r="I19" s="42">
        <f>SUMIFS(Workings!$N:$N,Workings!$A:$A,'Credit Note Approval Form'!$C19,Workings!$E:$E,'Credit Note Approval Form'!I$7)</f>
        <v>425835.89738627296</v>
      </c>
      <c r="J19" s="42">
        <f>SUMIFS(Workings!$N:$N,Workings!$A:$A,'Credit Note Approval Form'!$C19,Workings!$E:$E,'Credit Note Approval Form'!J$7)</f>
        <v>1817440.049870532</v>
      </c>
      <c r="K19" s="42">
        <f>SUMIFS(Workings!$N:$N,Workings!$A:$A,'Credit Note Approval Form'!$C19,Workings!$E:$E,'Credit Note Approval Form'!K$7)</f>
        <v>148469.08854150827</v>
      </c>
      <c r="L19" s="42">
        <f>SUMIFS(Workings!$N:$N,Workings!$A:$A,'Credit Note Approval Form'!$C19,Workings!$E:$E,'Credit Note Approval Form'!L$7)</f>
        <v>0</v>
      </c>
      <c r="M19" s="42">
        <f>SUMIFS(Workings!$N:$N,Workings!$A:$A,'Credit Note Approval Form'!$C19,Workings!$E:$E,'Credit Note Approval Form'!M$7)</f>
        <v>281918.67680395563</v>
      </c>
      <c r="N19" s="42">
        <f>SUMIFS(Workings!$N:$N,Workings!$A:$A,'Credit Note Approval Form'!$C19,Workings!$E:$E,'Credit Note Approval Form'!N$7)</f>
        <v>38914.570043587541</v>
      </c>
      <c r="O19" s="42">
        <f>SUMIFS(Workings!$N:$N,Workings!$A:$A,'Credit Note Approval Form'!$C19,Workings!$E:$E,'Credit Note Approval Form'!O$7)</f>
        <v>6932.9304716135839</v>
      </c>
      <c r="P19" s="42">
        <f>SUMIFS(Workings!$N:$N,Workings!$A:$A,'Credit Note Approval Form'!$C19,Workings!$E:$E,'Credit Note Approval Form'!P$7)</f>
        <v>352396.86932905135</v>
      </c>
      <c r="Q19" s="59">
        <f t="shared" si="0"/>
        <v>11310866.446613969</v>
      </c>
      <c r="S19" s="107">
        <f>IF(_xlfn.XLOOKUP($C19,'TT Around time'!$A:$A,'TT Around time'!$D:$D,,0)-_xlfn.XLOOKUP($C19,'TT Around time'!$A:$A,'TT Around time'!$E:$E,,0)&gt;'Discount Scheme Target'!$N$4,'Discount Scheme Target'!$N$5,IF(_xlfn.XLOOKUP($C19,'TT Around time'!$A:$A,'TT Around time'!$D:$D,,0)-_xlfn.XLOOKUP($C19,'TT Around time'!$A:$A,'TT Around time'!$E:$E,,0)&gt;'Discount Scheme Target'!$M$4,'Discount Scheme Target'!$M$5,IF(_xlfn.XLOOKUP($C19,'TT Around time'!$A:$A,'TT Around time'!$D:$D,,0)-_xlfn.XLOOKUP($C19,'TT Around time'!$A:$A,'TT Around time'!$E:$E,,0)&gt;'Discount Scheme Target'!$L$4,'Discount Scheme Target'!$L$5,0)))</f>
        <v>0</v>
      </c>
      <c r="T19" s="59">
        <f t="shared" si="1"/>
        <v>11310866.446613969</v>
      </c>
    </row>
    <row r="20" spans="2:23" x14ac:dyDescent="0.25">
      <c r="B20" s="55">
        <v>13</v>
      </c>
      <c r="C20" s="41">
        <v>1300006447</v>
      </c>
      <c r="D20" s="41" t="s">
        <v>86</v>
      </c>
      <c r="E20" s="41" t="s">
        <v>140</v>
      </c>
      <c r="F20" s="42">
        <f>SUMIFS(Workings!$N:$N,Workings!$A:$A,'Credit Note Approval Form'!$C20,Workings!$E:$E,'Credit Note Approval Form'!F$7)</f>
        <v>1375726.8763396502</v>
      </c>
      <c r="G20" s="42">
        <f>SUMIFS(Workings!$N:$N,Workings!$A:$A,'Credit Note Approval Form'!$C20,Workings!$E:$E,'Credit Note Approval Form'!G$7)</f>
        <v>0</v>
      </c>
      <c r="H20" s="42">
        <f>SUMIFS(Workings!$N:$N,Workings!$A:$A,'Credit Note Approval Form'!$C20,Workings!$E:$E,'Credit Note Approval Form'!H$7)</f>
        <v>112040.78019554321</v>
      </c>
      <c r="I20" s="42">
        <f>SUMIFS(Workings!$N:$N,Workings!$A:$A,'Credit Note Approval Form'!$C20,Workings!$E:$E,'Credit Note Approval Form'!I$7)</f>
        <v>47108.785986975206</v>
      </c>
      <c r="J20" s="42">
        <f>SUMIFS(Workings!$N:$N,Workings!$A:$A,'Credit Note Approval Form'!$C20,Workings!$E:$E,'Credit Note Approval Form'!J$7)</f>
        <v>390987.9626400675</v>
      </c>
      <c r="K20" s="42">
        <f>SUMIFS(Workings!$N:$N,Workings!$A:$A,'Credit Note Approval Form'!$C20,Workings!$E:$E,'Credit Note Approval Form'!K$7)</f>
        <v>0</v>
      </c>
      <c r="L20" s="42">
        <f>SUMIFS(Workings!$N:$N,Workings!$A:$A,'Credit Note Approval Form'!$C20,Workings!$E:$E,'Credit Note Approval Form'!L$7)</f>
        <v>0</v>
      </c>
      <c r="M20" s="42">
        <f>SUMIFS(Workings!$N:$N,Workings!$A:$A,'Credit Note Approval Form'!$C20,Workings!$E:$E,'Credit Note Approval Form'!M$7)</f>
        <v>0</v>
      </c>
      <c r="N20" s="42">
        <f>SUMIFS(Workings!$N:$N,Workings!$A:$A,'Credit Note Approval Form'!$C20,Workings!$E:$E,'Credit Note Approval Form'!N$7)</f>
        <v>0</v>
      </c>
      <c r="O20" s="42">
        <f>SUMIFS(Workings!$N:$N,Workings!$A:$A,'Credit Note Approval Form'!$C20,Workings!$E:$E,'Credit Note Approval Form'!O$7)</f>
        <v>0</v>
      </c>
      <c r="P20" s="42">
        <f>SUMIFS(Workings!$N:$N,Workings!$A:$A,'Credit Note Approval Form'!$C20,Workings!$E:$E,'Credit Note Approval Form'!P$7)</f>
        <v>177340.13155299853</v>
      </c>
      <c r="Q20" s="59">
        <f t="shared" si="0"/>
        <v>2103204.5367152351</v>
      </c>
      <c r="S20" s="107">
        <f>IF(_xlfn.XLOOKUP($C20,'TT Around time'!$A:$A,'TT Around time'!$D:$D,,0)-_xlfn.XLOOKUP($C20,'TT Around time'!$A:$A,'TT Around time'!$E:$E,,0)&gt;'Discount Scheme Target'!$N$4,'Discount Scheme Target'!$N$5,IF(_xlfn.XLOOKUP($C20,'TT Around time'!$A:$A,'TT Around time'!$D:$D,,0)-_xlfn.XLOOKUP($C20,'TT Around time'!$A:$A,'TT Around time'!$E:$E,,0)&gt;'Discount Scheme Target'!$M$4,'Discount Scheme Target'!$M$5,IF(_xlfn.XLOOKUP($C20,'TT Around time'!$A:$A,'TT Around time'!$D:$D,,0)-_xlfn.XLOOKUP($C20,'TT Around time'!$A:$A,'TT Around time'!$E:$E,,0)&gt;'Discount Scheme Target'!$L$4,'Discount Scheme Target'!$L$5,0)))</f>
        <v>0.1</v>
      </c>
      <c r="T20" s="59">
        <f t="shared" si="1"/>
        <v>1892884.0830437117</v>
      </c>
    </row>
    <row r="21" spans="2:23" x14ac:dyDescent="0.25">
      <c r="B21" s="41">
        <v>14</v>
      </c>
      <c r="C21" s="41">
        <v>1300006452</v>
      </c>
      <c r="D21" s="41" t="s">
        <v>343</v>
      </c>
      <c r="E21" s="41" t="s">
        <v>140</v>
      </c>
      <c r="F21" s="42">
        <f>SUMIFS(Workings!$N:$N,Workings!$A:$A,'Credit Note Approval Form'!$C21,Workings!$E:$E,'Credit Note Approval Form'!F$7)</f>
        <v>840209.16804103809</v>
      </c>
      <c r="G21" s="42">
        <f>SUMIFS(Workings!$N:$N,Workings!$A:$A,'Credit Note Approval Form'!$C21,Workings!$E:$E,'Credit Note Approval Form'!G$7)</f>
        <v>0</v>
      </c>
      <c r="H21" s="42">
        <f>SUMIFS(Workings!$N:$N,Workings!$A:$A,'Credit Note Approval Form'!$C21,Workings!$E:$E,'Credit Note Approval Form'!H$7)</f>
        <v>0</v>
      </c>
      <c r="I21" s="42">
        <f>SUMIFS(Workings!$N:$N,Workings!$A:$A,'Credit Note Approval Form'!$C21,Workings!$E:$E,'Credit Note Approval Form'!I$7)</f>
        <v>0</v>
      </c>
      <c r="J21" s="42">
        <f>SUMIFS(Workings!$N:$N,Workings!$A:$A,'Credit Note Approval Form'!$C21,Workings!$E:$E,'Credit Note Approval Form'!J$7)</f>
        <v>126937.48394670361</v>
      </c>
      <c r="K21" s="42">
        <f>SUMIFS(Workings!$N:$N,Workings!$A:$A,'Credit Note Approval Form'!$C21,Workings!$E:$E,'Credit Note Approval Form'!K$7)</f>
        <v>10508.105407780151</v>
      </c>
      <c r="L21" s="42">
        <f>SUMIFS(Workings!$N:$N,Workings!$A:$A,'Credit Note Approval Form'!$C21,Workings!$E:$E,'Credit Note Approval Form'!L$7)</f>
        <v>0</v>
      </c>
      <c r="M21" s="42">
        <f>SUMIFS(Workings!$N:$N,Workings!$A:$A,'Credit Note Approval Form'!$C21,Workings!$E:$E,'Credit Note Approval Form'!M$7)</f>
        <v>43966.302102487098</v>
      </c>
      <c r="N21" s="42">
        <f>SUMIFS(Workings!$N:$N,Workings!$A:$A,'Credit Note Approval Form'!$C21,Workings!$E:$E,'Credit Note Approval Form'!N$7)</f>
        <v>73568.168759080887</v>
      </c>
      <c r="O21" s="42">
        <f>SUMIFS(Workings!$N:$N,Workings!$A:$A,'Credit Note Approval Form'!$C21,Workings!$E:$E,'Credit Note Approval Form'!O$7)</f>
        <v>0</v>
      </c>
      <c r="P21" s="42">
        <f>SUMIFS(Workings!$N:$N,Workings!$A:$A,'Credit Note Approval Form'!$C21,Workings!$E:$E,'Credit Note Approval Form'!P$7)</f>
        <v>38339.673463262188</v>
      </c>
      <c r="Q21" s="59">
        <f t="shared" si="0"/>
        <v>1133528.901720352</v>
      </c>
      <c r="S21" s="107">
        <f>IF(_xlfn.XLOOKUP($C21,'TT Around time'!$A:$A,'TT Around time'!$D:$D,,0)-_xlfn.XLOOKUP($C21,'TT Around time'!$A:$A,'TT Around time'!$E:$E,,0)&gt;'Discount Scheme Target'!$N$4,'Discount Scheme Target'!$N$5,IF(_xlfn.XLOOKUP($C21,'TT Around time'!$A:$A,'TT Around time'!$D:$D,,0)-_xlfn.XLOOKUP($C21,'TT Around time'!$A:$A,'TT Around time'!$E:$E,,0)&gt;'Discount Scheme Target'!$M$4,'Discount Scheme Target'!$M$5,IF(_xlfn.XLOOKUP($C21,'TT Around time'!$A:$A,'TT Around time'!$D:$D,,0)-_xlfn.XLOOKUP($C21,'TT Around time'!$A:$A,'TT Around time'!$E:$E,,0)&gt;'Discount Scheme Target'!$L$4,'Discount Scheme Target'!$L$5,0)))</f>
        <v>0</v>
      </c>
      <c r="T21" s="59">
        <f t="shared" si="1"/>
        <v>1133528.901720352</v>
      </c>
    </row>
    <row r="22" spans="2:23" x14ac:dyDescent="0.25">
      <c r="B22" s="41">
        <v>15</v>
      </c>
      <c r="C22" s="41">
        <v>1300006459</v>
      </c>
      <c r="D22" s="41" t="s">
        <v>500</v>
      </c>
      <c r="E22" s="41" t="s">
        <v>140</v>
      </c>
      <c r="F22" s="42">
        <f>SUMIFS(Workings!$N:$N,Workings!$A:$A,'Credit Note Approval Form'!$C22,Workings!$E:$E,'Credit Note Approval Form'!F$7)</f>
        <v>1900707.7259811838</v>
      </c>
      <c r="G22" s="42">
        <f>SUMIFS(Workings!$N:$N,Workings!$A:$A,'Credit Note Approval Form'!$C22,Workings!$E:$E,'Credit Note Approval Form'!G$7)</f>
        <v>0</v>
      </c>
      <c r="H22" s="42">
        <f>SUMIFS(Workings!$N:$N,Workings!$A:$A,'Credit Note Approval Form'!$C22,Workings!$E:$E,'Credit Note Approval Form'!H$7)</f>
        <v>87102.983000000022</v>
      </c>
      <c r="I22" s="42">
        <f>SUMIFS(Workings!$N:$N,Workings!$A:$A,'Credit Note Approval Form'!$C22,Workings!$E:$E,'Credit Note Approval Form'!I$7)</f>
        <v>132828.61828934264</v>
      </c>
      <c r="J22" s="42">
        <f>SUMIFS(Workings!$N:$N,Workings!$A:$A,'Credit Note Approval Form'!$C22,Workings!$E:$E,'Credit Note Approval Form'!J$7)</f>
        <v>1282401.72</v>
      </c>
      <c r="K22" s="42">
        <f>SUMIFS(Workings!$N:$N,Workings!$A:$A,'Credit Note Approval Form'!$C22,Workings!$E:$E,'Credit Note Approval Form'!K$7)</f>
        <v>90897.379999999976</v>
      </c>
      <c r="L22" s="42">
        <f>SUMIFS(Workings!$N:$N,Workings!$A:$A,'Credit Note Approval Form'!$C22,Workings!$E:$E,'Credit Note Approval Form'!L$7)</f>
        <v>0</v>
      </c>
      <c r="M22" s="42">
        <f>SUMIFS(Workings!$N:$N,Workings!$A:$A,'Credit Note Approval Form'!$C22,Workings!$E:$E,'Credit Note Approval Form'!M$7)</f>
        <v>344674.3608458864</v>
      </c>
      <c r="N22" s="42">
        <f>SUMIFS(Workings!$N:$N,Workings!$A:$A,'Credit Note Approval Form'!$C22,Workings!$E:$E,'Credit Note Approval Form'!N$7)</f>
        <v>21852.278125000001</v>
      </c>
      <c r="O22" s="42">
        <f>SUMIFS(Workings!$N:$N,Workings!$A:$A,'Credit Note Approval Form'!$C22,Workings!$E:$E,'Credit Note Approval Form'!O$7)</f>
        <v>5314.1439999999993</v>
      </c>
      <c r="P22" s="42">
        <f>SUMIFS(Workings!$N:$N,Workings!$A:$A,'Credit Note Approval Form'!$C22,Workings!$E:$E,'Credit Note Approval Form'!P$7)</f>
        <v>146199.20039999997</v>
      </c>
      <c r="Q22" s="59">
        <f t="shared" si="0"/>
        <v>4011978.4106414123</v>
      </c>
      <c r="S22" s="107">
        <f>IF(_xlfn.XLOOKUP($C22,'TT Around time'!$A:$A,'TT Around time'!$D:$D,,0)-_xlfn.XLOOKUP($C22,'TT Around time'!$A:$A,'TT Around time'!$E:$E,,0)&gt;'Discount Scheme Target'!$N$4,'Discount Scheme Target'!$N$5,IF(_xlfn.XLOOKUP($C22,'TT Around time'!$A:$A,'TT Around time'!$D:$D,,0)-_xlfn.XLOOKUP($C22,'TT Around time'!$A:$A,'TT Around time'!$E:$E,,0)&gt;'Discount Scheme Target'!$M$4,'Discount Scheme Target'!$M$5,IF(_xlfn.XLOOKUP($C22,'TT Around time'!$A:$A,'TT Around time'!$D:$D,,0)-_xlfn.XLOOKUP($C22,'TT Around time'!$A:$A,'TT Around time'!$E:$E,,0)&gt;'Discount Scheme Target'!$L$4,'Discount Scheme Target'!$L$5,0)))</f>
        <v>0</v>
      </c>
      <c r="T22" s="59">
        <f t="shared" ref="T22:T24" si="2">Q22*(1-S22)</f>
        <v>4011978.4106414123</v>
      </c>
    </row>
    <row r="23" spans="2:23" x14ac:dyDescent="0.25">
      <c r="B23" s="55">
        <v>16</v>
      </c>
      <c r="C23" s="41">
        <v>1300006460</v>
      </c>
      <c r="D23" s="41" t="s">
        <v>516</v>
      </c>
      <c r="E23" s="41" t="s">
        <v>140</v>
      </c>
      <c r="F23" s="42">
        <f>SUMIFS(Workings!$N:$N,Workings!$A:$A,'Credit Note Approval Form'!$C23,Workings!$E:$E,'Credit Note Approval Form'!F$7)</f>
        <v>4129248.3813959719</v>
      </c>
      <c r="G23" s="42">
        <f>SUMIFS(Workings!$N:$N,Workings!$A:$A,'Credit Note Approval Form'!$C23,Workings!$E:$E,'Credit Note Approval Form'!G$7)</f>
        <v>0</v>
      </c>
      <c r="H23" s="42">
        <f>SUMIFS(Workings!$N:$N,Workings!$A:$A,'Credit Note Approval Form'!$C23,Workings!$E:$E,'Credit Note Approval Form'!H$7)</f>
        <v>140693.3114286912</v>
      </c>
      <c r="I23" s="42">
        <f>SUMIFS(Workings!$N:$N,Workings!$A:$A,'Credit Note Approval Form'!$C23,Workings!$E:$E,'Credit Note Approval Form'!I$7)</f>
        <v>111187.53407537899</v>
      </c>
      <c r="J23" s="42">
        <f>SUMIFS(Workings!$N:$N,Workings!$A:$A,'Credit Note Approval Form'!$C23,Workings!$E:$E,'Credit Note Approval Form'!J$7)</f>
        <v>1193346.0449999999</v>
      </c>
      <c r="K23" s="42">
        <f>SUMIFS(Workings!$N:$N,Workings!$A:$A,'Credit Note Approval Form'!$C23,Workings!$E:$E,'Credit Note Approval Form'!K$7)</f>
        <v>83238.192852792679</v>
      </c>
      <c r="L23" s="42">
        <f>SUMIFS(Workings!$N:$N,Workings!$A:$A,'Credit Note Approval Form'!$C23,Workings!$E:$E,'Credit Note Approval Form'!L$7)</f>
        <v>0</v>
      </c>
      <c r="M23" s="42">
        <f>SUMIFS(Workings!$N:$N,Workings!$A:$A,'Credit Note Approval Form'!$C23,Workings!$E:$E,'Credit Note Approval Form'!M$7)</f>
        <v>302019.22620728414</v>
      </c>
      <c r="N23" s="42">
        <f>SUMIFS(Workings!$N:$N,Workings!$A:$A,'Credit Note Approval Form'!$C23,Workings!$E:$E,'Credit Note Approval Form'!N$7)</f>
        <v>20822.177811511701</v>
      </c>
      <c r="O23" s="42">
        <f>SUMIFS(Workings!$N:$N,Workings!$A:$A,'Credit Note Approval Form'!$C23,Workings!$E:$E,'Credit Note Approval Form'!O$7)</f>
        <v>0</v>
      </c>
      <c r="P23" s="42">
        <f>SUMIFS(Workings!$N:$N,Workings!$A:$A,'Credit Note Approval Form'!$C23,Workings!$E:$E,'Credit Note Approval Form'!P$7)</f>
        <v>37602.674999999996</v>
      </c>
      <c r="Q23" s="59">
        <f t="shared" si="0"/>
        <v>6018157.5437716302</v>
      </c>
      <c r="S23" s="107">
        <f>IF(_xlfn.XLOOKUP($C23,'TT Around time'!$A:$A,'TT Around time'!$D:$D,,0)-_xlfn.XLOOKUP($C23,'TT Around time'!$A:$A,'TT Around time'!$E:$E,,0)&gt;'Discount Scheme Target'!$N$4,'Discount Scheme Target'!$N$5,IF(_xlfn.XLOOKUP($C23,'TT Around time'!$A:$A,'TT Around time'!$D:$D,,0)-_xlfn.XLOOKUP($C23,'TT Around time'!$A:$A,'TT Around time'!$E:$E,,0)&gt;'Discount Scheme Target'!$M$4,'Discount Scheme Target'!$M$5,IF(_xlfn.XLOOKUP($C23,'TT Around time'!$A:$A,'TT Around time'!$D:$D,,0)-_xlfn.XLOOKUP($C23,'TT Around time'!$A:$A,'TT Around time'!$E:$E,,0)&gt;'Discount Scheme Target'!$L$4,'Discount Scheme Target'!$L$5,0)))</f>
        <v>0</v>
      </c>
      <c r="T23" s="59">
        <f t="shared" si="2"/>
        <v>6018157.5437716302</v>
      </c>
    </row>
    <row r="24" spans="2:23" x14ac:dyDescent="0.25">
      <c r="B24" s="41">
        <v>17</v>
      </c>
      <c r="C24" s="41">
        <v>1300006461</v>
      </c>
      <c r="D24" s="41" t="s">
        <v>517</v>
      </c>
      <c r="E24" s="41" t="s">
        <v>140</v>
      </c>
      <c r="F24" s="42">
        <f>SUMIFS(Workings!$N:$N,Workings!$A:$A,'Credit Note Approval Form'!$C24,Workings!$E:$E,'Credit Note Approval Form'!F$7)</f>
        <v>1753369.6435398839</v>
      </c>
      <c r="G24" s="42">
        <f>SUMIFS(Workings!$N:$N,Workings!$A:$A,'Credit Note Approval Form'!$C24,Workings!$E:$E,'Credit Note Approval Form'!G$7)</f>
        <v>0</v>
      </c>
      <c r="H24" s="42">
        <f>SUMIFS(Workings!$N:$N,Workings!$A:$A,'Credit Note Approval Form'!$C24,Workings!$E:$E,'Credit Note Approval Form'!H$7)</f>
        <v>37235.079965176206</v>
      </c>
      <c r="I24" s="42">
        <f>SUMIFS(Workings!$N:$N,Workings!$A:$A,'Credit Note Approval Form'!$C24,Workings!$E:$E,'Credit Note Approval Form'!I$7)</f>
        <v>53873.179771921852</v>
      </c>
      <c r="J24" s="42">
        <f>SUMIFS(Workings!$N:$N,Workings!$A:$A,'Credit Note Approval Form'!$C24,Workings!$E:$E,'Credit Note Approval Form'!J$7)</f>
        <v>63328.480000000003</v>
      </c>
      <c r="K24" s="42">
        <f>SUMIFS(Workings!$N:$N,Workings!$A:$A,'Credit Note Approval Form'!$C24,Workings!$E:$E,'Credit Note Approval Form'!K$7)</f>
        <v>44460.674999999996</v>
      </c>
      <c r="L24" s="42">
        <f>SUMIFS(Workings!$N:$N,Workings!$A:$A,'Credit Note Approval Form'!$C24,Workings!$E:$E,'Credit Note Approval Form'!L$7)</f>
        <v>0</v>
      </c>
      <c r="M24" s="42">
        <f>SUMIFS(Workings!$N:$N,Workings!$A:$A,'Credit Note Approval Form'!$C24,Workings!$E:$E,'Credit Note Approval Form'!M$7)</f>
        <v>153175.80599999998</v>
      </c>
      <c r="N24" s="42">
        <f>SUMIFS(Workings!$N:$N,Workings!$A:$A,'Credit Note Approval Form'!$C24,Workings!$E:$E,'Credit Note Approval Form'!N$7)</f>
        <v>10727.019999999999</v>
      </c>
      <c r="O24" s="42">
        <f>SUMIFS(Workings!$N:$N,Workings!$A:$A,'Credit Note Approval Form'!$C24,Workings!$E:$E,'Credit Note Approval Form'!O$7)</f>
        <v>2313.3439999999996</v>
      </c>
      <c r="P24" s="42">
        <f>SUMIFS(Workings!$N:$N,Workings!$A:$A,'Credit Note Approval Form'!$C24,Workings!$E:$E,'Credit Note Approval Form'!P$7)</f>
        <v>7520.5349999999989</v>
      </c>
      <c r="Q24" s="59">
        <f t="shared" si="0"/>
        <v>2126003.7632769821</v>
      </c>
      <c r="S24" s="107">
        <f>IF(_xlfn.XLOOKUP($C24,'TT Around time'!$A:$A,'TT Around time'!$D:$D,,0)-_xlfn.XLOOKUP($C24,'TT Around time'!$A:$A,'TT Around time'!$E:$E,,0)&gt;'Discount Scheme Target'!$N$4,'Discount Scheme Target'!$N$5,IF(_xlfn.XLOOKUP($C24,'TT Around time'!$A:$A,'TT Around time'!$D:$D,,0)-_xlfn.XLOOKUP($C24,'TT Around time'!$A:$A,'TT Around time'!$E:$E,,0)&gt;'Discount Scheme Target'!$M$4,'Discount Scheme Target'!$M$5,IF(_xlfn.XLOOKUP($C24,'TT Around time'!$A:$A,'TT Around time'!$D:$D,,0)-_xlfn.XLOOKUP($C24,'TT Around time'!$A:$A,'TT Around time'!$E:$E,,0)&gt;'Discount Scheme Target'!$L$4,'Discount Scheme Target'!$L$5,0)))</f>
        <v>0</v>
      </c>
      <c r="T24" s="59">
        <f t="shared" si="2"/>
        <v>2126003.7632769821</v>
      </c>
    </row>
    <row r="25" spans="2:23" x14ac:dyDescent="0.25">
      <c r="B25" s="41">
        <v>18</v>
      </c>
      <c r="C25" s="41">
        <v>2010301012</v>
      </c>
      <c r="D25" s="41" t="s">
        <v>89</v>
      </c>
      <c r="E25" s="41" t="s">
        <v>145</v>
      </c>
      <c r="F25" s="42">
        <f>SUMIFS(Workings!$N:$N,Workings!$A:$A,'Credit Note Approval Form'!$C25,Workings!$E:$E,'Credit Note Approval Form'!F$7)</f>
        <v>1485922.4981180457</v>
      </c>
      <c r="G25" s="42">
        <f>SUMIFS(Workings!$N:$N,Workings!$A:$A,'Credit Note Approval Form'!$C25,Workings!$E:$E,'Credit Note Approval Form'!G$7)</f>
        <v>0</v>
      </c>
      <c r="H25" s="42">
        <f>SUMIFS(Workings!$N:$N,Workings!$A:$A,'Credit Note Approval Form'!$C25,Workings!$E:$E,'Credit Note Approval Form'!H$7)</f>
        <v>42489.26</v>
      </c>
      <c r="I25" s="42">
        <f>SUMIFS(Workings!$N:$N,Workings!$A:$A,'Credit Note Approval Form'!$C25,Workings!$E:$E,'Credit Note Approval Form'!I$7)</f>
        <v>183577.52377520924</v>
      </c>
      <c r="J25" s="42">
        <f>SUMIFS(Workings!$N:$N,Workings!$A:$A,'Credit Note Approval Form'!$C25,Workings!$E:$E,'Credit Note Approval Form'!J$7)</f>
        <v>130992.27759835483</v>
      </c>
      <c r="K25" s="42">
        <f>SUMIFS(Workings!$N:$N,Workings!$A:$A,'Credit Note Approval Form'!$C25,Workings!$E:$E,'Credit Note Approval Form'!K$7)</f>
        <v>13228.466417458483</v>
      </c>
      <c r="L25" s="42">
        <f>SUMIFS(Workings!$N:$N,Workings!$A:$A,'Credit Note Approval Form'!$C25,Workings!$E:$E,'Credit Note Approval Form'!L$7)</f>
        <v>0</v>
      </c>
      <c r="M25" s="42">
        <f>SUMIFS(Workings!$N:$N,Workings!$A:$A,'Credit Note Approval Form'!$C25,Workings!$E:$E,'Credit Note Approval Form'!M$7)</f>
        <v>46729.826391196912</v>
      </c>
      <c r="N25" s="42">
        <f>SUMIFS(Workings!$N:$N,Workings!$A:$A,'Credit Note Approval Form'!$C25,Workings!$E:$E,'Credit Note Approval Form'!N$7)</f>
        <v>19374.944653442206</v>
      </c>
      <c r="O25" s="42">
        <f>SUMIFS(Workings!$N:$N,Workings!$A:$A,'Credit Note Approval Form'!$C25,Workings!$E:$E,'Credit Note Approval Form'!O$7)</f>
        <v>0</v>
      </c>
      <c r="P25" s="42">
        <f>SUMIFS(Workings!$N:$N,Workings!$A:$A,'Credit Note Approval Form'!$C25,Workings!$E:$E,'Credit Note Approval Form'!P$7)</f>
        <v>21857.068528674969</v>
      </c>
      <c r="Q25" s="59">
        <f t="shared" si="0"/>
        <v>1944171.865482382</v>
      </c>
      <c r="S25" s="107">
        <f>IF(_xlfn.XLOOKUP($C25,'TT Around time'!$A:$A,'TT Around time'!$D:$D,,0)-_xlfn.XLOOKUP($C25,'TT Around time'!$A:$A,'TT Around time'!$E:$E,,0)&gt;'Discount Scheme Target'!$N$4,'Discount Scheme Target'!$N$5,IF(_xlfn.XLOOKUP($C25,'TT Around time'!$A:$A,'TT Around time'!$D:$D,,0)-_xlfn.XLOOKUP($C25,'TT Around time'!$A:$A,'TT Around time'!$E:$E,,0)&gt;'Discount Scheme Target'!$M$4,'Discount Scheme Target'!$M$5,IF(_xlfn.XLOOKUP($C25,'TT Around time'!$A:$A,'TT Around time'!$D:$D,,0)-_xlfn.XLOOKUP($C25,'TT Around time'!$A:$A,'TT Around time'!$E:$E,,0)&gt;'Discount Scheme Target'!$L$4,'Discount Scheme Target'!$L$5,0)))</f>
        <v>0</v>
      </c>
      <c r="T25" s="59">
        <f t="shared" si="1"/>
        <v>1944171.865482382</v>
      </c>
    </row>
    <row r="26" spans="2:23" x14ac:dyDescent="0.25">
      <c r="B26" s="55">
        <v>19</v>
      </c>
      <c r="C26" s="41">
        <v>2300004647</v>
      </c>
      <c r="D26" s="41" t="s">
        <v>344</v>
      </c>
      <c r="E26" s="41" t="s">
        <v>145</v>
      </c>
      <c r="F26" s="42">
        <f>SUMIFS(Workings!$N:$N,Workings!$A:$A,'Credit Note Approval Form'!$C26,Workings!$E:$E,'Credit Note Approval Form'!F$7)</f>
        <v>918418.00698457693</v>
      </c>
      <c r="G26" s="42">
        <f>SUMIFS(Workings!$N:$N,Workings!$A:$A,'Credit Note Approval Form'!$C26,Workings!$E:$E,'Credit Note Approval Form'!G$7)</f>
        <v>0</v>
      </c>
      <c r="H26" s="42">
        <f>SUMIFS(Workings!$N:$N,Workings!$A:$A,'Credit Note Approval Form'!$C26,Workings!$E:$E,'Credit Note Approval Form'!H$7)</f>
        <v>21149.785981995945</v>
      </c>
      <c r="I26" s="42">
        <f>SUMIFS(Workings!$N:$N,Workings!$A:$A,'Credit Note Approval Form'!$C26,Workings!$E:$E,'Credit Note Approval Form'!I$7)</f>
        <v>17673.929531721318</v>
      </c>
      <c r="J26" s="42">
        <f>SUMIFS(Workings!$N:$N,Workings!$A:$A,'Credit Note Approval Form'!$C26,Workings!$E:$E,'Credit Note Approval Form'!J$7)</f>
        <v>104887.795</v>
      </c>
      <c r="K26" s="42">
        <f>SUMIFS(Workings!$N:$N,Workings!$A:$A,'Credit Note Approval Form'!$C26,Workings!$E:$E,'Credit Note Approval Form'!K$7)</f>
        <v>8780.5812190460692</v>
      </c>
      <c r="L26" s="42">
        <f>SUMIFS(Workings!$N:$N,Workings!$A:$A,'Credit Note Approval Form'!$C26,Workings!$E:$E,'Credit Note Approval Form'!L$7)</f>
        <v>0</v>
      </c>
      <c r="M26" s="42">
        <f>SUMIFS(Workings!$N:$N,Workings!$A:$A,'Credit Note Approval Form'!$C26,Workings!$E:$E,'Credit Note Approval Form'!M$7)</f>
        <v>35404.777708978327</v>
      </c>
      <c r="N26" s="42">
        <f>SUMIFS(Workings!$N:$N,Workings!$A:$A,'Credit Note Approval Form'!$C26,Workings!$E:$E,'Credit Note Approval Form'!N$7)</f>
        <v>0</v>
      </c>
      <c r="O26" s="42">
        <f>SUMIFS(Workings!$N:$N,Workings!$A:$A,'Credit Note Approval Form'!$C26,Workings!$E:$E,'Credit Note Approval Form'!O$7)</f>
        <v>3107.611490027838</v>
      </c>
      <c r="P26" s="42">
        <f>SUMIFS(Workings!$N:$N,Workings!$A:$A,'Credit Note Approval Form'!$C26,Workings!$E:$E,'Credit Note Approval Form'!P$7)</f>
        <v>12467.764441088331</v>
      </c>
      <c r="Q26" s="59">
        <f t="shared" si="0"/>
        <v>1121890.2523574347</v>
      </c>
      <c r="S26" s="107">
        <f>IF(_xlfn.XLOOKUP($C26,'TT Around time'!$A:$A,'TT Around time'!$D:$D,,0)-_xlfn.XLOOKUP($C26,'TT Around time'!$A:$A,'TT Around time'!$E:$E,,0)&gt;'Discount Scheme Target'!$N$4,'Discount Scheme Target'!$N$5,IF(_xlfn.XLOOKUP($C26,'TT Around time'!$A:$A,'TT Around time'!$D:$D,,0)-_xlfn.XLOOKUP($C26,'TT Around time'!$A:$A,'TT Around time'!$E:$E,,0)&gt;'Discount Scheme Target'!$M$4,'Discount Scheme Target'!$M$5,IF(_xlfn.XLOOKUP($C26,'TT Around time'!$A:$A,'TT Around time'!$D:$D,,0)-_xlfn.XLOOKUP($C26,'TT Around time'!$A:$A,'TT Around time'!$E:$E,,0)&gt;'Discount Scheme Target'!$L$4,'Discount Scheme Target'!$L$5,0)))</f>
        <v>0</v>
      </c>
      <c r="T26" s="59">
        <f t="shared" si="1"/>
        <v>1121890.2523574347</v>
      </c>
    </row>
    <row r="27" spans="2:23" x14ac:dyDescent="0.25">
      <c r="B27" s="41">
        <v>20</v>
      </c>
      <c r="C27" s="41">
        <v>2010625010</v>
      </c>
      <c r="D27" s="41" t="s">
        <v>90</v>
      </c>
      <c r="E27" s="41" t="s">
        <v>145</v>
      </c>
      <c r="F27" s="42">
        <f>SUMIFS(Workings!$N:$N,Workings!$A:$A,'Credit Note Approval Form'!$C27,Workings!$E:$E,'Credit Note Approval Form'!F$7)</f>
        <v>1424903.4255000402</v>
      </c>
      <c r="G27" s="42">
        <f>SUMIFS(Workings!$N:$N,Workings!$A:$A,'Credit Note Approval Form'!$C27,Workings!$E:$E,'Credit Note Approval Form'!G$7)</f>
        <v>0</v>
      </c>
      <c r="H27" s="42">
        <f>SUMIFS(Workings!$N:$N,Workings!$A:$A,'Credit Note Approval Form'!$C27,Workings!$E:$E,'Credit Note Approval Form'!H$7)</f>
        <v>44188.830399999999</v>
      </c>
      <c r="I27" s="42">
        <f>SUMIFS(Workings!$N:$N,Workings!$A:$A,'Credit Note Approval Form'!$C27,Workings!$E:$E,'Credit Note Approval Form'!I$7)</f>
        <v>313593.28747010051</v>
      </c>
      <c r="J27" s="42">
        <f>SUMIFS(Workings!$N:$N,Workings!$A:$A,'Credit Note Approval Form'!$C27,Workings!$E:$E,'Credit Note Approval Form'!J$7)</f>
        <v>129557.02431112694</v>
      </c>
      <c r="K27" s="42">
        <f>SUMIFS(Workings!$N:$N,Workings!$A:$A,'Credit Note Approval Form'!$C27,Workings!$E:$E,'Credit Note Approval Form'!K$7)</f>
        <v>12857.616823971377</v>
      </c>
      <c r="L27" s="42">
        <f>SUMIFS(Workings!$N:$N,Workings!$A:$A,'Credit Note Approval Form'!$C27,Workings!$E:$E,'Credit Note Approval Form'!L$7)</f>
        <v>0</v>
      </c>
      <c r="M27" s="42">
        <f>SUMIFS(Workings!$N:$N,Workings!$A:$A,'Credit Note Approval Form'!$C27,Workings!$E:$E,'Credit Note Approval Form'!M$7)</f>
        <v>39915.675174991906</v>
      </c>
      <c r="N27" s="42">
        <f>SUMIFS(Workings!$N:$N,Workings!$A:$A,'Credit Note Approval Form'!$C27,Workings!$E:$E,'Credit Note Approval Form'!N$7)</f>
        <v>20464.976172433962</v>
      </c>
      <c r="O27" s="42">
        <f>SUMIFS(Workings!$N:$N,Workings!$A:$A,'Credit Note Approval Form'!$C27,Workings!$E:$E,'Credit Note Approval Form'!O$7)</f>
        <v>5805.1839999999993</v>
      </c>
      <c r="P27" s="42">
        <f>SUMIFS(Workings!$N:$N,Workings!$A:$A,'Credit Note Approval Form'!$C27,Workings!$E:$E,'Credit Note Approval Form'!P$7)</f>
        <v>18285.409411988108</v>
      </c>
      <c r="Q27" s="59">
        <f t="shared" si="0"/>
        <v>2009571.4292646528</v>
      </c>
      <c r="S27" s="107">
        <f>IF(_xlfn.XLOOKUP($C27,'TT Around time'!$A:$A,'TT Around time'!$D:$D,,0)-_xlfn.XLOOKUP($C27,'TT Around time'!$A:$A,'TT Around time'!$E:$E,,0)&gt;'Discount Scheme Target'!$N$4,'Discount Scheme Target'!$N$5,IF(_xlfn.XLOOKUP($C27,'TT Around time'!$A:$A,'TT Around time'!$D:$D,,0)-_xlfn.XLOOKUP($C27,'TT Around time'!$A:$A,'TT Around time'!$E:$E,,0)&gt;'Discount Scheme Target'!$M$4,'Discount Scheme Target'!$M$5,IF(_xlfn.XLOOKUP($C27,'TT Around time'!$A:$A,'TT Around time'!$D:$D,,0)-_xlfn.XLOOKUP($C27,'TT Around time'!$A:$A,'TT Around time'!$E:$E,,0)&gt;'Discount Scheme Target'!$L$4,'Discount Scheme Target'!$L$5,0)))</f>
        <v>0</v>
      </c>
      <c r="T27" s="59">
        <f t="shared" si="1"/>
        <v>2009571.4292646528</v>
      </c>
    </row>
    <row r="28" spans="2:23" x14ac:dyDescent="0.25">
      <c r="B28" s="41">
        <v>21</v>
      </c>
      <c r="C28" s="41">
        <v>2010905029</v>
      </c>
      <c r="D28" s="41" t="s">
        <v>91</v>
      </c>
      <c r="E28" s="41" t="s">
        <v>145</v>
      </c>
      <c r="F28" s="42">
        <f>SUMIFS(Workings!$N:$N,Workings!$A:$A,'Credit Note Approval Form'!$C28,Workings!$E:$E,'Credit Note Approval Form'!F$7)</f>
        <v>746388.61137656658</v>
      </c>
      <c r="G28" s="42">
        <f>SUMIFS(Workings!$N:$N,Workings!$A:$A,'Credit Note Approval Form'!$C28,Workings!$E:$E,'Credit Note Approval Form'!G$7)</f>
        <v>0</v>
      </c>
      <c r="H28" s="42">
        <f>SUMIFS(Workings!$N:$N,Workings!$A:$A,'Credit Note Approval Form'!$C28,Workings!$E:$E,'Credit Note Approval Form'!H$7)</f>
        <v>102729.68409364363</v>
      </c>
      <c r="I28" s="42">
        <f>SUMIFS(Workings!$N:$N,Workings!$A:$A,'Credit Note Approval Form'!$C28,Workings!$E:$E,'Credit Note Approval Form'!I$7)</f>
        <v>48937.004550000005</v>
      </c>
      <c r="J28" s="42">
        <f>SUMIFS(Workings!$N:$N,Workings!$A:$A,'Credit Note Approval Form'!$C28,Workings!$E:$E,'Credit Note Approval Form'!J$7)</f>
        <v>142489.08000000002</v>
      </c>
      <c r="K28" s="42">
        <f>SUMIFS(Workings!$N:$N,Workings!$A:$A,'Credit Note Approval Form'!$C28,Workings!$E:$E,'Credit Note Approval Form'!K$7)</f>
        <v>92379.402499999967</v>
      </c>
      <c r="L28" s="42">
        <f>SUMIFS(Workings!$N:$N,Workings!$A:$A,'Credit Note Approval Form'!$C28,Workings!$E:$E,'Credit Note Approval Form'!L$7)</f>
        <v>0</v>
      </c>
      <c r="M28" s="42">
        <f>SUMIFS(Workings!$N:$N,Workings!$A:$A,'Credit Note Approval Form'!$C28,Workings!$E:$E,'Credit Note Approval Form'!M$7)</f>
        <v>48298.069597914247</v>
      </c>
      <c r="N28" s="42">
        <f>SUMIFS(Workings!$N:$N,Workings!$A:$A,'Credit Note Approval Form'!$C28,Workings!$E:$E,'Credit Note Approval Form'!N$7)</f>
        <v>20482.464157342652</v>
      </c>
      <c r="O28" s="42">
        <f>SUMIFS(Workings!$N:$N,Workings!$A:$A,'Credit Note Approval Form'!$C28,Workings!$E:$E,'Credit Note Approval Form'!O$7)</f>
        <v>6601.7599999999993</v>
      </c>
      <c r="P28" s="42">
        <f>SUMIFS(Workings!$N:$N,Workings!$A:$A,'Credit Note Approval Form'!$C28,Workings!$E:$E,'Credit Note Approval Form'!P$7)</f>
        <v>189511.57020745112</v>
      </c>
      <c r="Q28" s="59">
        <f t="shared" si="0"/>
        <v>1397817.6464829184</v>
      </c>
      <c r="S28" s="162">
        <v>1</v>
      </c>
      <c r="T28" s="59">
        <f t="shared" si="1"/>
        <v>0</v>
      </c>
      <c r="V28" s="161" t="s">
        <v>956</v>
      </c>
    </row>
    <row r="29" spans="2:23" x14ac:dyDescent="0.25">
      <c r="B29" s="55">
        <v>22</v>
      </c>
      <c r="C29" s="41">
        <v>2013910053</v>
      </c>
      <c r="D29" s="41" t="s">
        <v>93</v>
      </c>
      <c r="E29" s="41" t="s">
        <v>145</v>
      </c>
      <c r="F29" s="42">
        <f>SUMIFS(Workings!$N:$N,Workings!$A:$A,'Credit Note Approval Form'!$C29,Workings!$E:$E,'Credit Note Approval Form'!F$7)</f>
        <v>596215.19892443798</v>
      </c>
      <c r="G29" s="42">
        <f>SUMIFS(Workings!$N:$N,Workings!$A:$A,'Credit Note Approval Form'!$C29,Workings!$E:$E,'Credit Note Approval Form'!G$7)</f>
        <v>0</v>
      </c>
      <c r="H29" s="42">
        <f>SUMIFS(Workings!$N:$N,Workings!$A:$A,'Credit Note Approval Form'!$C29,Workings!$E:$E,'Credit Note Approval Form'!H$7)</f>
        <v>71266.077000000019</v>
      </c>
      <c r="I29" s="42">
        <f>SUMIFS(Workings!$N:$N,Workings!$A:$A,'Credit Note Approval Form'!$C29,Workings!$E:$E,'Credit Note Approval Form'!I$7)</f>
        <v>174572.72119100718</v>
      </c>
      <c r="J29" s="42">
        <f>SUMIFS(Workings!$N:$N,Workings!$A:$A,'Credit Note Approval Form'!$C29,Workings!$E:$E,'Credit Note Approval Form'!J$7)</f>
        <v>814723.40625756001</v>
      </c>
      <c r="K29" s="42">
        <f>SUMIFS(Workings!$N:$N,Workings!$A:$A,'Credit Note Approval Form'!$C29,Workings!$E:$E,'Credit Note Approval Form'!K$7)</f>
        <v>0</v>
      </c>
      <c r="L29" s="42">
        <f>SUMIFS(Workings!$N:$N,Workings!$A:$A,'Credit Note Approval Form'!$C29,Workings!$E:$E,'Credit Note Approval Form'!L$7)</f>
        <v>0</v>
      </c>
      <c r="M29" s="42">
        <f>SUMIFS(Workings!$N:$N,Workings!$A:$A,'Credit Note Approval Form'!$C29,Workings!$E:$E,'Credit Note Approval Form'!M$7)</f>
        <v>266951.68726467551</v>
      </c>
      <c r="N29" s="42">
        <f>SUMIFS(Workings!$N:$N,Workings!$A:$A,'Credit Note Approval Form'!$C29,Workings!$E:$E,'Credit Note Approval Form'!N$7)</f>
        <v>14862.508829985554</v>
      </c>
      <c r="O29" s="42">
        <f>SUMIFS(Workings!$N:$N,Workings!$A:$A,'Credit Note Approval Form'!$C29,Workings!$E:$E,'Credit Note Approval Form'!O$7)</f>
        <v>29743.174897727695</v>
      </c>
      <c r="P29" s="42">
        <f>SUMIFS(Workings!$N:$N,Workings!$A:$A,'Credit Note Approval Form'!$C29,Workings!$E:$E,'Credit Note Approval Form'!P$7)</f>
        <v>41915.590963738447</v>
      </c>
      <c r="Q29" s="59">
        <f t="shared" si="0"/>
        <v>2010250.3653291326</v>
      </c>
      <c r="S29" s="107">
        <f>IF(_xlfn.XLOOKUP($C29,'TT Around time'!$A:$A,'TT Around time'!$D:$D,,0)-_xlfn.XLOOKUP($C29,'TT Around time'!$A:$A,'TT Around time'!$E:$E,,0)&gt;'Discount Scheme Target'!$N$4,'Discount Scheme Target'!$N$5,IF(_xlfn.XLOOKUP($C29,'TT Around time'!$A:$A,'TT Around time'!$D:$D,,0)-_xlfn.XLOOKUP($C29,'TT Around time'!$A:$A,'TT Around time'!$E:$E,,0)&gt;'Discount Scheme Target'!$M$4,'Discount Scheme Target'!$M$5,IF(_xlfn.XLOOKUP($C29,'TT Around time'!$A:$A,'TT Around time'!$D:$D,,0)-_xlfn.XLOOKUP($C29,'TT Around time'!$A:$A,'TT Around time'!$E:$E,,0)&gt;'Discount Scheme Target'!$L$4,'Discount Scheme Target'!$L$5,0)))</f>
        <v>0</v>
      </c>
      <c r="T29" s="59">
        <f t="shared" si="1"/>
        <v>2010250.3653291326</v>
      </c>
    </row>
    <row r="30" spans="2:23" x14ac:dyDescent="0.25">
      <c r="B30" s="41">
        <v>23</v>
      </c>
      <c r="C30" s="41">
        <v>2013915007</v>
      </c>
      <c r="D30" s="41" t="s">
        <v>146</v>
      </c>
      <c r="E30" s="41" t="s">
        <v>145</v>
      </c>
      <c r="F30" s="42">
        <f>SUMIFS(Workings!$N:$N,Workings!$A:$A,'Credit Note Approval Form'!$C30,Workings!$E:$E,'Credit Note Approval Form'!F$7)</f>
        <v>867910.93492026348</v>
      </c>
      <c r="G30" s="42">
        <f>SUMIFS(Workings!$N:$N,Workings!$A:$A,'Credit Note Approval Form'!$C30,Workings!$E:$E,'Credit Note Approval Form'!G$7)</f>
        <v>0</v>
      </c>
      <c r="H30" s="42">
        <f>SUMIFS(Workings!$N:$N,Workings!$A:$A,'Credit Note Approval Form'!$C30,Workings!$E:$E,'Credit Note Approval Form'!H$7)</f>
        <v>23438.260418808764</v>
      </c>
      <c r="I30" s="42">
        <f>SUMIFS(Workings!$N:$N,Workings!$A:$A,'Credit Note Approval Form'!$C30,Workings!$E:$E,'Credit Note Approval Form'!I$7)</f>
        <v>49294.043750000004</v>
      </c>
      <c r="J30" s="42">
        <f>SUMIFS(Workings!$N:$N,Workings!$A:$A,'Credit Note Approval Form'!$C30,Workings!$E:$E,'Credit Note Approval Form'!J$7)</f>
        <v>1179065.655547878</v>
      </c>
      <c r="K30" s="42">
        <f>SUMIFS(Workings!$N:$N,Workings!$A:$A,'Credit Note Approval Form'!$C30,Workings!$E:$E,'Credit Note Approval Form'!K$7)</f>
        <v>12595.670259910039</v>
      </c>
      <c r="L30" s="42">
        <f>SUMIFS(Workings!$N:$N,Workings!$A:$A,'Credit Note Approval Form'!$C30,Workings!$E:$E,'Credit Note Approval Form'!L$7)</f>
        <v>0</v>
      </c>
      <c r="M30" s="42">
        <f>SUMIFS(Workings!$N:$N,Workings!$A:$A,'Credit Note Approval Form'!$C30,Workings!$E:$E,'Credit Note Approval Form'!M$7)</f>
        <v>49665.224906898831</v>
      </c>
      <c r="N30" s="42">
        <f>SUMIFS(Workings!$N:$N,Workings!$A:$A,'Credit Note Approval Form'!$C30,Workings!$E:$E,'Credit Note Approval Form'!N$7)</f>
        <v>20881.919830830404</v>
      </c>
      <c r="O30" s="42">
        <f>SUMIFS(Workings!$N:$N,Workings!$A:$A,'Credit Note Approval Form'!$C30,Workings!$E:$E,'Credit Note Approval Form'!O$7)</f>
        <v>3443.8649850054453</v>
      </c>
      <c r="P30" s="42">
        <f>SUMIFS(Workings!$N:$N,Workings!$A:$A,'Credit Note Approval Form'!$C30,Workings!$E:$E,'Credit Note Approval Form'!P$7)</f>
        <v>142138.1115</v>
      </c>
      <c r="Q30" s="59">
        <f t="shared" si="0"/>
        <v>2348433.6861195955</v>
      </c>
      <c r="S30" s="107">
        <f>IF(_xlfn.XLOOKUP($C30,'TT Around time'!$A:$A,'TT Around time'!$D:$D,,0)-_xlfn.XLOOKUP($C30,'TT Around time'!$A:$A,'TT Around time'!$E:$E,,0)&gt;'Discount Scheme Target'!$N$4,'Discount Scheme Target'!$N$5,IF(_xlfn.XLOOKUP($C30,'TT Around time'!$A:$A,'TT Around time'!$D:$D,,0)-_xlfn.XLOOKUP($C30,'TT Around time'!$A:$A,'TT Around time'!$E:$E,,0)&gt;'Discount Scheme Target'!$M$4,'Discount Scheme Target'!$M$5,IF(_xlfn.XLOOKUP($C30,'TT Around time'!$A:$A,'TT Around time'!$D:$D,,0)-_xlfn.XLOOKUP($C30,'TT Around time'!$A:$A,'TT Around time'!$E:$E,,0)&gt;'Discount Scheme Target'!$L$4,'Discount Scheme Target'!$L$5,0)))</f>
        <v>0</v>
      </c>
      <c r="T30" s="59">
        <f t="shared" si="1"/>
        <v>2348433.6861195955</v>
      </c>
    </row>
    <row r="31" spans="2:23" x14ac:dyDescent="0.25">
      <c r="B31" s="41">
        <v>24</v>
      </c>
      <c r="C31" s="41">
        <v>2300001202</v>
      </c>
      <c r="D31" s="41" t="s">
        <v>147</v>
      </c>
      <c r="E31" s="41" t="s">
        <v>145</v>
      </c>
      <c r="F31" s="42">
        <f>SUMIFS(Workings!$N:$N,Workings!$A:$A,'Credit Note Approval Form'!$C31,Workings!$E:$E,'Credit Note Approval Form'!F$7)</f>
        <v>1056676.6719084925</v>
      </c>
      <c r="G31" s="42">
        <f>SUMIFS(Workings!$N:$N,Workings!$A:$A,'Credit Note Approval Form'!$C31,Workings!$E:$E,'Credit Note Approval Form'!G$7)</f>
        <v>0</v>
      </c>
      <c r="H31" s="42">
        <f>SUMIFS(Workings!$N:$N,Workings!$A:$A,'Credit Note Approval Form'!$C31,Workings!$E:$E,'Credit Note Approval Form'!H$7)</f>
        <v>116459.19900000001</v>
      </c>
      <c r="I31" s="42">
        <f>SUMIFS(Workings!$N:$N,Workings!$A:$A,'Credit Note Approval Form'!$C31,Workings!$E:$E,'Credit Note Approval Form'!I$7)</f>
        <v>82599.992640000011</v>
      </c>
      <c r="J31" s="42">
        <f>SUMIFS(Workings!$N:$N,Workings!$A:$A,'Credit Note Approval Form'!$C31,Workings!$E:$E,'Credit Note Approval Form'!J$7)</f>
        <v>623389.72499999998</v>
      </c>
      <c r="K31" s="42">
        <f>SUMIFS(Workings!$N:$N,Workings!$A:$A,'Credit Note Approval Form'!$C31,Workings!$E:$E,'Credit Note Approval Form'!K$7)</f>
        <v>10217.03311541212</v>
      </c>
      <c r="L31" s="42">
        <f>SUMIFS(Workings!$N:$N,Workings!$A:$A,'Credit Note Approval Form'!$C31,Workings!$E:$E,'Credit Note Approval Form'!L$7)</f>
        <v>0</v>
      </c>
      <c r="M31" s="42">
        <f>SUMIFS(Workings!$N:$N,Workings!$A:$A,'Credit Note Approval Form'!$C31,Workings!$E:$E,'Credit Note Approval Form'!M$7)</f>
        <v>186799.51890250694</v>
      </c>
      <c r="N31" s="42">
        <f>SUMIFS(Workings!$N:$N,Workings!$A:$A,'Credit Note Approval Form'!$C31,Workings!$E:$E,'Credit Note Approval Form'!N$7)</f>
        <v>10888.334999999997</v>
      </c>
      <c r="O31" s="42">
        <f>SUMIFS(Workings!$N:$N,Workings!$A:$A,'Credit Note Approval Form'!$C31,Workings!$E:$E,'Credit Note Approval Form'!O$7)</f>
        <v>0</v>
      </c>
      <c r="P31" s="42">
        <f>SUMIFS(Workings!$N:$N,Workings!$A:$A,'Credit Note Approval Form'!$C31,Workings!$E:$E,'Credit Note Approval Form'!P$7)</f>
        <v>141702.27353189714</v>
      </c>
      <c r="Q31" s="59">
        <f t="shared" si="0"/>
        <v>2228732.7490983089</v>
      </c>
      <c r="S31" s="107">
        <f>IF(_xlfn.XLOOKUP($C31,'TT Around time'!$A:$A,'TT Around time'!$D:$D,,0)-_xlfn.XLOOKUP($C31,'TT Around time'!$A:$A,'TT Around time'!$E:$E,,0)&gt;'Discount Scheme Target'!$N$4,'Discount Scheme Target'!$N$5,IF(_xlfn.XLOOKUP($C31,'TT Around time'!$A:$A,'TT Around time'!$D:$D,,0)-_xlfn.XLOOKUP($C31,'TT Around time'!$A:$A,'TT Around time'!$E:$E,,0)&gt;'Discount Scheme Target'!$M$4,'Discount Scheme Target'!$M$5,IF(_xlfn.XLOOKUP($C31,'TT Around time'!$A:$A,'TT Around time'!$D:$D,,0)-_xlfn.XLOOKUP($C31,'TT Around time'!$A:$A,'TT Around time'!$E:$E,,0)&gt;'Discount Scheme Target'!$L$4,'Discount Scheme Target'!$L$5,0)))</f>
        <v>0</v>
      </c>
      <c r="T31" s="59">
        <f t="shared" si="1"/>
        <v>2228732.7490983089</v>
      </c>
    </row>
    <row r="32" spans="2:23" x14ac:dyDescent="0.25">
      <c r="B32" s="55">
        <v>25</v>
      </c>
      <c r="C32" s="41">
        <v>2300004631</v>
      </c>
      <c r="D32" s="41" t="s">
        <v>148</v>
      </c>
      <c r="E32" s="41" t="s">
        <v>145</v>
      </c>
      <c r="F32" s="42">
        <f>SUMIFS(Workings!$N:$N,Workings!$A:$A,'Credit Note Approval Form'!$C32,Workings!$E:$E,'Credit Note Approval Form'!F$7)</f>
        <v>1622699.3513140131</v>
      </c>
      <c r="G32" s="42">
        <f>SUMIFS(Workings!$N:$N,Workings!$A:$A,'Credit Note Approval Form'!$C32,Workings!$E:$E,'Credit Note Approval Form'!G$7)</f>
        <v>0</v>
      </c>
      <c r="H32" s="42">
        <f>SUMIFS(Workings!$N:$N,Workings!$A:$A,'Credit Note Approval Form'!$C32,Workings!$E:$E,'Credit Note Approval Form'!H$7)</f>
        <v>242577.99933970673</v>
      </c>
      <c r="I32" s="42">
        <f>SUMIFS(Workings!$N:$N,Workings!$A:$A,'Credit Note Approval Form'!$C32,Workings!$E:$E,'Credit Note Approval Form'!I$7)</f>
        <v>260135.42224293988</v>
      </c>
      <c r="J32" s="42">
        <f>SUMIFS(Workings!$N:$N,Workings!$A:$A,'Credit Note Approval Form'!$C32,Workings!$E:$E,'Credit Note Approval Form'!J$7)</f>
        <v>1535668.279579439</v>
      </c>
      <c r="K32" s="42">
        <f>SUMIFS(Workings!$N:$N,Workings!$A:$A,'Credit Note Approval Form'!$C32,Workings!$E:$E,'Credit Note Approval Form'!K$7)</f>
        <v>16405.168946421323</v>
      </c>
      <c r="L32" s="42">
        <f>SUMIFS(Workings!$N:$N,Workings!$A:$A,'Credit Note Approval Form'!$C32,Workings!$E:$E,'Credit Note Approval Form'!L$7)</f>
        <v>0</v>
      </c>
      <c r="M32" s="42">
        <f>SUMIFS(Workings!$N:$N,Workings!$A:$A,'Credit Note Approval Form'!$C32,Workings!$E:$E,'Credit Note Approval Form'!M$7)</f>
        <v>549797.89336899458</v>
      </c>
      <c r="N32" s="42">
        <f>SUMIFS(Workings!$N:$N,Workings!$A:$A,'Credit Note Approval Form'!$C32,Workings!$E:$E,'Credit Note Approval Form'!N$7)</f>
        <v>26634.578246177418</v>
      </c>
      <c r="O32" s="42">
        <f>SUMIFS(Workings!$N:$N,Workings!$A:$A,'Credit Note Approval Form'!$C32,Workings!$E:$E,'Credit Note Approval Form'!O$7)</f>
        <v>30706.367999999999</v>
      </c>
      <c r="P32" s="42">
        <f>SUMIFS(Workings!$N:$N,Workings!$A:$A,'Credit Note Approval Form'!$C32,Workings!$E:$E,'Credit Note Approval Form'!P$7)</f>
        <v>157931.23499999999</v>
      </c>
      <c r="Q32" s="59">
        <f t="shared" si="0"/>
        <v>4442556.2960376916</v>
      </c>
      <c r="S32" s="107">
        <f>IF(_xlfn.XLOOKUP($C32,'TT Around time'!$A:$A,'TT Around time'!$D:$D,,0)-_xlfn.XLOOKUP($C32,'TT Around time'!$A:$A,'TT Around time'!$E:$E,,0)&gt;'Discount Scheme Target'!$N$4,'Discount Scheme Target'!$N$5,IF(_xlfn.XLOOKUP($C32,'TT Around time'!$A:$A,'TT Around time'!$D:$D,,0)-_xlfn.XLOOKUP($C32,'TT Around time'!$A:$A,'TT Around time'!$E:$E,,0)&gt;'Discount Scheme Target'!$M$4,'Discount Scheme Target'!$M$5,IF(_xlfn.XLOOKUP($C32,'TT Around time'!$A:$A,'TT Around time'!$D:$D,,0)-_xlfn.XLOOKUP($C32,'TT Around time'!$A:$A,'TT Around time'!$E:$E,,0)&gt;'Discount Scheme Target'!$L$4,'Discount Scheme Target'!$L$5,0)))</f>
        <v>0</v>
      </c>
      <c r="T32" s="59">
        <f t="shared" si="1"/>
        <v>4442556.2960376916</v>
      </c>
    </row>
    <row r="33" spans="2:22" x14ac:dyDescent="0.25">
      <c r="B33" s="41">
        <v>26</v>
      </c>
      <c r="C33" s="41">
        <v>2300002301</v>
      </c>
      <c r="D33" s="41" t="s">
        <v>345</v>
      </c>
      <c r="E33" s="41" t="s">
        <v>145</v>
      </c>
      <c r="F33" s="42">
        <f>SUMIFS(Workings!$N:$N,Workings!$A:$A,'Credit Note Approval Form'!$C33,Workings!$E:$E,'Credit Note Approval Form'!F$7)</f>
        <v>0</v>
      </c>
      <c r="G33" s="42">
        <f>SUMIFS(Workings!$N:$N,Workings!$A:$A,'Credit Note Approval Form'!$C33,Workings!$E:$E,'Credit Note Approval Form'!G$7)</f>
        <v>0</v>
      </c>
      <c r="H33" s="42">
        <f>SUMIFS(Workings!$N:$N,Workings!$A:$A,'Credit Note Approval Form'!$C33,Workings!$E:$E,'Credit Note Approval Form'!H$7)</f>
        <v>0</v>
      </c>
      <c r="I33" s="42">
        <f>SUMIFS(Workings!$N:$N,Workings!$A:$A,'Credit Note Approval Form'!$C33,Workings!$E:$E,'Credit Note Approval Form'!I$7)</f>
        <v>154058.01081755201</v>
      </c>
      <c r="J33" s="42">
        <f>SUMIFS(Workings!$N:$N,Workings!$A:$A,'Credit Note Approval Form'!$C33,Workings!$E:$E,'Credit Note Approval Form'!J$7)</f>
        <v>426873.53550000006</v>
      </c>
      <c r="K33" s="42">
        <f>SUMIFS(Workings!$N:$N,Workings!$A:$A,'Credit Note Approval Form'!$C33,Workings!$E:$E,'Credit Note Approval Form'!K$7)</f>
        <v>0</v>
      </c>
      <c r="L33" s="42">
        <f>SUMIFS(Workings!$N:$N,Workings!$A:$A,'Credit Note Approval Form'!$C33,Workings!$E:$E,'Credit Note Approval Form'!L$7)</f>
        <v>0</v>
      </c>
      <c r="M33" s="42">
        <f>SUMIFS(Workings!$N:$N,Workings!$A:$A,'Credit Note Approval Form'!$C33,Workings!$E:$E,'Credit Note Approval Form'!M$7)</f>
        <v>0</v>
      </c>
      <c r="N33" s="42">
        <f>SUMIFS(Workings!$N:$N,Workings!$A:$A,'Credit Note Approval Form'!$C33,Workings!$E:$E,'Credit Note Approval Form'!N$7)</f>
        <v>0</v>
      </c>
      <c r="O33" s="42">
        <f>SUMIFS(Workings!$N:$N,Workings!$A:$A,'Credit Note Approval Form'!$C33,Workings!$E:$E,'Credit Note Approval Form'!O$7)</f>
        <v>0</v>
      </c>
      <c r="P33" s="42">
        <f>SUMIFS(Workings!$N:$N,Workings!$A:$A,'Credit Note Approval Form'!$C33,Workings!$E:$E,'Credit Note Approval Form'!P$7)</f>
        <v>0</v>
      </c>
      <c r="Q33" s="59">
        <f t="shared" si="0"/>
        <v>580931.5463175521</v>
      </c>
      <c r="S33" s="107">
        <f>IF(_xlfn.XLOOKUP($C33,'TT Around time'!$A:$A,'TT Around time'!$D:$D,,0)-_xlfn.XLOOKUP($C33,'TT Around time'!$A:$A,'TT Around time'!$E:$E,,0)&gt;'Discount Scheme Target'!$N$4,'Discount Scheme Target'!$N$5,IF(_xlfn.XLOOKUP($C33,'TT Around time'!$A:$A,'TT Around time'!$D:$D,,0)-_xlfn.XLOOKUP($C33,'TT Around time'!$A:$A,'TT Around time'!$E:$E,,0)&gt;'Discount Scheme Target'!$M$4,'Discount Scheme Target'!$M$5,IF(_xlfn.XLOOKUP($C33,'TT Around time'!$A:$A,'TT Around time'!$D:$D,,0)-_xlfn.XLOOKUP($C33,'TT Around time'!$A:$A,'TT Around time'!$E:$E,,0)&gt;'Discount Scheme Target'!$L$4,'Discount Scheme Target'!$L$5,0)))</f>
        <v>0.1</v>
      </c>
      <c r="T33" s="59">
        <f t="shared" si="1"/>
        <v>522838.3916857969</v>
      </c>
    </row>
    <row r="34" spans="2:22" x14ac:dyDescent="0.25">
      <c r="B34" s="41">
        <v>27</v>
      </c>
      <c r="C34" s="41">
        <v>2300002312</v>
      </c>
      <c r="D34" s="41" t="s">
        <v>107</v>
      </c>
      <c r="E34" s="41" t="s">
        <v>145</v>
      </c>
      <c r="F34" s="42">
        <f>SUMIFS(Workings!$N:$N,Workings!$A:$A,'Credit Note Approval Form'!$C34,Workings!$E:$E,'Credit Note Approval Form'!F$7)</f>
        <v>3076288.0207670815</v>
      </c>
      <c r="G34" s="42">
        <f>SUMIFS(Workings!$N:$N,Workings!$A:$A,'Credit Note Approval Form'!$C34,Workings!$E:$E,'Credit Note Approval Form'!G$7)</f>
        <v>0</v>
      </c>
      <c r="H34" s="42">
        <f>SUMIFS(Workings!$N:$N,Workings!$A:$A,'Credit Note Approval Form'!$C34,Workings!$E:$E,'Credit Note Approval Form'!H$7)</f>
        <v>29038.118712522384</v>
      </c>
      <c r="I34" s="42">
        <f>SUMIFS(Workings!$N:$N,Workings!$A:$A,'Credit Note Approval Form'!$C34,Workings!$E:$E,'Credit Note Approval Form'!I$7)</f>
        <v>238598.94958515125</v>
      </c>
      <c r="J34" s="42">
        <f>SUMIFS(Workings!$N:$N,Workings!$A:$A,'Credit Note Approval Form'!$C34,Workings!$E:$E,'Credit Note Approval Form'!J$7)</f>
        <v>682403.95229999989</v>
      </c>
      <c r="K34" s="42">
        <f>SUMIFS(Workings!$N:$N,Workings!$A:$A,'Credit Note Approval Form'!$C34,Workings!$E:$E,'Credit Note Approval Form'!K$7)</f>
        <v>11715.035</v>
      </c>
      <c r="L34" s="42">
        <f>SUMIFS(Workings!$N:$N,Workings!$A:$A,'Credit Note Approval Form'!$C34,Workings!$E:$E,'Credit Note Approval Form'!L$7)</f>
        <v>0</v>
      </c>
      <c r="M34" s="42">
        <f>SUMIFS(Workings!$N:$N,Workings!$A:$A,'Credit Note Approval Form'!$C34,Workings!$E:$E,'Credit Note Approval Form'!M$7)</f>
        <v>96773.882399999988</v>
      </c>
      <c r="N34" s="42">
        <f>SUMIFS(Workings!$N:$N,Workings!$A:$A,'Credit Note Approval Form'!$C34,Workings!$E:$E,'Credit Note Approval Form'!N$7)</f>
        <v>17292.347744015879</v>
      </c>
      <c r="O34" s="42">
        <f>SUMIFS(Workings!$N:$N,Workings!$A:$A,'Credit Note Approval Form'!$C34,Workings!$E:$E,'Credit Note Approval Form'!O$7)</f>
        <v>0</v>
      </c>
      <c r="P34" s="42">
        <f>SUMIFS(Workings!$N:$N,Workings!$A:$A,'Credit Note Approval Form'!$C34,Workings!$E:$E,'Credit Note Approval Form'!P$7)</f>
        <v>15859.351729673414</v>
      </c>
      <c r="Q34" s="59">
        <f t="shared" si="0"/>
        <v>4167969.6582384449</v>
      </c>
      <c r="S34" s="107">
        <f>IF(_xlfn.XLOOKUP($C34,'TT Around time'!$A:$A,'TT Around time'!$D:$D,,0)-_xlfn.XLOOKUP($C34,'TT Around time'!$A:$A,'TT Around time'!$E:$E,,0)&gt;'Discount Scheme Target'!$N$4,'Discount Scheme Target'!$N$5,IF(_xlfn.XLOOKUP($C34,'TT Around time'!$A:$A,'TT Around time'!$D:$D,,0)-_xlfn.XLOOKUP($C34,'TT Around time'!$A:$A,'TT Around time'!$E:$E,,0)&gt;'Discount Scheme Target'!$M$4,'Discount Scheme Target'!$M$5,IF(_xlfn.XLOOKUP($C34,'TT Around time'!$A:$A,'TT Around time'!$D:$D,,0)-_xlfn.XLOOKUP($C34,'TT Around time'!$A:$A,'TT Around time'!$E:$E,,0)&gt;'Discount Scheme Target'!$L$4,'Discount Scheme Target'!$L$5,0)))</f>
        <v>0</v>
      </c>
      <c r="T34" s="59">
        <f t="shared" si="1"/>
        <v>4167969.6582384449</v>
      </c>
    </row>
    <row r="35" spans="2:22" x14ac:dyDescent="0.25">
      <c r="B35" s="55">
        <v>28</v>
      </c>
      <c r="C35" s="41">
        <v>2011510034</v>
      </c>
      <c r="D35" s="41" t="s">
        <v>149</v>
      </c>
      <c r="E35" s="41" t="s">
        <v>145</v>
      </c>
      <c r="F35" s="42">
        <f>SUMIFS(Workings!$N:$N,Workings!$A:$A,'Credit Note Approval Form'!$C35,Workings!$E:$E,'Credit Note Approval Form'!F$7)</f>
        <v>4698809.9327564389</v>
      </c>
      <c r="G35" s="42">
        <f>SUMIFS(Workings!$N:$N,Workings!$A:$A,'Credit Note Approval Form'!$C35,Workings!$E:$E,'Credit Note Approval Form'!G$7)</f>
        <v>0</v>
      </c>
      <c r="H35" s="42">
        <f>SUMIFS(Workings!$N:$N,Workings!$A:$A,'Credit Note Approval Form'!$C35,Workings!$E:$E,'Credit Note Approval Form'!H$7)</f>
        <v>38549.346799999999</v>
      </c>
      <c r="I35" s="42">
        <f>SUMIFS(Workings!$N:$N,Workings!$A:$A,'Credit Note Approval Form'!$C35,Workings!$E:$E,'Credit Note Approval Form'!I$7)</f>
        <v>21273.730875000005</v>
      </c>
      <c r="J35" s="42">
        <f>SUMIFS(Workings!$N:$N,Workings!$A:$A,'Credit Note Approval Form'!$C35,Workings!$E:$E,'Credit Note Approval Form'!J$7)</f>
        <v>955923.61545000016</v>
      </c>
      <c r="K35" s="42">
        <f>SUMIFS(Workings!$N:$N,Workings!$A:$A,'Credit Note Approval Form'!$C35,Workings!$E:$E,'Credit Note Approval Form'!K$7)</f>
        <v>12703.050000000001</v>
      </c>
      <c r="L35" s="42">
        <f>SUMIFS(Workings!$N:$N,Workings!$A:$A,'Credit Note Approval Form'!$C35,Workings!$E:$E,'Credit Note Approval Form'!L$7)</f>
        <v>0</v>
      </c>
      <c r="M35" s="42">
        <f>SUMIFS(Workings!$N:$N,Workings!$A:$A,'Credit Note Approval Form'!$C35,Workings!$E:$E,'Credit Note Approval Form'!M$7)</f>
        <v>51226.865064705882</v>
      </c>
      <c r="N35" s="42">
        <f>SUMIFS(Workings!$N:$N,Workings!$A:$A,'Credit Note Approval Form'!$C35,Workings!$E:$E,'Credit Note Approval Form'!N$7)</f>
        <v>22231.108598139534</v>
      </c>
      <c r="O35" s="42">
        <f>SUMIFS(Workings!$N:$N,Workings!$A:$A,'Credit Note Approval Form'!$C35,Workings!$E:$E,'Credit Note Approval Form'!O$7)</f>
        <v>1789.4755196956371</v>
      </c>
      <c r="P35" s="42">
        <f>SUMIFS(Workings!$N:$N,Workings!$A:$A,'Credit Note Approval Form'!$C35,Workings!$E:$E,'Credit Note Approval Form'!P$7)</f>
        <v>0</v>
      </c>
      <c r="Q35" s="59">
        <f t="shared" si="0"/>
        <v>5802507.12506398</v>
      </c>
      <c r="S35" s="107">
        <f>IF(_xlfn.XLOOKUP($C35,'TT Around time'!$A:$A,'TT Around time'!$D:$D,,0)-_xlfn.XLOOKUP($C35,'TT Around time'!$A:$A,'TT Around time'!$E:$E,,0)&gt;'Discount Scheme Target'!$N$4,'Discount Scheme Target'!$N$5,IF(_xlfn.XLOOKUP($C35,'TT Around time'!$A:$A,'TT Around time'!$D:$D,,0)-_xlfn.XLOOKUP($C35,'TT Around time'!$A:$A,'TT Around time'!$E:$E,,0)&gt;'Discount Scheme Target'!$M$4,'Discount Scheme Target'!$M$5,IF(_xlfn.XLOOKUP($C35,'TT Around time'!$A:$A,'TT Around time'!$D:$D,,0)-_xlfn.XLOOKUP($C35,'TT Around time'!$A:$A,'TT Around time'!$E:$E,,0)&gt;'Discount Scheme Target'!$L$4,'Discount Scheme Target'!$L$5,0)))</f>
        <v>0</v>
      </c>
      <c r="T35" s="59">
        <f t="shared" si="1"/>
        <v>5802507.12506398</v>
      </c>
    </row>
    <row r="36" spans="2:22" x14ac:dyDescent="0.25">
      <c r="B36" s="41">
        <v>29</v>
      </c>
      <c r="C36" s="41">
        <v>2300001198</v>
      </c>
      <c r="D36" s="41" t="s">
        <v>103</v>
      </c>
      <c r="E36" s="41" t="s">
        <v>145</v>
      </c>
      <c r="F36" s="42">
        <f>SUMIFS(Workings!$N:$N,Workings!$A:$A,'Credit Note Approval Form'!$C36,Workings!$E:$E,'Credit Note Approval Form'!F$7)</f>
        <v>1050414.3842143372</v>
      </c>
      <c r="G36" s="42">
        <f>SUMIFS(Workings!$N:$N,Workings!$A:$A,'Credit Note Approval Form'!$C36,Workings!$E:$E,'Credit Note Approval Form'!G$7)</f>
        <v>0</v>
      </c>
      <c r="H36" s="42">
        <f>SUMIFS(Workings!$N:$N,Workings!$A:$A,'Credit Note Approval Form'!$C36,Workings!$E:$E,'Credit Note Approval Form'!H$7)</f>
        <v>133943.92573697204</v>
      </c>
      <c r="I36" s="42">
        <f>SUMIFS(Workings!$N:$N,Workings!$A:$A,'Credit Note Approval Form'!$C36,Workings!$E:$E,'Credit Note Approval Form'!I$7)</f>
        <v>24147.355200000005</v>
      </c>
      <c r="J36" s="42">
        <f>SUMIFS(Workings!$N:$N,Workings!$A:$A,'Credit Note Approval Form'!$C36,Workings!$E:$E,'Credit Note Approval Form'!J$7)</f>
        <v>1058792.8151499999</v>
      </c>
      <c r="K36" s="42">
        <f>SUMIFS(Workings!$N:$N,Workings!$A:$A,'Credit Note Approval Form'!$C36,Workings!$E:$E,'Credit Note Approval Form'!K$7)</f>
        <v>12872.424000000001</v>
      </c>
      <c r="L36" s="42">
        <f>SUMIFS(Workings!$N:$N,Workings!$A:$A,'Credit Note Approval Form'!$C36,Workings!$E:$E,'Credit Note Approval Form'!L$7)</f>
        <v>0</v>
      </c>
      <c r="M36" s="42">
        <f>SUMIFS(Workings!$N:$N,Workings!$A:$A,'Credit Note Approval Form'!$C36,Workings!$E:$E,'Credit Note Approval Form'!M$7)</f>
        <v>162195.55453547472</v>
      </c>
      <c r="N36" s="42">
        <f>SUMIFS(Workings!$N:$N,Workings!$A:$A,'Credit Note Approval Form'!$C36,Workings!$E:$E,'Credit Note Approval Form'!N$7)</f>
        <v>23579.29435</v>
      </c>
      <c r="O36" s="42">
        <f>SUMIFS(Workings!$N:$N,Workings!$A:$A,'Credit Note Approval Form'!$C36,Workings!$E:$E,'Credit Note Approval Form'!O$7)</f>
        <v>3546.3999999999996</v>
      </c>
      <c r="P36" s="42">
        <f>SUMIFS(Workings!$N:$N,Workings!$A:$A,'Credit Note Approval Form'!$C36,Workings!$E:$E,'Credit Note Approval Form'!P$7)</f>
        <v>14940.796200000001</v>
      </c>
      <c r="Q36" s="59">
        <f t="shared" si="0"/>
        <v>2484432.9493867843</v>
      </c>
      <c r="S36" s="107">
        <f>IF(_xlfn.XLOOKUP($C36,'TT Around time'!$A:$A,'TT Around time'!$D:$D,,0)-_xlfn.XLOOKUP($C36,'TT Around time'!$A:$A,'TT Around time'!$E:$E,,0)&gt;'Discount Scheme Target'!$N$4,'Discount Scheme Target'!$N$5,IF(_xlfn.XLOOKUP($C36,'TT Around time'!$A:$A,'TT Around time'!$D:$D,,0)-_xlfn.XLOOKUP($C36,'TT Around time'!$A:$A,'TT Around time'!$E:$E,,0)&gt;'Discount Scheme Target'!$M$4,'Discount Scheme Target'!$M$5,IF(_xlfn.XLOOKUP($C36,'TT Around time'!$A:$A,'TT Around time'!$D:$D,,0)-_xlfn.XLOOKUP($C36,'TT Around time'!$A:$A,'TT Around time'!$E:$E,,0)&gt;'Discount Scheme Target'!$L$4,'Discount Scheme Target'!$L$5,0)))</f>
        <v>0</v>
      </c>
      <c r="T36" s="59">
        <f t="shared" si="1"/>
        <v>2484432.9493867843</v>
      </c>
    </row>
    <row r="37" spans="2:22" x14ac:dyDescent="0.25">
      <c r="B37" s="41">
        <v>30</v>
      </c>
      <c r="C37" s="41">
        <v>2091006005</v>
      </c>
      <c r="D37" s="41" t="s">
        <v>102</v>
      </c>
      <c r="E37" s="41" t="s">
        <v>145</v>
      </c>
      <c r="F37" s="42">
        <f>SUMIFS(Workings!$N:$N,Workings!$A:$A,'Credit Note Approval Form'!$C37,Workings!$E:$E,'Credit Note Approval Form'!F$7)</f>
        <v>944242.05206896551</v>
      </c>
      <c r="G37" s="42">
        <f>SUMIFS(Workings!$N:$N,Workings!$A:$A,'Credit Note Approval Form'!$C37,Workings!$E:$E,'Credit Note Approval Form'!G$7)</f>
        <v>0</v>
      </c>
      <c r="H37" s="42">
        <f>SUMIFS(Workings!$N:$N,Workings!$A:$A,'Credit Note Approval Form'!$C37,Workings!$E:$E,'Credit Note Approval Form'!H$7)</f>
        <v>0</v>
      </c>
      <c r="I37" s="42">
        <f>SUMIFS(Workings!$N:$N,Workings!$A:$A,'Credit Note Approval Form'!$C37,Workings!$E:$E,'Credit Note Approval Form'!I$7)</f>
        <v>7894.11328125</v>
      </c>
      <c r="J37" s="42">
        <f>SUMIFS(Workings!$N:$N,Workings!$A:$A,'Credit Note Approval Form'!$C37,Workings!$E:$E,'Credit Note Approval Form'!J$7)</f>
        <v>149591.65049301877</v>
      </c>
      <c r="K37" s="42">
        <f>SUMIFS(Workings!$N:$N,Workings!$A:$A,'Credit Note Approval Form'!$C37,Workings!$E:$E,'Credit Note Approval Form'!K$7)</f>
        <v>0</v>
      </c>
      <c r="L37" s="42">
        <f>SUMIFS(Workings!$N:$N,Workings!$A:$A,'Credit Note Approval Form'!$C37,Workings!$E:$E,'Credit Note Approval Form'!L$7)</f>
        <v>0</v>
      </c>
      <c r="M37" s="42">
        <f>SUMIFS(Workings!$N:$N,Workings!$A:$A,'Credit Note Approval Form'!$C37,Workings!$E:$E,'Credit Note Approval Form'!M$7)</f>
        <v>16562.594517284128</v>
      </c>
      <c r="N37" s="42">
        <f>SUMIFS(Workings!$N:$N,Workings!$A:$A,'Credit Note Approval Form'!$C37,Workings!$E:$E,'Credit Note Approval Form'!N$7)</f>
        <v>7630.669900359595</v>
      </c>
      <c r="O37" s="42">
        <f>SUMIFS(Workings!$N:$N,Workings!$A:$A,'Credit Note Approval Form'!$C37,Workings!$E:$E,'Credit Note Approval Form'!O$7)</f>
        <v>0</v>
      </c>
      <c r="P37" s="42">
        <f>SUMIFS(Workings!$N:$N,Workings!$A:$A,'Credit Note Approval Form'!$C37,Workings!$E:$E,'Credit Note Approval Form'!P$7)</f>
        <v>8438.7128314702622</v>
      </c>
      <c r="Q37" s="59">
        <f t="shared" si="0"/>
        <v>1134359.7930923481</v>
      </c>
      <c r="S37" s="107">
        <f>IF(_xlfn.XLOOKUP($C37,'TT Around time'!$A:$A,'TT Around time'!$D:$D,,0)-_xlfn.XLOOKUP($C37,'TT Around time'!$A:$A,'TT Around time'!$E:$E,,0)&gt;'Discount Scheme Target'!$N$4,'Discount Scheme Target'!$N$5,IF(_xlfn.XLOOKUP($C37,'TT Around time'!$A:$A,'TT Around time'!$D:$D,,0)-_xlfn.XLOOKUP($C37,'TT Around time'!$A:$A,'TT Around time'!$E:$E,,0)&gt;'Discount Scheme Target'!$M$4,'Discount Scheme Target'!$M$5,IF(_xlfn.XLOOKUP($C37,'TT Around time'!$A:$A,'TT Around time'!$D:$D,,0)-_xlfn.XLOOKUP($C37,'TT Around time'!$A:$A,'TT Around time'!$E:$E,,0)&gt;'Discount Scheme Target'!$L$4,'Discount Scheme Target'!$L$5,0)))</f>
        <v>0</v>
      </c>
      <c r="T37" s="119">
        <f t="shared" si="1"/>
        <v>1134359.7930923481</v>
      </c>
      <c r="V37" s="113"/>
    </row>
    <row r="38" spans="2:22" x14ac:dyDescent="0.25">
      <c r="B38" s="55">
        <v>31</v>
      </c>
      <c r="C38" s="41">
        <v>2300002296</v>
      </c>
      <c r="D38" s="41" t="s">
        <v>150</v>
      </c>
      <c r="E38" s="41" t="s">
        <v>145</v>
      </c>
      <c r="F38" s="42">
        <f>SUMIFS(Workings!$N:$N,Workings!$A:$A,'Credit Note Approval Form'!$C38,Workings!$E:$E,'Credit Note Approval Form'!F$7)</f>
        <v>531504.97792922007</v>
      </c>
      <c r="G38" s="42">
        <f>SUMIFS(Workings!$N:$N,Workings!$A:$A,'Credit Note Approval Form'!$C38,Workings!$E:$E,'Credit Note Approval Form'!G$7)</f>
        <v>0</v>
      </c>
      <c r="H38" s="42">
        <f>SUMIFS(Workings!$N:$N,Workings!$A:$A,'Credit Note Approval Form'!$C38,Workings!$E:$E,'Credit Note Approval Form'!H$7)</f>
        <v>19545.059600000001</v>
      </c>
      <c r="I38" s="42">
        <f>SUMIFS(Workings!$N:$N,Workings!$A:$A,'Credit Note Approval Form'!$C38,Workings!$E:$E,'Credit Note Approval Form'!I$7)</f>
        <v>17152.64169230769</v>
      </c>
      <c r="J38" s="42">
        <f>SUMIFS(Workings!$N:$N,Workings!$A:$A,'Credit Note Approval Form'!$C38,Workings!$E:$E,'Credit Note Approval Form'!J$7)</f>
        <v>62319.182350000003</v>
      </c>
      <c r="K38" s="42">
        <f>SUMIFS(Workings!$N:$N,Workings!$A:$A,'Credit Note Approval Form'!$C38,Workings!$E:$E,'Credit Note Approval Form'!K$7)</f>
        <v>23373.612000000001</v>
      </c>
      <c r="L38" s="42">
        <f>SUMIFS(Workings!$N:$N,Workings!$A:$A,'Credit Note Approval Form'!$C38,Workings!$E:$E,'Credit Note Approval Form'!L$7)</f>
        <v>0</v>
      </c>
      <c r="M38" s="42">
        <f>SUMIFS(Workings!$N:$N,Workings!$A:$A,'Credit Note Approval Form'!$C38,Workings!$E:$E,'Credit Note Approval Form'!M$7)</f>
        <v>25541.274898607244</v>
      </c>
      <c r="N38" s="42">
        <f>SUMIFS(Workings!$N:$N,Workings!$A:$A,'Credit Note Approval Form'!$C38,Workings!$E:$E,'Credit Note Approval Form'!N$7)</f>
        <v>9537.0596655891713</v>
      </c>
      <c r="O38" s="42">
        <f>SUMIFS(Workings!$N:$N,Workings!$A:$A,'Credit Note Approval Form'!$C38,Workings!$E:$E,'Credit Note Approval Form'!O$7)</f>
        <v>0</v>
      </c>
      <c r="P38" s="42">
        <f>SUMIFS(Workings!$N:$N,Workings!$A:$A,'Credit Note Approval Form'!$C38,Workings!$E:$E,'Credit Note Approval Form'!P$7)</f>
        <v>130406.07689999999</v>
      </c>
      <c r="Q38" s="59">
        <f t="shared" si="0"/>
        <v>819379.88503572415</v>
      </c>
      <c r="S38" s="107">
        <f>IF(_xlfn.XLOOKUP($C38,'TT Around time'!$A:$A,'TT Around time'!$D:$D,,0)-_xlfn.XLOOKUP($C38,'TT Around time'!$A:$A,'TT Around time'!$E:$E,,0)&gt;'Discount Scheme Target'!$N$4,'Discount Scheme Target'!$N$5,IF(_xlfn.XLOOKUP($C38,'TT Around time'!$A:$A,'TT Around time'!$D:$D,,0)-_xlfn.XLOOKUP($C38,'TT Around time'!$A:$A,'TT Around time'!$E:$E,,0)&gt;'Discount Scheme Target'!$M$4,'Discount Scheme Target'!$M$5,IF(_xlfn.XLOOKUP($C38,'TT Around time'!$A:$A,'TT Around time'!$D:$D,,0)-_xlfn.XLOOKUP($C38,'TT Around time'!$A:$A,'TT Around time'!$E:$E,,0)&gt;'Discount Scheme Target'!$L$4,'Discount Scheme Target'!$L$5,0)))</f>
        <v>0</v>
      </c>
      <c r="T38" s="59">
        <f t="shared" si="1"/>
        <v>819379.88503572415</v>
      </c>
    </row>
    <row r="39" spans="2:22" x14ac:dyDescent="0.25">
      <c r="B39" s="41">
        <v>32</v>
      </c>
      <c r="C39" s="41">
        <v>2300002284</v>
      </c>
      <c r="D39" s="41" t="s">
        <v>106</v>
      </c>
      <c r="E39" s="41" t="s">
        <v>145</v>
      </c>
      <c r="F39" s="42">
        <f>SUMIFS(Workings!$N:$N,Workings!$A:$A,'Credit Note Approval Form'!$C39,Workings!$E:$E,'Credit Note Approval Form'!F$7)</f>
        <v>1333724.4922751607</v>
      </c>
      <c r="G39" s="42">
        <f>SUMIFS(Workings!$N:$N,Workings!$A:$A,'Credit Note Approval Form'!$C39,Workings!$E:$E,'Credit Note Approval Form'!G$7)</f>
        <v>0</v>
      </c>
      <c r="H39" s="42">
        <f>SUMIFS(Workings!$N:$N,Workings!$A:$A,'Credit Note Approval Form'!$C39,Workings!$E:$E,'Credit Note Approval Form'!H$7)</f>
        <v>74356.205000000016</v>
      </c>
      <c r="I39" s="42">
        <f>SUMIFS(Workings!$N:$N,Workings!$A:$A,'Credit Note Approval Form'!$C39,Workings!$E:$E,'Credit Note Approval Form'!I$7)</f>
        <v>22846.457304718573</v>
      </c>
      <c r="J39" s="42">
        <f>SUMIFS(Workings!$N:$N,Workings!$A:$A,'Credit Note Approval Form'!$C39,Workings!$E:$E,'Credit Note Approval Form'!J$7)</f>
        <v>88888.552844015881</v>
      </c>
      <c r="K39" s="42">
        <f>SUMIFS(Workings!$N:$N,Workings!$A:$A,'Credit Note Approval Form'!$C39,Workings!$E:$E,'Credit Note Approval Form'!K$7)</f>
        <v>0</v>
      </c>
      <c r="L39" s="42">
        <f>SUMIFS(Workings!$N:$N,Workings!$A:$A,'Credit Note Approval Form'!$C39,Workings!$E:$E,'Credit Note Approval Form'!L$7)</f>
        <v>0</v>
      </c>
      <c r="M39" s="42">
        <f>SUMIFS(Workings!$N:$N,Workings!$A:$A,'Credit Note Approval Form'!$C39,Workings!$E:$E,'Credit Note Approval Form'!M$7)</f>
        <v>44258.9108440364</v>
      </c>
      <c r="N39" s="42">
        <f>SUMIFS(Workings!$N:$N,Workings!$A:$A,'Credit Note Approval Form'!$C39,Workings!$E:$E,'Credit Note Approval Form'!N$7)</f>
        <v>17041.668830778661</v>
      </c>
      <c r="O39" s="42">
        <f>SUMIFS(Workings!$N:$N,Workings!$A:$A,'Credit Note Approval Form'!$C39,Workings!$E:$E,'Credit Note Approval Form'!O$7)</f>
        <v>11894.079992328148</v>
      </c>
      <c r="P39" s="42">
        <f>SUMIFS(Workings!$N:$N,Workings!$A:$A,'Credit Note Approval Form'!$C39,Workings!$E:$E,'Credit Note Approval Form'!P$7)</f>
        <v>9776.6954999999998</v>
      </c>
      <c r="Q39" s="59">
        <f t="shared" si="0"/>
        <v>1602787.0625910384</v>
      </c>
      <c r="S39" s="107">
        <f>IF(_xlfn.XLOOKUP($C39,'TT Around time'!$A:$A,'TT Around time'!$D:$D,,0)-_xlfn.XLOOKUP($C39,'TT Around time'!$A:$A,'TT Around time'!$E:$E,,0)&gt;'Discount Scheme Target'!$N$4,'Discount Scheme Target'!$N$5,IF(_xlfn.XLOOKUP($C39,'TT Around time'!$A:$A,'TT Around time'!$D:$D,,0)-_xlfn.XLOOKUP($C39,'TT Around time'!$A:$A,'TT Around time'!$E:$E,,0)&gt;'Discount Scheme Target'!$M$4,'Discount Scheme Target'!$M$5,IF(_xlfn.XLOOKUP($C39,'TT Around time'!$A:$A,'TT Around time'!$D:$D,,0)-_xlfn.XLOOKUP($C39,'TT Around time'!$A:$A,'TT Around time'!$E:$E,,0)&gt;'Discount Scheme Target'!$L$4,'Discount Scheme Target'!$L$5,0)))</f>
        <v>0</v>
      </c>
      <c r="T39" s="59">
        <f t="shared" si="1"/>
        <v>1602787.0625910384</v>
      </c>
    </row>
    <row r="40" spans="2:22" x14ac:dyDescent="0.25">
      <c r="B40" s="41">
        <v>33</v>
      </c>
      <c r="C40" s="41">
        <v>2011210001</v>
      </c>
      <c r="D40" s="41" t="s">
        <v>92</v>
      </c>
      <c r="E40" s="41" t="s">
        <v>145</v>
      </c>
      <c r="F40" s="42">
        <f>SUMIFS(Workings!$N:$N,Workings!$A:$A,'Credit Note Approval Form'!$C40,Workings!$E:$E,'Credit Note Approval Form'!F$7)</f>
        <v>706186.09055730444</v>
      </c>
      <c r="G40" s="42">
        <f>SUMIFS(Workings!$N:$N,Workings!$A:$A,'Credit Note Approval Form'!$C40,Workings!$E:$E,'Credit Note Approval Form'!G$7)</f>
        <v>0</v>
      </c>
      <c r="H40" s="42">
        <f>SUMIFS(Workings!$N:$N,Workings!$A:$A,'Credit Note Approval Form'!$C40,Workings!$E:$E,'Credit Note Approval Form'!H$7)</f>
        <v>101707.07738176211</v>
      </c>
      <c r="I40" s="42">
        <f>SUMIFS(Workings!$N:$N,Workings!$A:$A,'Credit Note Approval Form'!$C40,Workings!$E:$E,'Credit Note Approval Form'!I$7)</f>
        <v>17128.617838235299</v>
      </c>
      <c r="J40" s="42">
        <f>SUMIFS(Workings!$N:$N,Workings!$A:$A,'Credit Note Approval Form'!$C40,Workings!$E:$E,'Credit Note Approval Form'!J$7)</f>
        <v>817352.98515000008</v>
      </c>
      <c r="K40" s="42">
        <f>SUMIFS(Workings!$N:$N,Workings!$A:$A,'Credit Note Approval Form'!$C40,Workings!$E:$E,'Credit Note Approval Form'!K$7)</f>
        <v>9739.0049999999992</v>
      </c>
      <c r="L40" s="42">
        <f>SUMIFS(Workings!$N:$N,Workings!$A:$A,'Credit Note Approval Form'!$C40,Workings!$E:$E,'Credit Note Approval Form'!L$7)</f>
        <v>0</v>
      </c>
      <c r="M40" s="42">
        <f>SUMIFS(Workings!$N:$N,Workings!$A:$A,'Credit Note Approval Form'!$C40,Workings!$E:$E,'Credit Note Approval Form'!M$7)</f>
        <v>40892.171232692308</v>
      </c>
      <c r="N40" s="42">
        <f>SUMIFS(Workings!$N:$N,Workings!$A:$A,'Credit Note Approval Form'!$C40,Workings!$E:$E,'Credit Note Approval Form'!N$7)</f>
        <v>13314.858698329755</v>
      </c>
      <c r="O40" s="42">
        <f>SUMIFS(Workings!$N:$N,Workings!$A:$A,'Credit Note Approval Form'!$C40,Workings!$E:$E,'Credit Note Approval Form'!O$7)</f>
        <v>2856.6367020141292</v>
      </c>
      <c r="P40" s="42">
        <f>SUMIFS(Workings!$N:$N,Workings!$A:$A,'Credit Note Approval Form'!$C40,Workings!$E:$E,'Credit Note Approval Form'!P$7)</f>
        <v>64976.688000000002</v>
      </c>
      <c r="Q40" s="59">
        <f t="shared" si="0"/>
        <v>1774154.130560338</v>
      </c>
      <c r="S40" s="107">
        <f>IF(_xlfn.XLOOKUP($C40,'TT Around time'!$A:$A,'TT Around time'!$D:$D,,0)-_xlfn.XLOOKUP($C40,'TT Around time'!$A:$A,'TT Around time'!$E:$E,,0)&gt;'Discount Scheme Target'!$N$4,'Discount Scheme Target'!$N$5,IF(_xlfn.XLOOKUP($C40,'TT Around time'!$A:$A,'TT Around time'!$D:$D,,0)-_xlfn.XLOOKUP($C40,'TT Around time'!$A:$A,'TT Around time'!$E:$E,,0)&gt;'Discount Scheme Target'!$M$4,'Discount Scheme Target'!$M$5,IF(_xlfn.XLOOKUP($C40,'TT Around time'!$A:$A,'TT Around time'!$D:$D,,0)-_xlfn.XLOOKUP($C40,'TT Around time'!$A:$A,'TT Around time'!$E:$E,,0)&gt;'Discount Scheme Target'!$L$4,'Discount Scheme Target'!$L$5,0)))</f>
        <v>0</v>
      </c>
      <c r="T40" s="59">
        <f t="shared" si="1"/>
        <v>1774154.130560338</v>
      </c>
    </row>
    <row r="41" spans="2:22" x14ac:dyDescent="0.25">
      <c r="B41" s="55">
        <v>34</v>
      </c>
      <c r="C41" s="41">
        <v>2300004648</v>
      </c>
      <c r="D41" s="41" t="s">
        <v>415</v>
      </c>
      <c r="E41" s="41" t="s">
        <v>145</v>
      </c>
      <c r="F41" s="42">
        <f>SUMIFS(Workings!$N:$N,Workings!$A:$A,'Credit Note Approval Form'!$C41,Workings!$E:$E,'Credit Note Approval Form'!F$7)</f>
        <v>713086.12103092775</v>
      </c>
      <c r="G41" s="42">
        <f>SUMIFS(Workings!$N:$N,Workings!$A:$A,'Credit Note Approval Form'!$C41,Workings!$E:$E,'Credit Note Approval Form'!G$7)</f>
        <v>0</v>
      </c>
      <c r="H41" s="42">
        <f>SUMIFS(Workings!$N:$N,Workings!$A:$A,'Credit Note Approval Form'!$C41,Workings!$E:$E,'Credit Note Approval Form'!H$7)</f>
        <v>41523.595000000001</v>
      </c>
      <c r="I41" s="42">
        <f>SUMIFS(Workings!$N:$N,Workings!$A:$A,'Credit Note Approval Form'!$C41,Workings!$E:$E,'Credit Note Approval Form'!I$7)</f>
        <v>71853.832760398218</v>
      </c>
      <c r="J41" s="42">
        <f>SUMIFS(Workings!$N:$N,Workings!$A:$A,'Credit Note Approval Form'!$C41,Workings!$E:$E,'Credit Note Approval Form'!J$7)</f>
        <v>71482.021800000002</v>
      </c>
      <c r="K41" s="42">
        <f>SUMIFS(Workings!$N:$N,Workings!$A:$A,'Credit Note Approval Form'!$C41,Workings!$E:$E,'Credit Note Approval Form'!K$7)</f>
        <v>0</v>
      </c>
      <c r="L41" s="42">
        <f>SUMIFS(Workings!$N:$N,Workings!$A:$A,'Credit Note Approval Form'!$C41,Workings!$E:$E,'Credit Note Approval Form'!L$7)</f>
        <v>0</v>
      </c>
      <c r="M41" s="42">
        <f>SUMIFS(Workings!$N:$N,Workings!$A:$A,'Credit Note Approval Form'!$C41,Workings!$E:$E,'Credit Note Approval Form'!M$7)</f>
        <v>22478.320499999998</v>
      </c>
      <c r="N41" s="42">
        <f>SUMIFS(Workings!$N:$N,Workings!$A:$A,'Credit Note Approval Form'!$C41,Workings!$E:$E,'Credit Note Approval Form'!N$7)</f>
        <v>0</v>
      </c>
      <c r="O41" s="42">
        <f>SUMIFS(Workings!$N:$N,Workings!$A:$A,'Credit Note Approval Form'!$C41,Workings!$E:$E,'Credit Note Approval Form'!O$7)</f>
        <v>1996.8959999999997</v>
      </c>
      <c r="P41" s="42">
        <f>SUMIFS(Workings!$N:$N,Workings!$A:$A,'Credit Note Approval Form'!$C41,Workings!$E:$E,'Credit Note Approval Form'!P$7)</f>
        <v>105296.18548714111</v>
      </c>
      <c r="Q41" s="59">
        <f t="shared" si="0"/>
        <v>1027716.972578467</v>
      </c>
      <c r="S41" s="107">
        <f>IF(_xlfn.XLOOKUP($C41,'TT Around time'!$A:$A,'TT Around time'!$D:$D,,0)-_xlfn.XLOOKUP($C41,'TT Around time'!$A:$A,'TT Around time'!$E:$E,,0)&gt;'Discount Scheme Target'!$N$4,'Discount Scheme Target'!$N$5,IF(_xlfn.XLOOKUP($C41,'TT Around time'!$A:$A,'TT Around time'!$D:$D,,0)-_xlfn.XLOOKUP($C41,'TT Around time'!$A:$A,'TT Around time'!$E:$E,,0)&gt;'Discount Scheme Target'!$M$4,'Discount Scheme Target'!$M$5,IF(_xlfn.XLOOKUP($C41,'TT Around time'!$A:$A,'TT Around time'!$D:$D,,0)-_xlfn.XLOOKUP($C41,'TT Around time'!$A:$A,'TT Around time'!$E:$E,,0)&gt;'Discount Scheme Target'!$L$4,'Discount Scheme Target'!$L$5,0)))</f>
        <v>0</v>
      </c>
      <c r="T41" s="59">
        <f t="shared" si="1"/>
        <v>1027716.972578467</v>
      </c>
    </row>
    <row r="42" spans="2:22" x14ac:dyDescent="0.25">
      <c r="B42" s="41">
        <v>35</v>
      </c>
      <c r="C42" s="41">
        <v>2300004649</v>
      </c>
      <c r="D42" s="41" t="s">
        <v>518</v>
      </c>
      <c r="E42" s="41" t="s">
        <v>145</v>
      </c>
      <c r="F42" s="42">
        <f>SUMIFS(Workings!$N:$N,Workings!$A:$A,'Credit Note Approval Form'!$C42,Workings!$E:$E,'Credit Note Approval Form'!F$7)</f>
        <v>928435.78604781616</v>
      </c>
      <c r="G42" s="42">
        <f>SUMIFS(Workings!$N:$N,Workings!$A:$A,'Credit Note Approval Form'!$C42,Workings!$E:$E,'Credit Note Approval Form'!G$7)</f>
        <v>0</v>
      </c>
      <c r="H42" s="42">
        <f>SUMIFS(Workings!$N:$N,Workings!$A:$A,'Credit Note Approval Form'!$C42,Workings!$E:$E,'Credit Note Approval Form'!H$7)</f>
        <v>24813.89074284349</v>
      </c>
      <c r="I42" s="42">
        <f>SUMIFS(Workings!$N:$N,Workings!$A:$A,'Credit Note Approval Form'!$C42,Workings!$E:$E,'Credit Note Approval Form'!I$7)</f>
        <v>21966.254342740689</v>
      </c>
      <c r="J42" s="42">
        <f>SUMIFS(Workings!$N:$N,Workings!$A:$A,'Credit Note Approval Form'!$C42,Workings!$E:$E,'Credit Note Approval Form'!J$7)</f>
        <v>82647.721446364463</v>
      </c>
      <c r="K42" s="42">
        <f>SUMIFS(Workings!$N:$N,Workings!$A:$A,'Credit Note Approval Form'!$C42,Workings!$E:$E,'Credit Note Approval Form'!K$7)</f>
        <v>0</v>
      </c>
      <c r="L42" s="42">
        <f>SUMIFS(Workings!$N:$N,Workings!$A:$A,'Credit Note Approval Form'!$C42,Workings!$E:$E,'Credit Note Approval Form'!L$7)</f>
        <v>0</v>
      </c>
      <c r="M42" s="42">
        <f>SUMIFS(Workings!$N:$N,Workings!$A:$A,'Credit Note Approval Form'!$C42,Workings!$E:$E,'Credit Note Approval Form'!M$7)</f>
        <v>26954.867465859064</v>
      </c>
      <c r="N42" s="42">
        <f>SUMIFS(Workings!$N:$N,Workings!$A:$A,'Credit Note Approval Form'!$C42,Workings!$E:$E,'Credit Note Approval Form'!N$7)</f>
        <v>13657.076022075029</v>
      </c>
      <c r="O42" s="42">
        <f>SUMIFS(Workings!$N:$N,Workings!$A:$A,'Credit Note Approval Form'!$C42,Workings!$E:$E,'Credit Note Approval Form'!O$7)</f>
        <v>3712.7447485712828</v>
      </c>
      <c r="P42" s="42">
        <f>SUMIFS(Workings!$N:$N,Workings!$A:$A,'Credit Note Approval Form'!$C42,Workings!$E:$E,'Credit Note Approval Form'!P$7)</f>
        <v>0</v>
      </c>
      <c r="Q42" s="59">
        <f t="shared" si="0"/>
        <v>1102188.3408162701</v>
      </c>
      <c r="S42" s="107">
        <f>IF(_xlfn.XLOOKUP($C42,'TT Around time'!$A:$A,'TT Around time'!$D:$D,,0)-_xlfn.XLOOKUP($C42,'TT Around time'!$A:$A,'TT Around time'!$E:$E,,0)&gt;'Discount Scheme Target'!$N$4,'Discount Scheme Target'!$N$5,IF(_xlfn.XLOOKUP($C42,'TT Around time'!$A:$A,'TT Around time'!$D:$D,,0)-_xlfn.XLOOKUP($C42,'TT Around time'!$A:$A,'TT Around time'!$E:$E,,0)&gt;'Discount Scheme Target'!$M$4,'Discount Scheme Target'!$M$5,IF(_xlfn.XLOOKUP($C42,'TT Around time'!$A:$A,'TT Around time'!$D:$D,,0)-_xlfn.XLOOKUP($C42,'TT Around time'!$A:$A,'TT Around time'!$E:$E,,0)&gt;'Discount Scheme Target'!$L$4,'Discount Scheme Target'!$L$5,0)))</f>
        <v>0</v>
      </c>
      <c r="T42" s="59">
        <f t="shared" ref="T42" si="3">Q42*(1-S42)</f>
        <v>1102188.3408162701</v>
      </c>
    </row>
    <row r="43" spans="2:22" x14ac:dyDescent="0.25">
      <c r="B43" s="41">
        <v>36</v>
      </c>
      <c r="C43" s="41">
        <v>3300002022</v>
      </c>
      <c r="D43" s="41" t="s">
        <v>116</v>
      </c>
      <c r="E43" s="41" t="s">
        <v>145</v>
      </c>
      <c r="F43" s="42">
        <f>SUMIFS(Workings!$N:$N,Workings!$A:$A,'Credit Note Approval Form'!$C43,Workings!$E:$E,'Credit Note Approval Form'!F$7)</f>
        <v>607380.17139999999</v>
      </c>
      <c r="G43" s="42">
        <f>SUMIFS(Workings!$N:$N,Workings!$A:$A,'Credit Note Approval Form'!$C43,Workings!$E:$E,'Credit Note Approval Form'!G$7)</f>
        <v>0</v>
      </c>
      <c r="H43" s="42">
        <f>SUMIFS(Workings!$N:$N,Workings!$A:$A,'Credit Note Approval Form'!$C43,Workings!$E:$E,'Credit Note Approval Form'!H$7)</f>
        <v>12624.435134817802</v>
      </c>
      <c r="I43" s="42">
        <f>SUMIFS(Workings!$N:$N,Workings!$A:$A,'Credit Note Approval Form'!$C43,Workings!$E:$E,'Credit Note Approval Form'!I$7)</f>
        <v>42704.550669184282</v>
      </c>
      <c r="J43" s="42">
        <f>SUMIFS(Workings!$N:$N,Workings!$A:$A,'Credit Note Approval Form'!$C43,Workings!$E:$E,'Credit Note Approval Form'!J$7)</f>
        <v>75097.3189584465</v>
      </c>
      <c r="K43" s="42">
        <f>SUMIFS(Workings!$N:$N,Workings!$A:$A,'Credit Note Approval Form'!$C43,Workings!$E:$E,'Credit Note Approval Form'!K$7)</f>
        <v>39480.568625785992</v>
      </c>
      <c r="L43" s="42">
        <f>SUMIFS(Workings!$N:$N,Workings!$A:$A,'Credit Note Approval Form'!$C43,Workings!$E:$E,'Credit Note Approval Form'!L$7)</f>
        <v>0</v>
      </c>
      <c r="M43" s="42">
        <f>SUMIFS(Workings!$N:$N,Workings!$A:$A,'Credit Note Approval Form'!$C43,Workings!$E:$E,'Credit Note Approval Form'!M$7)</f>
        <v>81541.978573084256</v>
      </c>
      <c r="N43" s="42">
        <f>SUMIFS(Workings!$N:$N,Workings!$A:$A,'Credit Note Approval Form'!$C43,Workings!$E:$E,'Credit Note Approval Form'!N$7)</f>
        <v>0</v>
      </c>
      <c r="O43" s="42">
        <f>SUMIFS(Workings!$N:$N,Workings!$A:$A,'Credit Note Approval Form'!$C43,Workings!$E:$E,'Credit Note Approval Form'!O$7)</f>
        <v>0</v>
      </c>
      <c r="P43" s="42">
        <f>SUMIFS(Workings!$N:$N,Workings!$A:$A,'Credit Note Approval Form'!$C43,Workings!$E:$E,'Credit Note Approval Form'!P$7)</f>
        <v>63623.7261</v>
      </c>
      <c r="Q43" s="59">
        <f t="shared" si="0"/>
        <v>922452.74946131883</v>
      </c>
      <c r="S43" s="107">
        <f>IF(_xlfn.XLOOKUP($C43,'TT Around time'!$A:$A,'TT Around time'!$D:$D,,0)-_xlfn.XLOOKUP($C43,'TT Around time'!$A:$A,'TT Around time'!$E:$E,,0)&gt;'Discount Scheme Target'!$N$4,'Discount Scheme Target'!$N$5,IF(_xlfn.XLOOKUP($C43,'TT Around time'!$A:$A,'TT Around time'!$D:$D,,0)-_xlfn.XLOOKUP($C43,'TT Around time'!$A:$A,'TT Around time'!$E:$E,,0)&gt;'Discount Scheme Target'!$M$4,'Discount Scheme Target'!$M$5,IF(_xlfn.XLOOKUP($C43,'TT Around time'!$A:$A,'TT Around time'!$D:$D,,0)-_xlfn.XLOOKUP($C43,'TT Around time'!$A:$A,'TT Around time'!$E:$E,,0)&gt;'Discount Scheme Target'!$L$4,'Discount Scheme Target'!$L$5,0)))</f>
        <v>0</v>
      </c>
      <c r="T43" s="59">
        <f t="shared" si="1"/>
        <v>922452.74946131883</v>
      </c>
    </row>
    <row r="44" spans="2:22" x14ac:dyDescent="0.25">
      <c r="B44" s="55">
        <v>37</v>
      </c>
      <c r="C44" s="41">
        <v>3300000887</v>
      </c>
      <c r="D44" s="41" t="s">
        <v>113</v>
      </c>
      <c r="E44" s="41" t="s">
        <v>151</v>
      </c>
      <c r="F44" s="42">
        <f>SUMIFS(Workings!$N:$N,Workings!$A:$A,'Credit Note Approval Form'!$C44,Workings!$E:$E,'Credit Note Approval Form'!F$7)</f>
        <v>4149132.0907451771</v>
      </c>
      <c r="G44" s="42">
        <f>SUMIFS(Workings!$N:$N,Workings!$A:$A,'Credit Note Approval Form'!$C44,Workings!$E:$E,'Credit Note Approval Form'!G$7)</f>
        <v>0</v>
      </c>
      <c r="H44" s="42">
        <f>SUMIFS(Workings!$N:$N,Workings!$A:$A,'Credit Note Approval Form'!$C44,Workings!$E:$E,'Credit Note Approval Form'!H$7)</f>
        <v>24309.021907566545</v>
      </c>
      <c r="I44" s="42">
        <f>SUMIFS(Workings!$N:$N,Workings!$A:$A,'Credit Note Approval Form'!$C44,Workings!$E:$E,'Credit Note Approval Form'!I$7)</f>
        <v>29416.563792048935</v>
      </c>
      <c r="J44" s="42">
        <f>SUMIFS(Workings!$N:$N,Workings!$A:$A,'Credit Note Approval Form'!$C44,Workings!$E:$E,'Credit Note Approval Form'!J$7)</f>
        <v>89117.3730073271</v>
      </c>
      <c r="K44" s="42">
        <f>SUMIFS(Workings!$N:$N,Workings!$A:$A,'Credit Note Approval Form'!$C44,Workings!$E:$E,'Credit Note Approval Form'!K$7)</f>
        <v>7004.1182142685666</v>
      </c>
      <c r="L44" s="42">
        <f>SUMIFS(Workings!$N:$N,Workings!$A:$A,'Credit Note Approval Form'!$C44,Workings!$E:$E,'Credit Note Approval Form'!L$7)</f>
        <v>0</v>
      </c>
      <c r="M44" s="42">
        <f>SUMIFS(Workings!$N:$N,Workings!$A:$A,'Credit Note Approval Form'!$C44,Workings!$E:$E,'Credit Note Approval Form'!M$7)</f>
        <v>38285.88824065368</v>
      </c>
      <c r="N44" s="42">
        <f>SUMIFS(Workings!$N:$N,Workings!$A:$A,'Credit Note Approval Form'!$C44,Workings!$E:$E,'Credit Note Approval Form'!N$7)</f>
        <v>12455.319664933018</v>
      </c>
      <c r="O44" s="42">
        <f>SUMIFS(Workings!$N:$N,Workings!$A:$A,'Credit Note Approval Form'!$C44,Workings!$E:$E,'Credit Note Approval Form'!O$7)</f>
        <v>4618.9225133589662</v>
      </c>
      <c r="P44" s="42">
        <f>SUMIFS(Workings!$N:$N,Workings!$A:$A,'Credit Note Approval Form'!$C44,Workings!$E:$E,'Credit Note Approval Form'!P$7)</f>
        <v>8806.2131367905422</v>
      </c>
      <c r="Q44" s="59">
        <f t="shared" si="0"/>
        <v>4363145.5112221241</v>
      </c>
      <c r="S44" s="107">
        <f>IF(_xlfn.XLOOKUP($C44,'TT Around time'!$A:$A,'TT Around time'!$D:$D,,0)-_xlfn.XLOOKUP($C44,'TT Around time'!$A:$A,'TT Around time'!$E:$E,,0)&gt;'Discount Scheme Target'!$N$4,'Discount Scheme Target'!$N$5,IF(_xlfn.XLOOKUP($C44,'TT Around time'!$A:$A,'TT Around time'!$D:$D,,0)-_xlfn.XLOOKUP($C44,'TT Around time'!$A:$A,'TT Around time'!$E:$E,,0)&gt;'Discount Scheme Target'!$M$4,'Discount Scheme Target'!$M$5,IF(_xlfn.XLOOKUP($C44,'TT Around time'!$A:$A,'TT Around time'!$D:$D,,0)-_xlfn.XLOOKUP($C44,'TT Around time'!$A:$A,'TT Around time'!$E:$E,,0)&gt;'Discount Scheme Target'!$L$4,'Discount Scheme Target'!$L$5,0)))</f>
        <v>0</v>
      </c>
      <c r="T44" s="59">
        <f t="shared" si="1"/>
        <v>4363145.5112221241</v>
      </c>
    </row>
    <row r="45" spans="2:22" x14ac:dyDescent="0.25">
      <c r="B45" s="41">
        <v>38</v>
      </c>
      <c r="C45" s="41">
        <v>3300002021</v>
      </c>
      <c r="D45" s="41" t="s">
        <v>115</v>
      </c>
      <c r="E45" s="41" t="s">
        <v>151</v>
      </c>
      <c r="F45" s="42">
        <f>SUMIFS(Workings!$N:$N,Workings!$A:$A,'Credit Note Approval Form'!$C45,Workings!$E:$E,'Credit Note Approval Form'!F$7)</f>
        <v>0</v>
      </c>
      <c r="G45" s="42">
        <f>SUMIFS(Workings!$N:$N,Workings!$A:$A,'Credit Note Approval Form'!$C45,Workings!$E:$E,'Credit Note Approval Form'!G$7)</f>
        <v>0</v>
      </c>
      <c r="H45" s="42">
        <f>SUMIFS(Workings!$N:$N,Workings!$A:$A,'Credit Note Approval Form'!$C45,Workings!$E:$E,'Credit Note Approval Form'!H$7)</f>
        <v>57243.568229674696</v>
      </c>
      <c r="I45" s="42">
        <f>SUMIFS(Workings!$N:$N,Workings!$A:$A,'Credit Note Approval Form'!$C45,Workings!$E:$E,'Credit Note Approval Form'!I$7)</f>
        <v>66238.992298475001</v>
      </c>
      <c r="J45" s="42">
        <f>SUMIFS(Workings!$N:$N,Workings!$A:$A,'Credit Note Approval Form'!$C45,Workings!$E:$E,'Credit Note Approval Form'!J$7)</f>
        <v>0</v>
      </c>
      <c r="K45" s="42">
        <f>SUMIFS(Workings!$N:$N,Workings!$A:$A,'Credit Note Approval Form'!$C45,Workings!$E:$E,'Credit Note Approval Form'!K$7)</f>
        <v>103743.76009834999</v>
      </c>
      <c r="L45" s="42">
        <f>SUMIFS(Workings!$N:$N,Workings!$A:$A,'Credit Note Approval Form'!$C45,Workings!$E:$E,'Credit Note Approval Form'!L$7)</f>
        <v>0</v>
      </c>
      <c r="M45" s="42">
        <f>SUMIFS(Workings!$N:$N,Workings!$A:$A,'Credit Note Approval Form'!$C45,Workings!$E:$E,'Credit Note Approval Form'!M$7)</f>
        <v>0</v>
      </c>
      <c r="N45" s="42">
        <f>SUMIFS(Workings!$N:$N,Workings!$A:$A,'Credit Note Approval Form'!$C45,Workings!$E:$E,'Credit Note Approval Form'!N$7)</f>
        <v>0</v>
      </c>
      <c r="O45" s="42">
        <f>SUMIFS(Workings!$N:$N,Workings!$A:$A,'Credit Note Approval Form'!$C45,Workings!$E:$E,'Credit Note Approval Form'!O$7)</f>
        <v>0</v>
      </c>
      <c r="P45" s="42">
        <f>SUMIFS(Workings!$N:$N,Workings!$A:$A,'Credit Note Approval Form'!$C45,Workings!$E:$E,'Credit Note Approval Form'!P$7)</f>
        <v>21395.524995830012</v>
      </c>
      <c r="Q45" s="59">
        <f t="shared" si="0"/>
        <v>248621.84562232968</v>
      </c>
      <c r="S45" s="107">
        <f>IF(_xlfn.XLOOKUP($C45,'TT Around time'!$A:$A,'TT Around time'!$D:$D,,0)-_xlfn.XLOOKUP($C45,'TT Around time'!$A:$A,'TT Around time'!$E:$E,,0)&gt;'Discount Scheme Target'!$N$4,'Discount Scheme Target'!$N$5,IF(_xlfn.XLOOKUP($C45,'TT Around time'!$A:$A,'TT Around time'!$D:$D,,0)-_xlfn.XLOOKUP($C45,'TT Around time'!$A:$A,'TT Around time'!$E:$E,,0)&gt;'Discount Scheme Target'!$M$4,'Discount Scheme Target'!$M$5,IF(_xlfn.XLOOKUP($C45,'TT Around time'!$A:$A,'TT Around time'!$D:$D,,0)-_xlfn.XLOOKUP($C45,'TT Around time'!$A:$A,'TT Around time'!$E:$E,,0)&gt;'Discount Scheme Target'!$L$4,'Discount Scheme Target'!$L$5,0)))</f>
        <v>0.15</v>
      </c>
      <c r="T45" s="59">
        <f t="shared" si="1"/>
        <v>211328.56877898023</v>
      </c>
    </row>
    <row r="46" spans="2:22" x14ac:dyDescent="0.25">
      <c r="B46" s="41">
        <v>39</v>
      </c>
      <c r="C46" s="41">
        <v>3300002018</v>
      </c>
      <c r="D46" s="41" t="s">
        <v>114</v>
      </c>
      <c r="E46" s="41" t="s">
        <v>151</v>
      </c>
      <c r="F46" s="42">
        <f>SUMIFS(Workings!$N:$N,Workings!$A:$A,'Credit Note Approval Form'!$C46,Workings!$E:$E,'Credit Note Approval Form'!F$7)</f>
        <v>0</v>
      </c>
      <c r="G46" s="42">
        <f>SUMIFS(Workings!$N:$N,Workings!$A:$A,'Credit Note Approval Form'!$C46,Workings!$E:$E,'Credit Note Approval Form'!G$7)</f>
        <v>0</v>
      </c>
      <c r="H46" s="42">
        <f>SUMIFS(Workings!$N:$N,Workings!$A:$A,'Credit Note Approval Form'!$C46,Workings!$E:$E,'Credit Note Approval Form'!H$7)</f>
        <v>0</v>
      </c>
      <c r="I46" s="42">
        <f>SUMIFS(Workings!$N:$N,Workings!$A:$A,'Credit Note Approval Form'!$C46,Workings!$E:$E,'Credit Note Approval Form'!I$7)</f>
        <v>0</v>
      </c>
      <c r="J46" s="42">
        <f>SUMIFS(Workings!$N:$N,Workings!$A:$A,'Credit Note Approval Form'!$C46,Workings!$E:$E,'Credit Note Approval Form'!J$7)</f>
        <v>55580.137582712159</v>
      </c>
      <c r="K46" s="42">
        <f>SUMIFS(Workings!$N:$N,Workings!$A:$A,'Credit Note Approval Form'!$C46,Workings!$E:$E,'Credit Note Approval Form'!K$7)</f>
        <v>0</v>
      </c>
      <c r="L46" s="42">
        <f>SUMIFS(Workings!$N:$N,Workings!$A:$A,'Credit Note Approval Form'!$C46,Workings!$E:$E,'Credit Note Approval Form'!L$7)</f>
        <v>0</v>
      </c>
      <c r="M46" s="42">
        <f>SUMIFS(Workings!$N:$N,Workings!$A:$A,'Credit Note Approval Form'!$C46,Workings!$E:$E,'Credit Note Approval Form'!M$7)</f>
        <v>20954.716837950396</v>
      </c>
      <c r="N46" s="42">
        <f>SUMIFS(Workings!$N:$N,Workings!$A:$A,'Credit Note Approval Form'!$C46,Workings!$E:$E,'Credit Note Approval Form'!N$7)</f>
        <v>0</v>
      </c>
      <c r="O46" s="42">
        <f>SUMIFS(Workings!$N:$N,Workings!$A:$A,'Credit Note Approval Form'!$C46,Workings!$E:$E,'Credit Note Approval Form'!O$7)</f>
        <v>0</v>
      </c>
      <c r="P46" s="42">
        <f>SUMIFS(Workings!$N:$N,Workings!$A:$A,'Credit Note Approval Form'!$C46,Workings!$E:$E,'Credit Note Approval Form'!P$7)</f>
        <v>0</v>
      </c>
      <c r="Q46" s="59">
        <f t="shared" si="0"/>
        <v>76534.854420662552</v>
      </c>
      <c r="S46" s="107">
        <f>IF(_xlfn.XLOOKUP($C46,'TT Around time'!$A:$A,'TT Around time'!$D:$D,,0)-_xlfn.XLOOKUP($C46,'TT Around time'!$A:$A,'TT Around time'!$E:$E,,0)&gt;'Discount Scheme Target'!$N$4,'Discount Scheme Target'!$N$5,IF(_xlfn.XLOOKUP($C46,'TT Around time'!$A:$A,'TT Around time'!$D:$D,,0)-_xlfn.XLOOKUP($C46,'TT Around time'!$A:$A,'TT Around time'!$E:$E,,0)&gt;'Discount Scheme Target'!$M$4,'Discount Scheme Target'!$M$5,IF(_xlfn.XLOOKUP($C46,'TT Around time'!$A:$A,'TT Around time'!$D:$D,,0)-_xlfn.XLOOKUP($C46,'TT Around time'!$A:$A,'TT Around time'!$E:$E,,0)&gt;'Discount Scheme Target'!$L$4,'Discount Scheme Target'!$L$5,0)))</f>
        <v>0.25</v>
      </c>
      <c r="T46" s="59">
        <f t="shared" si="1"/>
        <v>57401.14081549691</v>
      </c>
    </row>
    <row r="47" spans="2:22" x14ac:dyDescent="0.25">
      <c r="B47" s="55">
        <v>40</v>
      </c>
      <c r="C47" s="41">
        <v>3300000846</v>
      </c>
      <c r="D47" s="41" t="s">
        <v>112</v>
      </c>
      <c r="E47" s="41" t="s">
        <v>151</v>
      </c>
      <c r="F47" s="42">
        <f>SUMIFS(Workings!$N:$N,Workings!$A:$A,'Credit Note Approval Form'!$C47,Workings!$E:$E,'Credit Note Approval Form'!F$7)</f>
        <v>0</v>
      </c>
      <c r="G47" s="42">
        <f>SUMIFS(Workings!$N:$N,Workings!$A:$A,'Credit Note Approval Form'!$C47,Workings!$E:$E,'Credit Note Approval Form'!G$7)</f>
        <v>0</v>
      </c>
      <c r="H47" s="42">
        <f>SUMIFS(Workings!$N:$N,Workings!$A:$A,'Credit Note Approval Form'!$C47,Workings!$E:$E,'Credit Note Approval Form'!H$7)</f>
        <v>0</v>
      </c>
      <c r="I47" s="42">
        <f>SUMIFS(Workings!$N:$N,Workings!$A:$A,'Credit Note Approval Form'!$C47,Workings!$E:$E,'Credit Note Approval Form'!I$7)</f>
        <v>0</v>
      </c>
      <c r="J47" s="42">
        <f>SUMIFS(Workings!$N:$N,Workings!$A:$A,'Credit Note Approval Form'!$C47,Workings!$E:$E,'Credit Note Approval Form'!J$7)</f>
        <v>0</v>
      </c>
      <c r="K47" s="42">
        <f>SUMIFS(Workings!$N:$N,Workings!$A:$A,'Credit Note Approval Form'!$C47,Workings!$E:$E,'Credit Note Approval Form'!K$7)</f>
        <v>0</v>
      </c>
      <c r="L47" s="42">
        <f>SUMIFS(Workings!$N:$N,Workings!$A:$A,'Credit Note Approval Form'!$C47,Workings!$E:$E,'Credit Note Approval Form'!L$7)</f>
        <v>0</v>
      </c>
      <c r="M47" s="42">
        <f>SUMIFS(Workings!$N:$N,Workings!$A:$A,'Credit Note Approval Form'!$C47,Workings!$E:$E,'Credit Note Approval Form'!M$7)</f>
        <v>0</v>
      </c>
      <c r="N47" s="42">
        <f>SUMIFS(Workings!$N:$N,Workings!$A:$A,'Credit Note Approval Form'!$C47,Workings!$E:$E,'Credit Note Approval Form'!N$7)</f>
        <v>0</v>
      </c>
      <c r="O47" s="42">
        <f>SUMIFS(Workings!$N:$N,Workings!$A:$A,'Credit Note Approval Form'!$C47,Workings!$E:$E,'Credit Note Approval Form'!O$7)</f>
        <v>0</v>
      </c>
      <c r="P47" s="42">
        <f>SUMIFS(Workings!$N:$N,Workings!$A:$A,'Credit Note Approval Form'!$C47,Workings!$E:$E,'Credit Note Approval Form'!P$7)</f>
        <v>0</v>
      </c>
      <c r="Q47" s="59">
        <f t="shared" si="0"/>
        <v>0</v>
      </c>
      <c r="S47" s="107">
        <f>IF(_xlfn.XLOOKUP($C47,'TT Around time'!$A:$A,'TT Around time'!$D:$D,,0)-_xlfn.XLOOKUP($C47,'TT Around time'!$A:$A,'TT Around time'!$E:$E,,0)&gt;'Discount Scheme Target'!$N$4,'Discount Scheme Target'!$N$5,IF(_xlfn.XLOOKUP($C47,'TT Around time'!$A:$A,'TT Around time'!$D:$D,,0)-_xlfn.XLOOKUP($C47,'TT Around time'!$A:$A,'TT Around time'!$E:$E,,0)&gt;'Discount Scheme Target'!$M$4,'Discount Scheme Target'!$M$5,IF(_xlfn.XLOOKUP($C47,'TT Around time'!$A:$A,'TT Around time'!$D:$D,,0)-_xlfn.XLOOKUP($C47,'TT Around time'!$A:$A,'TT Around time'!$E:$E,,0)&gt;'Discount Scheme Target'!$L$4,'Discount Scheme Target'!$L$5,0)))</f>
        <v>0.1</v>
      </c>
      <c r="T47" s="59">
        <f t="shared" si="1"/>
        <v>0</v>
      </c>
    </row>
    <row r="48" spans="2:22" x14ac:dyDescent="0.25">
      <c r="B48" s="41">
        <v>41</v>
      </c>
      <c r="C48" s="41">
        <v>3050101021</v>
      </c>
      <c r="D48" s="41" t="s">
        <v>108</v>
      </c>
      <c r="E48" s="41" t="s">
        <v>151</v>
      </c>
      <c r="F48" s="42">
        <f>SUMIFS(Workings!$N:$N,Workings!$A:$A,'Credit Note Approval Form'!$C48,Workings!$E:$E,'Credit Note Approval Form'!F$7)</f>
        <v>2437577.2985487706</v>
      </c>
      <c r="G48" s="42">
        <f>SUMIFS(Workings!$N:$N,Workings!$A:$A,'Credit Note Approval Form'!$C48,Workings!$E:$E,'Credit Note Approval Form'!G$7)</f>
        <v>0</v>
      </c>
      <c r="H48" s="42">
        <f>SUMIFS(Workings!$N:$N,Workings!$A:$A,'Credit Note Approval Form'!$C48,Workings!$E:$E,'Credit Note Approval Form'!H$7)</f>
        <v>66000.830829504761</v>
      </c>
      <c r="I48" s="42">
        <f>SUMIFS(Workings!$N:$N,Workings!$A:$A,'Credit Note Approval Form'!$C48,Workings!$E:$E,'Credit Note Approval Form'!I$7)</f>
        <v>19795.363150050609</v>
      </c>
      <c r="J48" s="42">
        <f>SUMIFS(Workings!$N:$N,Workings!$A:$A,'Credit Note Approval Form'!$C48,Workings!$E:$E,'Credit Note Approval Form'!J$7)</f>
        <v>243905.06978044542</v>
      </c>
      <c r="K48" s="42">
        <f>SUMIFS(Workings!$N:$N,Workings!$A:$A,'Credit Note Approval Form'!$C48,Workings!$E:$E,'Credit Note Approval Form'!K$7)</f>
        <v>0</v>
      </c>
      <c r="L48" s="42">
        <f>SUMIFS(Workings!$N:$N,Workings!$A:$A,'Credit Note Approval Form'!$C48,Workings!$E:$E,'Credit Note Approval Form'!L$7)</f>
        <v>0</v>
      </c>
      <c r="M48" s="42">
        <f>SUMIFS(Workings!$N:$N,Workings!$A:$A,'Credit Note Approval Form'!$C48,Workings!$E:$E,'Credit Note Approval Form'!M$7)</f>
        <v>0</v>
      </c>
      <c r="N48" s="42">
        <f>SUMIFS(Workings!$N:$N,Workings!$A:$A,'Credit Note Approval Form'!$C48,Workings!$E:$E,'Credit Note Approval Form'!N$7)</f>
        <v>0</v>
      </c>
      <c r="O48" s="42">
        <f>SUMIFS(Workings!$N:$N,Workings!$A:$A,'Credit Note Approval Form'!$C48,Workings!$E:$E,'Credit Note Approval Form'!O$7)</f>
        <v>0</v>
      </c>
      <c r="P48" s="42">
        <f>SUMIFS(Workings!$N:$N,Workings!$A:$A,'Credit Note Approval Form'!$C48,Workings!$E:$E,'Credit Note Approval Form'!P$7)</f>
        <v>0</v>
      </c>
      <c r="Q48" s="59">
        <f t="shared" si="0"/>
        <v>2767278.5623087715</v>
      </c>
      <c r="S48" s="107">
        <f>IF(_xlfn.XLOOKUP($C48,'TT Around time'!$A:$A,'TT Around time'!$D:$D,,0)-_xlfn.XLOOKUP($C48,'TT Around time'!$A:$A,'TT Around time'!$E:$E,,0)&gt;'Discount Scheme Target'!$N$4,'Discount Scheme Target'!$N$5,IF(_xlfn.XLOOKUP($C48,'TT Around time'!$A:$A,'TT Around time'!$D:$D,,0)-_xlfn.XLOOKUP($C48,'TT Around time'!$A:$A,'TT Around time'!$E:$E,,0)&gt;'Discount Scheme Target'!$M$4,'Discount Scheme Target'!$M$5,IF(_xlfn.XLOOKUP($C48,'TT Around time'!$A:$A,'TT Around time'!$D:$D,,0)-_xlfn.XLOOKUP($C48,'TT Around time'!$A:$A,'TT Around time'!$E:$E,,0)&gt;'Discount Scheme Target'!$L$4,'Discount Scheme Target'!$L$5,0)))</f>
        <v>0.1</v>
      </c>
      <c r="T48" s="59">
        <f t="shared" si="1"/>
        <v>2490550.7060778947</v>
      </c>
    </row>
    <row r="49" spans="2:22" x14ac:dyDescent="0.25">
      <c r="B49" s="41">
        <v>42</v>
      </c>
      <c r="C49" s="41">
        <v>3300002027</v>
      </c>
      <c r="D49" s="41" t="s">
        <v>117</v>
      </c>
      <c r="E49" s="41" t="s">
        <v>151</v>
      </c>
      <c r="F49" s="42">
        <f>SUMIFS(Workings!$N:$N,Workings!$A:$A,'Credit Note Approval Form'!$C49,Workings!$E:$E,'Credit Note Approval Form'!F$7)</f>
        <v>0</v>
      </c>
      <c r="G49" s="42">
        <f>SUMIFS(Workings!$N:$N,Workings!$A:$A,'Credit Note Approval Form'!$C49,Workings!$E:$E,'Credit Note Approval Form'!G$7)</f>
        <v>0</v>
      </c>
      <c r="H49" s="42">
        <f>SUMIFS(Workings!$N:$N,Workings!$A:$A,'Credit Note Approval Form'!$C49,Workings!$E:$E,'Credit Note Approval Form'!H$7)</f>
        <v>28376.937386624508</v>
      </c>
      <c r="I49" s="42">
        <f>SUMIFS(Workings!$N:$N,Workings!$A:$A,'Credit Note Approval Form'!$C49,Workings!$E:$E,'Credit Note Approval Form'!I$7)</f>
        <v>0</v>
      </c>
      <c r="J49" s="42">
        <f>SUMIFS(Workings!$N:$N,Workings!$A:$A,'Credit Note Approval Form'!$C49,Workings!$E:$E,'Credit Note Approval Form'!J$7)</f>
        <v>0</v>
      </c>
      <c r="K49" s="42">
        <f>SUMIFS(Workings!$N:$N,Workings!$A:$A,'Credit Note Approval Form'!$C49,Workings!$E:$E,'Credit Note Approval Form'!K$7)</f>
        <v>0</v>
      </c>
      <c r="L49" s="42">
        <f>SUMIFS(Workings!$N:$N,Workings!$A:$A,'Credit Note Approval Form'!$C49,Workings!$E:$E,'Credit Note Approval Form'!L$7)</f>
        <v>0</v>
      </c>
      <c r="M49" s="42">
        <f>SUMIFS(Workings!$N:$N,Workings!$A:$A,'Credit Note Approval Form'!$C49,Workings!$E:$E,'Credit Note Approval Form'!M$7)</f>
        <v>0</v>
      </c>
      <c r="N49" s="42">
        <f>SUMIFS(Workings!$N:$N,Workings!$A:$A,'Credit Note Approval Form'!$C49,Workings!$E:$E,'Credit Note Approval Form'!N$7)</f>
        <v>0</v>
      </c>
      <c r="O49" s="42">
        <f>SUMIFS(Workings!$N:$N,Workings!$A:$A,'Credit Note Approval Form'!$C49,Workings!$E:$E,'Credit Note Approval Form'!O$7)</f>
        <v>0</v>
      </c>
      <c r="P49" s="42">
        <f>SUMIFS(Workings!$N:$N,Workings!$A:$A,'Credit Note Approval Form'!$C49,Workings!$E:$E,'Credit Note Approval Form'!P$7)</f>
        <v>0</v>
      </c>
      <c r="Q49" s="59">
        <f t="shared" si="0"/>
        <v>28376.937386624508</v>
      </c>
      <c r="S49" s="107">
        <f>IF(_xlfn.XLOOKUP($C49,'TT Around time'!$A:$A,'TT Around time'!$D:$D,,0)-_xlfn.XLOOKUP($C49,'TT Around time'!$A:$A,'TT Around time'!$E:$E,,0)&gt;'Discount Scheme Target'!$N$4,'Discount Scheme Target'!$N$5,IF(_xlfn.XLOOKUP($C49,'TT Around time'!$A:$A,'TT Around time'!$D:$D,,0)-_xlfn.XLOOKUP($C49,'TT Around time'!$A:$A,'TT Around time'!$E:$E,,0)&gt;'Discount Scheme Target'!$M$4,'Discount Scheme Target'!$M$5,IF(_xlfn.XLOOKUP($C49,'TT Around time'!$A:$A,'TT Around time'!$D:$D,,0)-_xlfn.XLOOKUP($C49,'TT Around time'!$A:$A,'TT Around time'!$E:$E,,0)&gt;'Discount Scheme Target'!$L$4,'Discount Scheme Target'!$L$5,0)))</f>
        <v>0.1</v>
      </c>
      <c r="T49" s="59">
        <f t="shared" si="1"/>
        <v>25539.243647962059</v>
      </c>
      <c r="V49" s="138"/>
    </row>
    <row r="50" spans="2:22" x14ac:dyDescent="0.25">
      <c r="B50" s="55">
        <v>43</v>
      </c>
      <c r="C50" s="41">
        <v>3300002028</v>
      </c>
      <c r="D50" s="41" t="s">
        <v>118</v>
      </c>
      <c r="E50" s="41" t="s">
        <v>151</v>
      </c>
      <c r="F50" s="42">
        <f>SUMIFS(Workings!$N:$N,Workings!$A:$A,'Credit Note Approval Form'!$C50,Workings!$E:$E,'Credit Note Approval Form'!F$7)</f>
        <v>1316921.7961420228</v>
      </c>
      <c r="G50" s="42">
        <f>SUMIFS(Workings!$N:$N,Workings!$A:$A,'Credit Note Approval Form'!$C50,Workings!$E:$E,'Credit Note Approval Form'!G$7)</f>
        <v>0</v>
      </c>
      <c r="H50" s="42">
        <f>SUMIFS(Workings!$N:$N,Workings!$A:$A,'Credit Note Approval Form'!$C50,Workings!$E:$E,'Credit Note Approval Form'!H$7)</f>
        <v>35710.363034347247</v>
      </c>
      <c r="I50" s="42">
        <f>SUMIFS(Workings!$N:$N,Workings!$A:$A,'Credit Note Approval Form'!$C50,Workings!$E:$E,'Credit Note Approval Form'!I$7)</f>
        <v>36919.992744681593</v>
      </c>
      <c r="J50" s="42">
        <f>SUMIFS(Workings!$N:$N,Workings!$A:$A,'Credit Note Approval Form'!$C50,Workings!$E:$E,'Credit Note Approval Form'!J$7)</f>
        <v>154065.240959477</v>
      </c>
      <c r="K50" s="42">
        <f>SUMIFS(Workings!$N:$N,Workings!$A:$A,'Credit Note Approval Form'!$C50,Workings!$E:$E,'Credit Note Approval Form'!K$7)</f>
        <v>14810.898573925853</v>
      </c>
      <c r="L50" s="42">
        <f>SUMIFS(Workings!$N:$N,Workings!$A:$A,'Credit Note Approval Form'!$C50,Workings!$E:$E,'Credit Note Approval Form'!L$7)</f>
        <v>0</v>
      </c>
      <c r="M50" s="42">
        <f>SUMIFS(Workings!$N:$N,Workings!$A:$A,'Credit Note Approval Form'!$C50,Workings!$E:$E,'Credit Note Approval Form'!M$7)</f>
        <v>55796.084799232311</v>
      </c>
      <c r="N50" s="42">
        <f>SUMIFS(Workings!$N:$N,Workings!$A:$A,'Credit Note Approval Form'!$C50,Workings!$E:$E,'Credit Note Approval Form'!N$7)</f>
        <v>29542.280123946141</v>
      </c>
      <c r="O50" s="42">
        <f>SUMIFS(Workings!$N:$N,Workings!$A:$A,'Credit Note Approval Form'!$C50,Workings!$E:$E,'Credit Note Approval Form'!O$7)</f>
        <v>7280.3985695147039</v>
      </c>
      <c r="P50" s="42">
        <f>SUMIFS(Workings!$N:$N,Workings!$A:$A,'Credit Note Approval Form'!$C50,Workings!$E:$E,'Credit Note Approval Form'!P$7)</f>
        <v>33858.733564127841</v>
      </c>
      <c r="Q50" s="59">
        <f t="shared" si="0"/>
        <v>1684905.7885112758</v>
      </c>
      <c r="S50" s="162">
        <f>1/3</f>
        <v>0.33333333333333331</v>
      </c>
      <c r="T50" s="59">
        <f t="shared" si="1"/>
        <v>1123270.5256741841</v>
      </c>
      <c r="V50" s="161" t="s">
        <v>957</v>
      </c>
    </row>
    <row r="51" spans="2:22" x14ac:dyDescent="0.25">
      <c r="B51" s="41">
        <v>44</v>
      </c>
      <c r="C51" s="41">
        <v>3300002029</v>
      </c>
      <c r="D51" s="41" t="s">
        <v>119</v>
      </c>
      <c r="E51" s="41" t="s">
        <v>151</v>
      </c>
      <c r="F51" s="42">
        <f>SUMIFS(Workings!$N:$N,Workings!$A:$A,'Credit Note Approval Form'!$C51,Workings!$E:$E,'Credit Note Approval Form'!F$7)</f>
        <v>2645098.9083318268</v>
      </c>
      <c r="G51" s="42">
        <f>SUMIFS(Workings!$N:$N,Workings!$A:$A,'Credit Note Approval Form'!$C51,Workings!$E:$E,'Credit Note Approval Form'!G$7)</f>
        <v>0</v>
      </c>
      <c r="H51" s="42">
        <f>SUMIFS(Workings!$N:$N,Workings!$A:$A,'Credit Note Approval Form'!$C51,Workings!$E:$E,'Credit Note Approval Form'!H$7)</f>
        <v>94364.461328726393</v>
      </c>
      <c r="I51" s="42">
        <f>SUMIFS(Workings!$N:$N,Workings!$A:$A,'Credit Note Approval Form'!$C51,Workings!$E:$E,'Credit Note Approval Form'!I$7)</f>
        <v>82871.172094766487</v>
      </c>
      <c r="J51" s="42">
        <f>SUMIFS(Workings!$N:$N,Workings!$A:$A,'Credit Note Approval Form'!$C51,Workings!$E:$E,'Credit Note Approval Form'!J$7)</f>
        <v>234082.42714029693</v>
      </c>
      <c r="K51" s="42">
        <f>SUMIFS(Workings!$N:$N,Workings!$A:$A,'Credit Note Approval Form'!$C51,Workings!$E:$E,'Credit Note Approval Form'!K$7)</f>
        <v>0</v>
      </c>
      <c r="L51" s="42">
        <f>SUMIFS(Workings!$N:$N,Workings!$A:$A,'Credit Note Approval Form'!$C51,Workings!$E:$E,'Credit Note Approval Form'!L$7)</f>
        <v>0</v>
      </c>
      <c r="M51" s="42">
        <f>SUMIFS(Workings!$N:$N,Workings!$A:$A,'Credit Note Approval Form'!$C51,Workings!$E:$E,'Credit Note Approval Form'!M$7)</f>
        <v>0</v>
      </c>
      <c r="N51" s="42">
        <f>SUMIFS(Workings!$N:$N,Workings!$A:$A,'Credit Note Approval Form'!$C51,Workings!$E:$E,'Credit Note Approval Form'!N$7)</f>
        <v>0</v>
      </c>
      <c r="O51" s="42">
        <f>SUMIFS(Workings!$N:$N,Workings!$A:$A,'Credit Note Approval Form'!$C51,Workings!$E:$E,'Credit Note Approval Form'!O$7)</f>
        <v>0</v>
      </c>
      <c r="P51" s="42">
        <f>SUMIFS(Workings!$N:$N,Workings!$A:$A,'Credit Note Approval Form'!$C51,Workings!$E:$E,'Credit Note Approval Form'!P$7)</f>
        <v>0</v>
      </c>
      <c r="Q51" s="59">
        <f t="shared" si="0"/>
        <v>3056416.9688956165</v>
      </c>
      <c r="S51" s="107">
        <f>IF(_xlfn.XLOOKUP($C51,'TT Around time'!$A:$A,'TT Around time'!$D:$D,,0)-_xlfn.XLOOKUP($C51,'TT Around time'!$A:$A,'TT Around time'!$E:$E,,0)&gt;'Discount Scheme Target'!$N$4,'Discount Scheme Target'!$N$5,IF(_xlfn.XLOOKUP($C51,'TT Around time'!$A:$A,'TT Around time'!$D:$D,,0)-_xlfn.XLOOKUP($C51,'TT Around time'!$A:$A,'TT Around time'!$E:$E,,0)&gt;'Discount Scheme Target'!$M$4,'Discount Scheme Target'!$M$5,IF(_xlfn.XLOOKUP($C51,'TT Around time'!$A:$A,'TT Around time'!$D:$D,,0)-_xlfn.XLOOKUP($C51,'TT Around time'!$A:$A,'TT Around time'!$E:$E,,0)&gt;'Discount Scheme Target'!$L$4,'Discount Scheme Target'!$L$5,0)))</f>
        <v>0.15</v>
      </c>
      <c r="T51" s="59">
        <f t="shared" si="1"/>
        <v>2597954.4235612741</v>
      </c>
    </row>
    <row r="52" spans="2:22" x14ac:dyDescent="0.25">
      <c r="B52" s="41">
        <v>45</v>
      </c>
      <c r="C52" s="43">
        <v>3300002030</v>
      </c>
      <c r="D52" s="43" t="s">
        <v>760</v>
      </c>
      <c r="E52" s="41" t="s">
        <v>151</v>
      </c>
      <c r="F52" s="44">
        <f>SUMIFS(Workings!$N:$N,Workings!$A:$A,'Credit Note Approval Form'!$C52,Workings!$E:$E,'Credit Note Approval Form'!F$7)</f>
        <v>0</v>
      </c>
      <c r="G52" s="44">
        <f>SUMIFS(Workings!$N:$N,Workings!$A:$A,'Credit Note Approval Form'!$C52,Workings!$E:$E,'Credit Note Approval Form'!G$7)</f>
        <v>0</v>
      </c>
      <c r="H52" s="44">
        <f>SUMIFS(Workings!$N:$N,Workings!$A:$A,'Credit Note Approval Form'!$C52,Workings!$E:$E,'Credit Note Approval Form'!H$7)</f>
        <v>0</v>
      </c>
      <c r="I52" s="44">
        <f>SUMIFS(Workings!$N:$N,Workings!$A:$A,'Credit Note Approval Form'!$C52,Workings!$E:$E,'Credit Note Approval Form'!I$7)</f>
        <v>0</v>
      </c>
      <c r="J52" s="44">
        <f>SUMIFS(Workings!$N:$N,Workings!$A:$A,'Credit Note Approval Form'!$C52,Workings!$E:$E,'Credit Note Approval Form'!J$7)</f>
        <v>0</v>
      </c>
      <c r="K52" s="44">
        <f>SUMIFS(Workings!$N:$N,Workings!$A:$A,'Credit Note Approval Form'!$C52,Workings!$E:$E,'Credit Note Approval Form'!K$7)</f>
        <v>0</v>
      </c>
      <c r="L52" s="44">
        <f>SUMIFS(Workings!$N:$N,Workings!$A:$A,'Credit Note Approval Form'!$C52,Workings!$E:$E,'Credit Note Approval Form'!L$7)</f>
        <v>0</v>
      </c>
      <c r="M52" s="44">
        <f>SUMIFS(Workings!$N:$N,Workings!$A:$A,'Credit Note Approval Form'!$C52,Workings!$E:$E,'Credit Note Approval Form'!M$7)</f>
        <v>0</v>
      </c>
      <c r="N52" s="44">
        <f>SUMIFS(Workings!$N:$N,Workings!$A:$A,'Credit Note Approval Form'!$C52,Workings!$E:$E,'Credit Note Approval Form'!N$7)</f>
        <v>0</v>
      </c>
      <c r="O52" s="44">
        <f>SUMIFS(Workings!$N:$N,Workings!$A:$A,'Credit Note Approval Form'!$C52,Workings!$E:$E,'Credit Note Approval Form'!O$7)</f>
        <v>0</v>
      </c>
      <c r="P52" s="44">
        <f>SUMIFS(Workings!$N:$N,Workings!$A:$A,'Credit Note Approval Form'!$C52,Workings!$E:$E,'Credit Note Approval Form'!P$7)</f>
        <v>0</v>
      </c>
      <c r="Q52" s="60">
        <f t="shared" si="0"/>
        <v>0</v>
      </c>
      <c r="S52" s="108">
        <f>IF(_xlfn.XLOOKUP($C52,'TT Around time'!$A:$A,'TT Around time'!$D:$D,,0)-_xlfn.XLOOKUP($C52,'TT Around time'!$A:$A,'TT Around time'!$E:$E,,0)&gt;'Discount Scheme Target'!$N$4,'Discount Scheme Target'!$N$5,IF(_xlfn.XLOOKUP($C52,'TT Around time'!$A:$A,'TT Around time'!$D:$D,,0)-_xlfn.XLOOKUP($C52,'TT Around time'!$A:$A,'TT Around time'!$E:$E,,0)&gt;'Discount Scheme Target'!$M$4,'Discount Scheme Target'!$M$5,IF(_xlfn.XLOOKUP($C52,'TT Around time'!$A:$A,'TT Around time'!$D:$D,,0)-_xlfn.XLOOKUP($C52,'TT Around time'!$A:$A,'TT Around time'!$E:$E,,0)&gt;'Discount Scheme Target'!$L$4,'Discount Scheme Target'!$L$5,0)))</f>
        <v>0</v>
      </c>
      <c r="T52" s="60">
        <f t="shared" ref="T52" si="4">Q52*(1-S52)</f>
        <v>0</v>
      </c>
    </row>
    <row r="53" spans="2:22" x14ac:dyDescent="0.25">
      <c r="B53" s="46"/>
      <c r="C53" s="47"/>
      <c r="D53" s="47"/>
      <c r="E53" s="48" t="s">
        <v>346</v>
      </c>
      <c r="F53" s="45">
        <f>SUM(F$8:F$51)</f>
        <v>65414429.462695651</v>
      </c>
      <c r="G53" s="45">
        <f t="shared" ref="G53:P53" si="5">SUM(G$8:G$51)</f>
        <v>0</v>
      </c>
      <c r="H53" s="45">
        <f t="shared" si="5"/>
        <v>2944585.9116713703</v>
      </c>
      <c r="I53" s="45">
        <f t="shared" si="5"/>
        <v>4036904.6201607906</v>
      </c>
      <c r="J53" s="45">
        <f t="shared" si="5"/>
        <v>19494317.553701848</v>
      </c>
      <c r="K53" s="45">
        <f t="shared" si="5"/>
        <v>975086.36012752214</v>
      </c>
      <c r="L53" s="45">
        <f t="shared" si="5"/>
        <v>0</v>
      </c>
      <c r="M53" s="45">
        <f t="shared" si="5"/>
        <v>4578539.3583037499</v>
      </c>
      <c r="N53" s="45">
        <f t="shared" si="5"/>
        <v>716417.69139451359</v>
      </c>
      <c r="O53" s="45">
        <f t="shared" si="5"/>
        <v>365533.3400288485</v>
      </c>
      <c r="P53" s="45">
        <f t="shared" si="5"/>
        <v>3114033.9283895981</v>
      </c>
      <c r="Q53" s="45">
        <f>SUM(Q8:Q51)</f>
        <v>101639848.22647387</v>
      </c>
      <c r="T53" s="45">
        <f>SUM(T8:T51)</f>
        <v>96227260.495429575</v>
      </c>
    </row>
    <row r="55" spans="2:22" x14ac:dyDescent="0.25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7" spans="2:22" ht="18.75" x14ac:dyDescent="0.3">
      <c r="C57" s="67" t="s">
        <v>350</v>
      </c>
      <c r="M57" s="67" t="s">
        <v>347</v>
      </c>
    </row>
    <row r="58" spans="2:22" ht="18.75" x14ac:dyDescent="0.3">
      <c r="C58" s="67" t="s">
        <v>351</v>
      </c>
      <c r="M58" s="67" t="s">
        <v>348</v>
      </c>
    </row>
    <row r="63" spans="2:22" ht="18.75" x14ac:dyDescent="0.3">
      <c r="C63" s="67" t="s">
        <v>360</v>
      </c>
      <c r="M63" s="67" t="s">
        <v>349</v>
      </c>
    </row>
    <row r="64" spans="2:22" ht="18.75" x14ac:dyDescent="0.3">
      <c r="C64" s="67" t="s">
        <v>348</v>
      </c>
      <c r="M64" s="67" t="s">
        <v>348</v>
      </c>
    </row>
  </sheetData>
  <dataConsolidate/>
  <mergeCells count="2">
    <mergeCell ref="F6:Q6"/>
    <mergeCell ref="S6:S7"/>
  </mergeCells>
  <printOptions horizontalCentered="1" verticalCentered="1"/>
  <pageMargins left="0.23622047244094491" right="0.23622047244094491" top="0.19685039370078741" bottom="0.19685039370078741" header="0.31496062992125984" footer="0.31496062992125984"/>
  <pageSetup paperSize="9" scale="55" orientation="landscape" r:id="rId1"/>
  <headerFooter>
    <oddFooter>&amp;R&amp;D
&amp;T</oddFooter>
  </headerFooter>
  <ignoredErrors>
    <ignoredError sqref="S50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C25069-6DC3-4773-8CB6-F233372C4798}">
          <x14:formula1>
            <xm:f>Lists!$AR$3:$AR$14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Y496"/>
  <sheetViews>
    <sheetView workbookViewId="0">
      <pane xSplit="5" ySplit="1" topLeftCell="F134" activePane="bottomRight" state="frozen"/>
      <selection activeCell="L31" sqref="L31"/>
      <selection pane="topRight" activeCell="L31" sqref="L31"/>
      <selection pane="bottomLeft" activeCell="L31" sqref="L31"/>
      <selection pane="bottomRight" activeCell="F1" sqref="F1:F1048576"/>
    </sheetView>
  </sheetViews>
  <sheetFormatPr defaultRowHeight="15" outlineLevelCol="1" x14ac:dyDescent="0.25"/>
  <cols>
    <col min="1" max="1" width="12.42578125" customWidth="1"/>
    <col min="2" max="2" width="38" bestFit="1" customWidth="1"/>
    <col min="3" max="3" width="7.140625" bestFit="1" customWidth="1"/>
    <col min="4" max="5" width="14.42578125" bestFit="1" customWidth="1"/>
    <col min="6" max="7" width="14.7109375" bestFit="1" customWidth="1"/>
    <col min="8" max="8" width="18.28515625" customWidth="1"/>
    <col min="9" max="9" width="18.42578125" customWidth="1" outlineLevel="1"/>
    <col min="10" max="10" width="25.7109375" customWidth="1" outlineLevel="1"/>
    <col min="11" max="11" width="18.7109375" customWidth="1" outlineLevel="1"/>
    <col min="12" max="12" width="13.42578125" customWidth="1" outlineLevel="1"/>
    <col min="13" max="13" width="19.5703125" bestFit="1" customWidth="1"/>
    <col min="14" max="14" width="22.140625" bestFit="1" customWidth="1"/>
    <col min="16" max="16" width="15.28515625" bestFit="1" customWidth="1"/>
    <col min="17" max="17" width="13.28515625" bestFit="1" customWidth="1"/>
    <col min="20" max="20" width="19.140625" customWidth="1" outlineLevel="1"/>
    <col min="21" max="21" width="26.42578125" customWidth="1" outlineLevel="1"/>
    <col min="22" max="22" width="19.42578125" customWidth="1" outlineLevel="1"/>
    <col min="23" max="23" width="14.28515625" customWidth="1" outlineLevel="1"/>
    <col min="24" max="24" width="20.5703125" customWidth="1" outlineLevel="1"/>
    <col min="25" max="25" width="9.140625" customWidth="1" outlineLevel="1"/>
  </cols>
  <sheetData>
    <row r="1" spans="1:25" x14ac:dyDescent="0.25">
      <c r="A1" s="11" t="s">
        <v>0</v>
      </c>
      <c r="B1" s="11" t="s">
        <v>1</v>
      </c>
      <c r="C1" s="11" t="s">
        <v>152</v>
      </c>
      <c r="D1" s="11" t="s">
        <v>153</v>
      </c>
      <c r="E1" s="11" t="s">
        <v>138</v>
      </c>
      <c r="F1" s="11" t="s">
        <v>358</v>
      </c>
      <c r="G1" s="11" t="s">
        <v>359</v>
      </c>
      <c r="H1" s="11" t="s">
        <v>154</v>
      </c>
      <c r="I1" s="11" t="s">
        <v>398</v>
      </c>
      <c r="J1" s="11" t="s">
        <v>397</v>
      </c>
      <c r="K1" s="11" t="s">
        <v>396</v>
      </c>
      <c r="L1" s="11" t="s">
        <v>395</v>
      </c>
      <c r="M1" s="11" t="s">
        <v>389</v>
      </c>
      <c r="N1" s="11" t="s">
        <v>335</v>
      </c>
      <c r="T1" s="11" t="s">
        <v>425</v>
      </c>
      <c r="U1" s="11" t="s">
        <v>426</v>
      </c>
      <c r="V1" s="11" t="s">
        <v>428</v>
      </c>
      <c r="W1" s="11" t="s">
        <v>427</v>
      </c>
      <c r="X1" s="128" t="s">
        <v>429</v>
      </c>
      <c r="Y1" s="128" t="s">
        <v>430</v>
      </c>
    </row>
    <row r="2" spans="1:25" x14ac:dyDescent="0.25">
      <c r="A2" s="49">
        <v>1010105134</v>
      </c>
      <c r="B2" s="49" t="s">
        <v>53</v>
      </c>
      <c r="C2" s="49" t="s">
        <v>140</v>
      </c>
      <c r="D2" s="49" t="s">
        <v>141</v>
      </c>
      <c r="E2" s="49" t="s">
        <v>417</v>
      </c>
      <c r="F2" s="50">
        <f>SUMIF('Customer Budget Per Category'!$A:$A,$A2,'Customer Budget Per Category'!$E:$E)</f>
        <v>23108.431601106673</v>
      </c>
      <c r="G2" s="50">
        <f>SUMIFS('Navision sales Dump'!$E:$E,'Navision sales Dump'!$K:$K,$E2,'Navision sales Dump'!$A:$A,$A2)</f>
        <v>1724</v>
      </c>
      <c r="H2" s="61">
        <f>SUMIFS('Navision sales Dump'!$G:$G,'Navision sales Dump'!$K:$K,$E2,'Navision sales Dump'!$A:$A,$A2)</f>
        <v>12487983.370000001</v>
      </c>
      <c r="I2" s="71">
        <f>IFERROR(IF(($G2/$F2)&gt;='Discount Scheme Target'!$F$4,_xlfn.XLOOKUP($E2,'Discount Scheme Target'!$B:$B,'Discount Scheme Target'!$F:$F,0,0),IF(($G2/$F2)&gt;='Discount Scheme Target'!$E$4,_xlfn.XLOOKUP($E2,'Discount Scheme Target'!$B:$B,'Discount Scheme Target'!$E:$E,0,0),IF(($G2/$F2)&gt;='Discount Scheme Target'!$D$4,_xlfn.XLOOKUP($E2,'Discount Scheme Target'!$B:$B,'Discount Scheme Target'!$D:$D,0,0),0))),0)</f>
        <v>0</v>
      </c>
      <c r="J2" s="71">
        <f>IF(SUMIF('Customer Num Distr.'!$A:$A,Workings!$A2,'Customer Num Distr.'!$E:$E)&gt;='Discount Scheme Target'!$G$4,_xlfn.XLOOKUP(Workings!$E2,'Discount Scheme Target'!$B:$B,'Discount Scheme Target'!$G:$G,0,0),0)</f>
        <v>0</v>
      </c>
      <c r="K2" s="71">
        <f>IF(SUMIF('Bouclage EG Cust Cons_Decons'!$A:$A,Workings!$A2,'Bouclage EG Cust Cons_Decons'!$F:$F)&gt;='Discount Scheme Target'!$H$4,_xlfn.XLOOKUP(Workings!$E2,'Discount Scheme Target'!$B:$B,'Discount Scheme Target'!$H:$H,0,0),0)</f>
        <v>0</v>
      </c>
      <c r="L2" s="71">
        <f>IF(INDEX('TT Around time'!$A$1:$F$46,MATCH($A2,'TT Around time'!$A:$A,0),6)&gt;='Discount Scheme Target'!$I$4,_xlfn.XLOOKUP(Workings!$E2,'Discount Scheme Target'!$B:$B,'Discount Scheme Target'!$I:$I,0,0),0)</f>
        <v>0.01</v>
      </c>
      <c r="M2" s="83">
        <f>SUM($I2:$L2)</f>
        <v>0.01</v>
      </c>
      <c r="N2" s="61">
        <f>IFERROR((H2/G2)*F2*M2,)</f>
        <v>1673884.6261102241</v>
      </c>
      <c r="P2" s="95"/>
      <c r="T2" s="61">
        <f>IFERROR(($H2/$G2)*$F2*$I2,)</f>
        <v>0</v>
      </c>
      <c r="U2" s="61">
        <f>IFERROR(($H2/$G2)*$F2*$J2,)</f>
        <v>0</v>
      </c>
      <c r="V2" s="61">
        <f>IFERROR(($H2/$G2)*$F2*$K2,)</f>
        <v>0</v>
      </c>
      <c r="W2" s="61">
        <f>IFERROR(($H2/$G2)*$F2*$L2,)</f>
        <v>1673884.6261102241</v>
      </c>
      <c r="X2" s="61">
        <f>SUM(T2:W2)</f>
        <v>1673884.6261102241</v>
      </c>
      <c r="Y2" s="61">
        <f>N2-X2</f>
        <v>0</v>
      </c>
    </row>
    <row r="3" spans="1:25" x14ac:dyDescent="0.25">
      <c r="A3" s="51">
        <v>1010105134</v>
      </c>
      <c r="B3" s="51" t="s">
        <v>53</v>
      </c>
      <c r="C3" s="51" t="s">
        <v>140</v>
      </c>
      <c r="D3" s="51" t="s">
        <v>141</v>
      </c>
      <c r="E3" s="51" t="s">
        <v>418</v>
      </c>
      <c r="F3" s="52">
        <f>SUMIF('Customer Budget Per Category'!$A:$A,$A3,'Customer Budget Per Category'!$F:$F)</f>
        <v>0</v>
      </c>
      <c r="G3" s="52">
        <f>SUMIFS('Navision sales Dump'!$E:$E,'Navision sales Dump'!$K:$K,$E3,'Navision sales Dump'!$A:$A,$A3)</f>
        <v>0</v>
      </c>
      <c r="H3" s="62">
        <f>SUMIFS('Navision sales Dump'!$G:$G,'Navision sales Dump'!$K:$K,$E3,'Navision sales Dump'!$A:$A,$A3)</f>
        <v>0</v>
      </c>
      <c r="I3" s="72">
        <f>IFERROR(IF(($G3/$F3)&gt;='Discount Scheme Target'!$F$4,_xlfn.XLOOKUP($E3,'Discount Scheme Target'!$B:$B,'Discount Scheme Target'!$F:$F,0,0),IF(($G3/$F3)&gt;='Discount Scheme Target'!$E$4,_xlfn.XLOOKUP($E3,'Discount Scheme Target'!$B:$B,'Discount Scheme Target'!$E:$E,0,0),IF(($G3/$F3)&gt;='Discount Scheme Target'!$D$4,_xlfn.XLOOKUP($E3,'Discount Scheme Target'!$B:$B,'Discount Scheme Target'!$D:$D,0,0),0))),0)</f>
        <v>0</v>
      </c>
      <c r="J3" s="72">
        <f>IF(SUMIF('Customer Num Distr.'!$A:$A,Workings!$A3,'Customer Num Distr.'!$E:$E)&gt;='Discount Scheme Target'!$G$4,_xlfn.XLOOKUP(Workings!$E3,'Discount Scheme Target'!$B:$B,'Discount Scheme Target'!$G:$G,0,0),0)</f>
        <v>0</v>
      </c>
      <c r="K3" s="72">
        <f>IF(SUMIF('Bouclage EG Cust Cons_Decons'!$A:$A,Workings!$A3,'Bouclage EG Cust Cons_Decons'!$F:$F)&gt;='Discount Scheme Target'!$H$4,_xlfn.XLOOKUP(Workings!$E3,'Discount Scheme Target'!$B:$B,'Discount Scheme Target'!$H:$H,0,0),0)</f>
        <v>0</v>
      </c>
      <c r="L3" s="72">
        <f>IF(INDEX('TT Around time'!$A$1:$F$46,MATCH($A3,'TT Around time'!$A:$A,0),6)&gt;='Discount Scheme Target'!$I$4,_xlfn.XLOOKUP(Workings!$E3,'Discount Scheme Target'!$B:$B,'Discount Scheme Target'!$I:$I,0,0),0)</f>
        <v>0</v>
      </c>
      <c r="M3" s="72">
        <f t="shared" ref="M3:M66" si="0">SUM($I3:$L3)</f>
        <v>0</v>
      </c>
      <c r="N3" s="62">
        <f t="shared" ref="N3:N10" si="1">IFERROR((H3/G3)*F3*M3,)</f>
        <v>0</v>
      </c>
      <c r="T3" s="61">
        <f t="shared" ref="T3:T66" si="2">IFERROR(($H3/$G3)*$F3*$I3,)</f>
        <v>0</v>
      </c>
      <c r="U3" s="61">
        <f t="shared" ref="U3:U66" si="3">IFERROR(($H3/$G3)*$F3*$J3,)</f>
        <v>0</v>
      </c>
      <c r="V3" s="61">
        <f t="shared" ref="V3:V66" si="4">IFERROR(($H3/$G3)*$F3*$K3,)</f>
        <v>0</v>
      </c>
      <c r="W3" s="61">
        <f t="shared" ref="W3:W66" si="5">IFERROR(($H3/$G3)*$F3*$L3,)</f>
        <v>0</v>
      </c>
      <c r="X3" s="61">
        <f t="shared" ref="X3:X66" si="6">SUM(T3:W3)</f>
        <v>0</v>
      </c>
      <c r="Y3" s="61">
        <f t="shared" ref="Y3:Y66" si="7">N3-X3</f>
        <v>0</v>
      </c>
    </row>
    <row r="4" spans="1:25" x14ac:dyDescent="0.25">
      <c r="A4" s="51">
        <v>1010105134</v>
      </c>
      <c r="B4" s="51" t="s">
        <v>53</v>
      </c>
      <c r="C4" s="51" t="s">
        <v>140</v>
      </c>
      <c r="D4" s="51" t="s">
        <v>141</v>
      </c>
      <c r="E4" s="51" t="s">
        <v>130</v>
      </c>
      <c r="F4" s="52">
        <f>SUMIF('Customer Budget Per Category'!$A:$A,$A4,'Customer Budget Per Category'!$G:$G)</f>
        <v>427.75448230197213</v>
      </c>
      <c r="G4" s="52">
        <f>SUMIFS('Navision sales Dump'!$E:$E,'Navision sales Dump'!$K:$K,$E4,'Navision sales Dump'!$A:$A,$A4)</f>
        <v>0</v>
      </c>
      <c r="H4" s="62">
        <f>SUMIFS('Navision sales Dump'!$G:$G,'Navision sales Dump'!$K:$K,$E4,'Navision sales Dump'!$A:$A,$A4)</f>
        <v>0</v>
      </c>
      <c r="I4" s="72">
        <f>IFERROR(IF(($G4/$F4)&gt;='Discount Scheme Target'!$F$4,_xlfn.XLOOKUP($E4,'Discount Scheme Target'!$B:$B,'Discount Scheme Target'!$F:$F,0,0),IF(($G4/$F4)&gt;='Discount Scheme Target'!$E$4,_xlfn.XLOOKUP($E4,'Discount Scheme Target'!$B:$B,'Discount Scheme Target'!$E:$E,0,0),IF(($G4/$F4)&gt;='Discount Scheme Target'!$D$4,_xlfn.XLOOKUP($E4,'Discount Scheme Target'!$B:$B,'Discount Scheme Target'!$D:$D,0,0),0))),0)</f>
        <v>0</v>
      </c>
      <c r="J4" s="72">
        <f>IF(SUMIF('Customer Num Distr.'!$A:$A,Workings!$A4,'Customer Num Distr.'!$E:$E)&gt;='Discount Scheme Target'!$G$4,_xlfn.XLOOKUP(Workings!$E4,'Discount Scheme Target'!$B:$B,'Discount Scheme Target'!$G:$G,0,0),0)</f>
        <v>0</v>
      </c>
      <c r="K4" s="72">
        <f>IF(SUMIF('Bouclage EG Cust Cons_Decons'!$A:$A,Workings!$A4,'Bouclage EG Cust Cons_Decons'!$F:$F)&gt;='Discount Scheme Target'!$H$4,_xlfn.XLOOKUP(Workings!$E4,'Discount Scheme Target'!$B:$B,'Discount Scheme Target'!$H:$H,0,0),0)</f>
        <v>0</v>
      </c>
      <c r="L4" s="72">
        <f>IF(INDEX('TT Around time'!$A$1:$F$46,MATCH($A4,'TT Around time'!$A:$A,0),6)&gt;='Discount Scheme Target'!$I$4,_xlfn.XLOOKUP(Workings!$E4,'Discount Scheme Target'!$B:$B,'Discount Scheme Target'!$I:$I,0,0),0)</f>
        <v>0.01</v>
      </c>
      <c r="M4" s="72">
        <f t="shared" si="0"/>
        <v>0.01</v>
      </c>
      <c r="N4" s="62">
        <f t="shared" si="1"/>
        <v>0</v>
      </c>
      <c r="T4" s="61">
        <f t="shared" si="2"/>
        <v>0</v>
      </c>
      <c r="U4" s="61">
        <f t="shared" si="3"/>
        <v>0</v>
      </c>
      <c r="V4" s="61">
        <f t="shared" si="4"/>
        <v>0</v>
      </c>
      <c r="W4" s="61">
        <f t="shared" si="5"/>
        <v>0</v>
      </c>
      <c r="X4" s="61">
        <f t="shared" si="6"/>
        <v>0</v>
      </c>
      <c r="Y4" s="61">
        <f t="shared" si="7"/>
        <v>0</v>
      </c>
    </row>
    <row r="5" spans="1:25" x14ac:dyDescent="0.25">
      <c r="A5" s="51">
        <v>1010105134</v>
      </c>
      <c r="B5" s="51" t="s">
        <v>53</v>
      </c>
      <c r="C5" s="51" t="s">
        <v>140</v>
      </c>
      <c r="D5" s="51" t="s">
        <v>141</v>
      </c>
      <c r="E5" s="51" t="s">
        <v>131</v>
      </c>
      <c r="F5" s="52">
        <f>SUMIF('Customer Budget Per Category'!$A:$A,$A5,'Customer Budget Per Category'!$H:$H)</f>
        <v>219.73666570322325</v>
      </c>
      <c r="G5" s="52">
        <f>SUMIFS('Navision sales Dump'!$E:$E,'Navision sales Dump'!$K:$K,$E5,'Navision sales Dump'!$A:$A,$A5)</f>
        <v>70</v>
      </c>
      <c r="H5" s="62">
        <f>SUMIFS('Navision sales Dump'!$G:$G,'Navision sales Dump'!$K:$K,$E5,'Navision sales Dump'!$A:$A,$A5)</f>
        <v>3126087.6</v>
      </c>
      <c r="I5" s="72">
        <f>IFERROR(IF(($G5/$F5)&gt;='Discount Scheme Target'!$F$4,_xlfn.XLOOKUP($E5,'Discount Scheme Target'!$B:$B,'Discount Scheme Target'!$F:$F,0,0),IF(($G5/$F5)&gt;='Discount Scheme Target'!$E$4,_xlfn.XLOOKUP($E5,'Discount Scheme Target'!$B:$B,'Discount Scheme Target'!$E:$E,0,0),IF(($G5/$F5)&gt;='Discount Scheme Target'!$D$4,_xlfn.XLOOKUP($E5,'Discount Scheme Target'!$B:$B,'Discount Scheme Target'!$D:$D,0,0),0))),0)</f>
        <v>0</v>
      </c>
      <c r="J5" s="72">
        <f>IF(SUMIF('Customer Num Distr.'!$A:$A,Workings!$A5,'Customer Num Distr.'!$E:$E)&gt;='Discount Scheme Target'!$G$4,_xlfn.XLOOKUP(Workings!$E5,'Discount Scheme Target'!$B:$B,'Discount Scheme Target'!$G:$G,0,0),0)</f>
        <v>0</v>
      </c>
      <c r="K5" s="72">
        <f>IF(SUMIF('Bouclage EG Cust Cons_Decons'!$A:$A,Workings!$A5,'Bouclage EG Cust Cons_Decons'!$F:$F)&gt;='Discount Scheme Target'!$H$4,_xlfn.XLOOKUP(Workings!$E5,'Discount Scheme Target'!$B:$B,'Discount Scheme Target'!$H:$H,0,0),0)</f>
        <v>0</v>
      </c>
      <c r="L5" s="72">
        <f>IF(INDEX('TT Around time'!$A$1:$F$46,MATCH($A5,'TT Around time'!$A:$A,0),6)&gt;='Discount Scheme Target'!$I$4,_xlfn.XLOOKUP(Workings!$E5,'Discount Scheme Target'!$B:$B,'Discount Scheme Target'!$I:$I,0,0),0)</f>
        <v>5.0000000000000001E-3</v>
      </c>
      <c r="M5" s="72">
        <f t="shared" si="0"/>
        <v>5.0000000000000001E-3</v>
      </c>
      <c r="N5" s="62">
        <f t="shared" si="1"/>
        <v>49065.433280013676</v>
      </c>
      <c r="T5" s="61">
        <f t="shared" si="2"/>
        <v>0</v>
      </c>
      <c r="U5" s="61">
        <f t="shared" si="3"/>
        <v>0</v>
      </c>
      <c r="V5" s="61">
        <f t="shared" si="4"/>
        <v>0</v>
      </c>
      <c r="W5" s="61">
        <f t="shared" si="5"/>
        <v>49065.433280013676</v>
      </c>
      <c r="X5" s="61">
        <f t="shared" si="6"/>
        <v>49065.433280013676</v>
      </c>
      <c r="Y5" s="61">
        <f t="shared" si="7"/>
        <v>0</v>
      </c>
    </row>
    <row r="6" spans="1:25" x14ac:dyDescent="0.25">
      <c r="A6" s="51">
        <v>1010105134</v>
      </c>
      <c r="B6" s="51" t="s">
        <v>53</v>
      </c>
      <c r="C6" s="51" t="s">
        <v>140</v>
      </c>
      <c r="D6" s="51" t="s">
        <v>141</v>
      </c>
      <c r="E6" s="51" t="s">
        <v>514</v>
      </c>
      <c r="F6" s="52">
        <f>SUMIF('Customer Budget Per Category'!$A:$A,$A6,'Customer Budget Per Category'!$I:$I)</f>
        <v>7458.0752063379687</v>
      </c>
      <c r="G6" s="52">
        <f>SUMIFS('Navision sales Dump'!$E:$E,'Navision sales Dump'!$K:$K,$E6,'Navision sales Dump'!$A:$A,$A6)</f>
        <v>0</v>
      </c>
      <c r="H6" s="62">
        <f>SUMIFS('Navision sales Dump'!$G:$G,'Navision sales Dump'!$K:$K,$E6,'Navision sales Dump'!$A:$A,$A6)</f>
        <v>0</v>
      </c>
      <c r="I6" s="72">
        <f>IFERROR(IF(($G6/$F6)&gt;='Discount Scheme Target'!$F$4,_xlfn.XLOOKUP($E6,'Discount Scheme Target'!$B:$B,'Discount Scheme Target'!$F:$F,0,0),IF(($G6/$F6)&gt;='Discount Scheme Target'!$E$4,_xlfn.XLOOKUP($E6,'Discount Scheme Target'!$B:$B,'Discount Scheme Target'!$E:$E,0,0),IF(($G6/$F6)&gt;='Discount Scheme Target'!$D$4,_xlfn.XLOOKUP($E6,'Discount Scheme Target'!$B:$B,'Discount Scheme Target'!$D:$D,0,0),0))),0)</f>
        <v>0</v>
      </c>
      <c r="J6" s="72">
        <f>IF(SUMIF('Customer Num Distr.'!$A:$A,Workings!$A6,'Customer Num Distr.'!$E:$E)&gt;='Discount Scheme Target'!$G$4,_xlfn.XLOOKUP(Workings!$E6,'Discount Scheme Target'!$B:$B,'Discount Scheme Target'!$G:$G,0,0),0)</f>
        <v>0</v>
      </c>
      <c r="K6" s="72">
        <f>IF(SUMIF('Bouclage EG Cust Cons_Decons'!$A:$A,Workings!$A6,'Bouclage EG Cust Cons_Decons'!$F:$F)&gt;='Discount Scheme Target'!$H$4,_xlfn.XLOOKUP(Workings!$E6,'Discount Scheme Target'!$B:$B,'Discount Scheme Target'!$H:$H,0,0),0)</f>
        <v>0</v>
      </c>
      <c r="L6" s="72">
        <f>IF(INDEX('TT Around time'!$A$1:$F$46,MATCH($A6,'TT Around time'!$A:$A,0),6)&gt;='Discount Scheme Target'!$I$4,_xlfn.XLOOKUP(Workings!$E6,'Discount Scheme Target'!$B:$B,'Discount Scheme Target'!$I:$I,0,0),0)</f>
        <v>5.0000000000000001E-3</v>
      </c>
      <c r="M6" s="72">
        <f t="shared" si="0"/>
        <v>5.0000000000000001E-3</v>
      </c>
      <c r="N6" s="62">
        <f t="shared" si="1"/>
        <v>0</v>
      </c>
      <c r="T6" s="61">
        <f t="shared" si="2"/>
        <v>0</v>
      </c>
      <c r="U6" s="61">
        <f t="shared" si="3"/>
        <v>0</v>
      </c>
      <c r="V6" s="61">
        <f t="shared" si="4"/>
        <v>0</v>
      </c>
      <c r="W6" s="61">
        <f t="shared" si="5"/>
        <v>0</v>
      </c>
      <c r="X6" s="61">
        <f t="shared" si="6"/>
        <v>0</v>
      </c>
      <c r="Y6" s="61">
        <f t="shared" si="7"/>
        <v>0</v>
      </c>
    </row>
    <row r="7" spans="1:25" x14ac:dyDescent="0.25">
      <c r="A7" s="51">
        <v>1010105134</v>
      </c>
      <c r="B7" s="51" t="s">
        <v>53</v>
      </c>
      <c r="C7" s="51" t="s">
        <v>140</v>
      </c>
      <c r="D7" s="51" t="s">
        <v>141</v>
      </c>
      <c r="E7" s="51" t="s">
        <v>515</v>
      </c>
      <c r="F7" s="52">
        <f>SUMIF('Customer Budget Per Category'!$A:$A,$A7,'Customer Budget Per Category'!$J:$J)</f>
        <v>782.7075262093947</v>
      </c>
      <c r="G7" s="52">
        <f>SUMIFS('Navision sales Dump'!$E:$E,'Navision sales Dump'!$K:$K,$E7,'Navision sales Dump'!$A:$A,$A7)</f>
        <v>0</v>
      </c>
      <c r="H7" s="62">
        <f>SUMIFS('Navision sales Dump'!$G:$G,'Navision sales Dump'!$K:$K,$E7,'Navision sales Dump'!$A:$A,$A7)</f>
        <v>0</v>
      </c>
      <c r="I7" s="72">
        <f>IFERROR(IF(($G7/$F7)&gt;='Discount Scheme Target'!$F$4,_xlfn.XLOOKUP($E7,'Discount Scheme Target'!$B:$B,'Discount Scheme Target'!$F:$F,0,0),IF(($G7/$F7)&gt;='Discount Scheme Target'!$E$4,_xlfn.XLOOKUP($E7,'Discount Scheme Target'!$B:$B,'Discount Scheme Target'!$E:$E,0,0),IF(($G7/$F7)&gt;='Discount Scheme Target'!$D$4,_xlfn.XLOOKUP($E7,'Discount Scheme Target'!$B:$B,'Discount Scheme Target'!$D:$D,0,0),0))),0)</f>
        <v>0</v>
      </c>
      <c r="J7" s="72">
        <f>IF(SUMIF('Customer Num Distr.'!$A:$A,Workings!$A7,'Customer Num Distr.'!$E:$E)&gt;='Discount Scheme Target'!$G$4,_xlfn.XLOOKUP(Workings!$E7,'Discount Scheme Target'!$B:$B,'Discount Scheme Target'!$G:$G,0,0),0)</f>
        <v>0</v>
      </c>
      <c r="K7" s="72">
        <f>IF(SUMIF('Bouclage EG Cust Cons_Decons'!$A:$A,Workings!$A7,'Bouclage EG Cust Cons_Decons'!$F:$F)&gt;='Discount Scheme Target'!$H$4,_xlfn.XLOOKUP(Workings!$E7,'Discount Scheme Target'!$B:$B,'Discount Scheme Target'!$H:$H,0,0),0)</f>
        <v>0</v>
      </c>
      <c r="L7" s="72">
        <f>IF(INDEX('TT Around time'!$A$1:$F$46,MATCH($A7,'TT Around time'!$A:$A,0),6)&gt;='Discount Scheme Target'!$I$4,_xlfn.XLOOKUP(Workings!$E7,'Discount Scheme Target'!$B:$B,'Discount Scheme Target'!$I:$I,0,0),0)</f>
        <v>5.0000000000000001E-3</v>
      </c>
      <c r="M7" s="72">
        <f t="shared" si="0"/>
        <v>5.0000000000000001E-3</v>
      </c>
      <c r="N7" s="62">
        <f t="shared" si="1"/>
        <v>0</v>
      </c>
      <c r="T7" s="61">
        <f t="shared" si="2"/>
        <v>0</v>
      </c>
      <c r="U7" s="61">
        <f t="shared" si="3"/>
        <v>0</v>
      </c>
      <c r="V7" s="61">
        <f t="shared" si="4"/>
        <v>0</v>
      </c>
      <c r="W7" s="61">
        <f t="shared" si="5"/>
        <v>0</v>
      </c>
      <c r="X7" s="61">
        <f t="shared" si="6"/>
        <v>0</v>
      </c>
      <c r="Y7" s="61">
        <f t="shared" si="7"/>
        <v>0</v>
      </c>
    </row>
    <row r="8" spans="1:25" x14ac:dyDescent="0.25">
      <c r="A8" s="51">
        <v>1010105134</v>
      </c>
      <c r="B8" s="51" t="s">
        <v>53</v>
      </c>
      <c r="C8" s="51" t="s">
        <v>140</v>
      </c>
      <c r="D8" s="51" t="s">
        <v>141</v>
      </c>
      <c r="E8" s="51" t="s">
        <v>161</v>
      </c>
      <c r="F8" s="52">
        <f>SUMIF('Customer Budget Per Category'!$A:$A,$A8,'Customer Budget Per Category'!$K:$K)</f>
        <v>0</v>
      </c>
      <c r="G8" s="52">
        <f>SUMIFS('Navision sales Dump'!$E:$E,'Navision sales Dump'!$K:$K,$E8,'Navision sales Dump'!$A:$A,$A8)</f>
        <v>0</v>
      </c>
      <c r="H8" s="62">
        <f>SUMIFS('Navision sales Dump'!$G:$G,'Navision sales Dump'!$K:$K,$E8,'Navision sales Dump'!$A:$A,$A8)</f>
        <v>0</v>
      </c>
      <c r="I8" s="72">
        <f>IFERROR(IF(($G8/$F8)&gt;='Discount Scheme Target'!$F$4,_xlfn.XLOOKUP($E8,'Discount Scheme Target'!$B:$B,'Discount Scheme Target'!$F:$F,0,0),IF(($G8/$F8)&gt;='Discount Scheme Target'!$E$4,_xlfn.XLOOKUP($E8,'Discount Scheme Target'!$B:$B,'Discount Scheme Target'!$E:$E,0,0),IF(($G8/$F8)&gt;='Discount Scheme Target'!$D$4,_xlfn.XLOOKUP($E8,'Discount Scheme Target'!$B:$B,'Discount Scheme Target'!$D:$D,0,0),0))),0)</f>
        <v>0</v>
      </c>
      <c r="J8" s="72">
        <f>IF(SUMIF('Customer Num Distr.'!$A:$A,Workings!$A8,'Customer Num Distr.'!$E:$E)&gt;='Discount Scheme Target'!$G$4,_xlfn.XLOOKUP(Workings!$E8,'Discount Scheme Target'!$B:$B,'Discount Scheme Target'!$G:$G,0,0),0)</f>
        <v>0</v>
      </c>
      <c r="K8" s="72">
        <f>IF(SUMIF('Bouclage EG Cust Cons_Decons'!$A:$A,Workings!$A8,'Bouclage EG Cust Cons_Decons'!$F:$F)&gt;='Discount Scheme Target'!$H$4,_xlfn.XLOOKUP(Workings!$E8,'Discount Scheme Target'!$B:$B,'Discount Scheme Target'!$H:$H,0,0),0)</f>
        <v>0</v>
      </c>
      <c r="L8" s="72">
        <f>IF(INDEX('TT Around time'!$A$1:$F$46,MATCH($A8,'TT Around time'!$A:$A,0),6)&gt;='Discount Scheme Target'!$I$4,_xlfn.XLOOKUP(Workings!$E8,'Discount Scheme Target'!$B:$B,'Discount Scheme Target'!$I:$I,0,0),0)</f>
        <v>0</v>
      </c>
      <c r="M8" s="72">
        <f t="shared" si="0"/>
        <v>0</v>
      </c>
      <c r="N8" s="62">
        <f t="shared" si="1"/>
        <v>0</v>
      </c>
      <c r="T8" s="61">
        <f t="shared" si="2"/>
        <v>0</v>
      </c>
      <c r="U8" s="61">
        <f t="shared" si="3"/>
        <v>0</v>
      </c>
      <c r="V8" s="61">
        <f t="shared" si="4"/>
        <v>0</v>
      </c>
      <c r="W8" s="61">
        <f t="shared" si="5"/>
        <v>0</v>
      </c>
      <c r="X8" s="61">
        <f t="shared" si="6"/>
        <v>0</v>
      </c>
      <c r="Y8" s="61">
        <f t="shared" si="7"/>
        <v>0</v>
      </c>
    </row>
    <row r="9" spans="1:25" x14ac:dyDescent="0.25">
      <c r="A9" s="51">
        <v>1010105134</v>
      </c>
      <c r="B9" s="51" t="s">
        <v>53</v>
      </c>
      <c r="C9" s="51" t="s">
        <v>140</v>
      </c>
      <c r="D9" s="51" t="s">
        <v>141</v>
      </c>
      <c r="E9" s="51" t="s">
        <v>354</v>
      </c>
      <c r="F9" s="52">
        <f>SUMIF('Customer Budget Per Category'!$A:$A,$A9,'Customer Budget Per Category'!$L:$L)</f>
        <v>2812.823256295901</v>
      </c>
      <c r="G9" s="52">
        <f>SUMIFS('Navision sales Dump'!$E:$E,'Navision sales Dump'!$K:$K,$E9,'Navision sales Dump'!$A:$A,$A9)</f>
        <v>0</v>
      </c>
      <c r="H9" s="62">
        <f>SUMIFS('Navision sales Dump'!$G:$G,'Navision sales Dump'!$K:$K,$E9,'Navision sales Dump'!$A:$A,$A9)</f>
        <v>0</v>
      </c>
      <c r="I9" s="72">
        <f>IFERROR(IF(($G9/$F9)&gt;='Discount Scheme Target'!$F$4,_xlfn.XLOOKUP($E9,'Discount Scheme Target'!$B:$B,'Discount Scheme Target'!$F:$F,0,0),IF(($G9/$F9)&gt;='Discount Scheme Target'!$E$4,_xlfn.XLOOKUP($E9,'Discount Scheme Target'!$B:$B,'Discount Scheme Target'!$E:$E,0,0),IF(($G9/$F9)&gt;='Discount Scheme Target'!$D$4,_xlfn.XLOOKUP($E9,'Discount Scheme Target'!$B:$B,'Discount Scheme Target'!$D:$D,0,0),0))),0)</f>
        <v>0</v>
      </c>
      <c r="J9" s="72">
        <f>IF(SUMIF('Customer Num Distr.'!$A:$A,Workings!$A9,'Customer Num Distr.'!$E:$E)&gt;='Discount Scheme Target'!$G$4,_xlfn.XLOOKUP(Workings!$E9,'Discount Scheme Target'!$B:$B,'Discount Scheme Target'!$G:$G,0,0),0)</f>
        <v>0</v>
      </c>
      <c r="K9" s="72">
        <f>IF(SUMIF('Bouclage EG Cust Cons_Decons'!$A:$A,Workings!$A9,'Bouclage EG Cust Cons_Decons'!$F:$F)&gt;='Discount Scheme Target'!$H$4,_xlfn.XLOOKUP(Workings!$E9,'Discount Scheme Target'!$B:$B,'Discount Scheme Target'!$H:$H,0,0),0)</f>
        <v>0</v>
      </c>
      <c r="L9" s="72">
        <f>IF(INDEX('TT Around time'!$A$1:$F$46,MATCH($A9,'TT Around time'!$A:$A,0),6)&gt;='Discount Scheme Target'!$I$4,_xlfn.XLOOKUP(Workings!$E9,'Discount Scheme Target'!$B:$B,'Discount Scheme Target'!$I:$I,0,0),0)</f>
        <v>5.0000000000000001E-3</v>
      </c>
      <c r="M9" s="72">
        <f t="shared" si="0"/>
        <v>5.0000000000000001E-3</v>
      </c>
      <c r="N9" s="62">
        <f t="shared" si="1"/>
        <v>0</v>
      </c>
      <c r="T9" s="61">
        <f t="shared" si="2"/>
        <v>0</v>
      </c>
      <c r="U9" s="61">
        <f t="shared" si="3"/>
        <v>0</v>
      </c>
      <c r="V9" s="61">
        <f t="shared" si="4"/>
        <v>0</v>
      </c>
      <c r="W9" s="61">
        <f t="shared" si="5"/>
        <v>0</v>
      </c>
      <c r="X9" s="61">
        <f t="shared" si="6"/>
        <v>0</v>
      </c>
      <c r="Y9" s="61">
        <f t="shared" si="7"/>
        <v>0</v>
      </c>
    </row>
    <row r="10" spans="1:25" x14ac:dyDescent="0.25">
      <c r="A10" s="51">
        <v>1010105134</v>
      </c>
      <c r="B10" s="51" t="s">
        <v>53</v>
      </c>
      <c r="C10" s="51" t="s">
        <v>140</v>
      </c>
      <c r="D10" s="51" t="s">
        <v>141</v>
      </c>
      <c r="E10" s="51" t="s">
        <v>355</v>
      </c>
      <c r="F10" s="52">
        <f>SUMIF('Customer Budget Per Category'!$A:$A,$A10,'Customer Budget Per Category'!$M:$M)</f>
        <v>1660.1477385533601</v>
      </c>
      <c r="G10" s="52">
        <f>SUMIFS('Navision sales Dump'!$E:$E,'Navision sales Dump'!$K:$K,$E10,'Navision sales Dump'!$A:$A,$A10)</f>
        <v>574</v>
      </c>
      <c r="H10" s="62">
        <f>SUMIFS('Navision sales Dump'!$G:$G,'Navision sales Dump'!$K:$K,$E10,'Navision sales Dump'!$A:$A,$A10)</f>
        <v>1446131.96</v>
      </c>
      <c r="I10" s="72">
        <f>IFERROR(IF(($G10/$F10)&gt;='Discount Scheme Target'!$F$4,_xlfn.XLOOKUP($E10,'Discount Scheme Target'!$B:$B,'Discount Scheme Target'!$F:$F,0,0),IF(($G10/$F10)&gt;='Discount Scheme Target'!$E$4,_xlfn.XLOOKUP($E10,'Discount Scheme Target'!$B:$B,'Discount Scheme Target'!$E:$E,0,0),IF(($G10/$F10)&gt;='Discount Scheme Target'!$D$4,_xlfn.XLOOKUP($E10,'Discount Scheme Target'!$B:$B,'Discount Scheme Target'!$D:$D,0,0),0))),0)</f>
        <v>0</v>
      </c>
      <c r="J10" s="72">
        <f>IF(SUMIF('Customer Num Distr.'!$A:$A,Workings!$A10,'Customer Num Distr.'!$E:$E)&gt;='Discount Scheme Target'!$G$4,_xlfn.XLOOKUP(Workings!$E10,'Discount Scheme Target'!$B:$B,'Discount Scheme Target'!$G:$G,0,0),0)</f>
        <v>0</v>
      </c>
      <c r="K10" s="72">
        <f>IF(SUMIF('Bouclage EG Cust Cons_Decons'!$A:$A,Workings!$A10,'Bouclage EG Cust Cons_Decons'!$F:$F)&gt;='Discount Scheme Target'!$H$4,_xlfn.XLOOKUP(Workings!$E10,'Discount Scheme Target'!$B:$B,'Discount Scheme Target'!$H:$H,0,0),0)</f>
        <v>0</v>
      </c>
      <c r="L10" s="72">
        <f>IF(INDEX('TT Around time'!$A$1:$F$46,MATCH($A10,'TT Around time'!$A:$A,0),6)&gt;='Discount Scheme Target'!$I$4,_xlfn.XLOOKUP(Workings!$E10,'Discount Scheme Target'!$B:$B,'Discount Scheme Target'!$I:$I,0,0),0)</f>
        <v>5.0000000000000001E-3</v>
      </c>
      <c r="M10" s="72">
        <f t="shared" si="0"/>
        <v>5.0000000000000001E-3</v>
      </c>
      <c r="N10" s="62">
        <f t="shared" si="1"/>
        <v>20912.828423725943</v>
      </c>
      <c r="T10" s="61">
        <f t="shared" si="2"/>
        <v>0</v>
      </c>
      <c r="U10" s="61">
        <f t="shared" si="3"/>
        <v>0</v>
      </c>
      <c r="V10" s="61">
        <f t="shared" si="4"/>
        <v>0</v>
      </c>
      <c r="W10" s="61">
        <f t="shared" si="5"/>
        <v>20912.828423725943</v>
      </c>
      <c r="X10" s="61">
        <f t="shared" si="6"/>
        <v>20912.828423725943</v>
      </c>
      <c r="Y10" s="61">
        <f t="shared" si="7"/>
        <v>0</v>
      </c>
    </row>
    <row r="11" spans="1:25" x14ac:dyDescent="0.25">
      <c r="A11" s="51">
        <v>1010105134</v>
      </c>
      <c r="B11" s="51" t="s">
        <v>53</v>
      </c>
      <c r="C11" s="51" t="s">
        <v>140</v>
      </c>
      <c r="D11" s="51" t="s">
        <v>141</v>
      </c>
      <c r="E11" s="51" t="s">
        <v>132</v>
      </c>
      <c r="F11" s="52">
        <f>SUMIF('Customer Budget Per Category'!$A:$A,$A11,'Customer Budget Per Category'!$N:$N)</f>
        <v>730.05264587355236</v>
      </c>
      <c r="G11" s="52">
        <f>SUMIFS('Navision sales Dump'!$E:$E,'Navision sales Dump'!$K:$K,$E11,'Navision sales Dump'!$A:$A,$A11)</f>
        <v>863</v>
      </c>
      <c r="H11" s="62">
        <f>SUMIFS('Navision sales Dump'!$G:$G,'Navision sales Dump'!$K:$K,$E11,'Navision sales Dump'!$A:$A,$A11)</f>
        <v>1883411.2</v>
      </c>
      <c r="I11" s="72">
        <f>IFERROR(IF(($G11/$F11)&gt;='Discount Scheme Target'!$F$4,_xlfn.XLOOKUP($E11,'Discount Scheme Target'!$B:$B,'Discount Scheme Target'!$F:$F,0,0),IF(($G11/$F11)&gt;='Discount Scheme Target'!$E$4,_xlfn.XLOOKUP($E11,'Discount Scheme Target'!$B:$B,'Discount Scheme Target'!$E:$E,0,0),IF(($G11/$F11)&gt;='Discount Scheme Target'!$D$4,_xlfn.XLOOKUP($E11,'Discount Scheme Target'!$B:$B,'Discount Scheme Target'!$D:$D,0,0),0))),0)</f>
        <v>0.04</v>
      </c>
      <c r="J11" s="72">
        <f>IF(SUMIF('Customer Num Distr.'!$A:$A,Workings!$A11,'Customer Num Distr.'!$E:$E)&gt;='Discount Scheme Target'!$G$4,_xlfn.XLOOKUP(Workings!$E11,'Discount Scheme Target'!$B:$B,'Discount Scheme Target'!$G:$G,0,0),0)</f>
        <v>0</v>
      </c>
      <c r="K11" s="72">
        <f>IF(SUMIF('Bouclage EG Cust Cons_Decons'!$A:$A,Workings!$A11,'Bouclage EG Cust Cons_Decons'!$F:$F)&gt;='Discount Scheme Target'!$H$4,_xlfn.XLOOKUP(Workings!$E11,'Discount Scheme Target'!$B:$B,'Discount Scheme Target'!$H:$H,0,0),0)</f>
        <v>0</v>
      </c>
      <c r="L11" s="72">
        <f>IF(INDEX('TT Around time'!$A$1:$F$46,MATCH($A11,'TT Around time'!$A:$A,0),6)&gt;='Discount Scheme Target'!$I$4,_xlfn.XLOOKUP(Workings!$E11,'Discount Scheme Target'!$B:$B,'Discount Scheme Target'!$I:$I,0,0),0)</f>
        <v>5.0000000000000001E-3</v>
      </c>
      <c r="M11" s="72">
        <f t="shared" si="0"/>
        <v>4.4999999999999998E-2</v>
      </c>
      <c r="N11" s="62">
        <f>IFERROR((H11/G11)*F11*M11,)</f>
        <v>71697.01024594983</v>
      </c>
      <c r="T11" s="61">
        <f t="shared" si="2"/>
        <v>63730.675774177631</v>
      </c>
      <c r="U11" s="61">
        <f t="shared" si="3"/>
        <v>0</v>
      </c>
      <c r="V11" s="61">
        <f t="shared" si="4"/>
        <v>0</v>
      </c>
      <c r="W11" s="61">
        <f t="shared" si="5"/>
        <v>7966.3344717722039</v>
      </c>
      <c r="X11" s="61">
        <f t="shared" si="6"/>
        <v>71697.01024594983</v>
      </c>
      <c r="Y11" s="61">
        <f t="shared" si="7"/>
        <v>0</v>
      </c>
    </row>
    <row r="12" spans="1:25" x14ac:dyDescent="0.25">
      <c r="A12" s="51">
        <v>1010105134</v>
      </c>
      <c r="B12" s="51" t="s">
        <v>53</v>
      </c>
      <c r="C12" s="51" t="s">
        <v>140</v>
      </c>
      <c r="D12" s="51" t="s">
        <v>141</v>
      </c>
      <c r="E12" s="51" t="s">
        <v>133</v>
      </c>
      <c r="F12" s="52">
        <f>SUMIF('Customer Budget Per Category'!$A:$A,$A12,'Customer Budget Per Category'!$O:$O)</f>
        <v>607.08465500297905</v>
      </c>
      <c r="G12" s="52">
        <f>SUMIFS('Navision sales Dump'!$E:$E,'Navision sales Dump'!$K:$K,$E12,'Navision sales Dump'!$A:$A,$A12)</f>
        <v>503</v>
      </c>
      <c r="H12" s="62">
        <f>SUMIFS('Navision sales Dump'!$G:$G,'Navision sales Dump'!$K:$K,$E12,'Navision sales Dump'!$A:$A,$A12)</f>
        <v>5043772.1399999997</v>
      </c>
      <c r="I12" s="72">
        <f>IFERROR(IF(($G12/$F12)&gt;='Discount Scheme Target'!$F$4,_xlfn.XLOOKUP($E12,'Discount Scheme Target'!$B:$B,'Discount Scheme Target'!$F:$F,0,0),IF(($G12/$F12)&gt;='Discount Scheme Target'!$E$4,_xlfn.XLOOKUP($E12,'Discount Scheme Target'!$B:$B,'Discount Scheme Target'!$E:$E,0,0),IF(($G12/$F12)&gt;='Discount Scheme Target'!$D$4,_xlfn.XLOOKUP($E12,'Discount Scheme Target'!$B:$B,'Discount Scheme Target'!$D:$D,0,0),0))),0)</f>
        <v>0</v>
      </c>
      <c r="J12" s="72">
        <f>IF(SUMIF('Customer Num Distr.'!$A:$A,Workings!$A12,'Customer Num Distr.'!$E:$E)&gt;='Discount Scheme Target'!$G$4,_xlfn.XLOOKUP(Workings!$E12,'Discount Scheme Target'!$B:$B,'Discount Scheme Target'!$G:$G,0,0),0)</f>
        <v>0</v>
      </c>
      <c r="K12" s="72">
        <f>IF(SUMIF('Bouclage EG Cust Cons_Decons'!$A:$A,Workings!$A12,'Bouclage EG Cust Cons_Decons'!$F:$F)&gt;='Discount Scheme Target'!$H$4,_xlfn.XLOOKUP(Workings!$E12,'Discount Scheme Target'!$B:$B,'Discount Scheme Target'!$H:$H,0,0),0)</f>
        <v>0</v>
      </c>
      <c r="L12" s="72">
        <f>IF(INDEX('TT Around time'!$A$1:$F$46,MATCH($A12,'TT Around time'!$A:$A,0),6)&gt;='Discount Scheme Target'!$I$4,_xlfn.XLOOKUP(Workings!$E12,'Discount Scheme Target'!$B:$B,'Discount Scheme Target'!$I:$I,0,0),0)</f>
        <v>5.0000000000000001E-3</v>
      </c>
      <c r="M12" s="72">
        <f t="shared" si="0"/>
        <v>5.0000000000000001E-3</v>
      </c>
      <c r="N12" s="62">
        <f>IFERROR((H12/G12)*F12*M12,)</f>
        <v>30437.342639418861</v>
      </c>
      <c r="T12" s="61">
        <f t="shared" si="2"/>
        <v>0</v>
      </c>
      <c r="U12" s="61">
        <f t="shared" si="3"/>
        <v>0</v>
      </c>
      <c r="V12" s="61">
        <f t="shared" si="4"/>
        <v>0</v>
      </c>
      <c r="W12" s="61">
        <f t="shared" si="5"/>
        <v>30437.342639418861</v>
      </c>
      <c r="X12" s="61">
        <f t="shared" si="6"/>
        <v>30437.342639418861</v>
      </c>
      <c r="Y12" s="61">
        <f t="shared" si="7"/>
        <v>0</v>
      </c>
    </row>
    <row r="13" spans="1:25" x14ac:dyDescent="0.25">
      <c r="A13" s="51">
        <v>1010920019</v>
      </c>
      <c r="B13" s="51" t="s">
        <v>76</v>
      </c>
      <c r="C13" s="51" t="s">
        <v>140</v>
      </c>
      <c r="D13" s="51" t="s">
        <v>141</v>
      </c>
      <c r="E13" s="51" t="s">
        <v>417</v>
      </c>
      <c r="F13" s="52">
        <f>SUMIF('Customer Budget Per Category'!$A:$A,$A13,'Customer Budget Per Category'!$E:$E)</f>
        <v>30474.454429877114</v>
      </c>
      <c r="G13" s="52">
        <f>SUMIFS('Navision sales Dump'!$E:$E,'Navision sales Dump'!$K:$K,$E13,'Navision sales Dump'!$A:$A,$A13)</f>
        <v>21496</v>
      </c>
      <c r="H13" s="62">
        <f>SUMIFS('Navision sales Dump'!$G:$G,'Navision sales Dump'!$K:$K,$E13,'Navision sales Dump'!$A:$A,$A13)</f>
        <v>158159220.39000002</v>
      </c>
      <c r="I13" s="72">
        <f>IFERROR(IF(($G13/$F13)&gt;='Discount Scheme Target'!$F$4,_xlfn.XLOOKUP($E13,'Discount Scheme Target'!$B:$B,'Discount Scheme Target'!$F:$F,0,0),IF(($G13/$F13)&gt;='Discount Scheme Target'!$E$4,_xlfn.XLOOKUP($E13,'Discount Scheme Target'!$B:$B,'Discount Scheme Target'!$E:$E,0,0),IF(($G13/$F13)&gt;='Discount Scheme Target'!$D$4,_xlfn.XLOOKUP($E13,'Discount Scheme Target'!$B:$B,'Discount Scheme Target'!$D:$D,0,0),0))),0)</f>
        <v>0</v>
      </c>
      <c r="J13" s="72">
        <f>IF(SUMIF('Customer Num Distr.'!$A:$A,Workings!$A13,'Customer Num Distr.'!$E:$E)&gt;='Discount Scheme Target'!$G$4,_xlfn.XLOOKUP(Workings!$E13,'Discount Scheme Target'!$B:$B,'Discount Scheme Target'!$G:$G,0,0),0)</f>
        <v>0</v>
      </c>
      <c r="K13" s="72">
        <f>IF(SUMIF('Bouclage EG Cust Cons_Decons'!$A:$A,Workings!$A13,'Bouclage EG Cust Cons_Decons'!$F:$F)&gt;='Discount Scheme Target'!$H$4,_xlfn.XLOOKUP(Workings!$E13,'Discount Scheme Target'!$B:$B,'Discount Scheme Target'!$H:$H,0,0),0)</f>
        <v>5.0000000000000001E-3</v>
      </c>
      <c r="L13" s="72">
        <f>IF(INDEX('TT Around time'!$A$1:$F$46,MATCH($A13,'TT Around time'!$A:$A,0),6)&gt;='Discount Scheme Target'!$I$4,_xlfn.XLOOKUP(Workings!$E13,'Discount Scheme Target'!$B:$B,'Discount Scheme Target'!$I:$I,0,0),0)</f>
        <v>0</v>
      </c>
      <c r="M13" s="72">
        <f t="shared" si="0"/>
        <v>5.0000000000000001E-3</v>
      </c>
      <c r="N13" s="62">
        <f>IFERROR((H13/G13)*F13*M13,)</f>
        <v>1121096.0072664558</v>
      </c>
      <c r="P13" s="95"/>
      <c r="Q13" s="95"/>
      <c r="T13" s="61">
        <f t="shared" si="2"/>
        <v>0</v>
      </c>
      <c r="U13" s="61">
        <f t="shared" si="3"/>
        <v>0</v>
      </c>
      <c r="V13" s="61">
        <f t="shared" si="4"/>
        <v>1121096.0072664558</v>
      </c>
      <c r="W13" s="61">
        <f t="shared" si="5"/>
        <v>0</v>
      </c>
      <c r="X13" s="61">
        <f t="shared" si="6"/>
        <v>1121096.0072664558</v>
      </c>
      <c r="Y13" s="61">
        <f t="shared" si="7"/>
        <v>0</v>
      </c>
    </row>
    <row r="14" spans="1:25" x14ac:dyDescent="0.25">
      <c r="A14" s="51">
        <v>1010920019</v>
      </c>
      <c r="B14" s="51" t="s">
        <v>76</v>
      </c>
      <c r="C14" s="51" t="s">
        <v>140</v>
      </c>
      <c r="D14" s="51" t="s">
        <v>141</v>
      </c>
      <c r="E14" s="51" t="s">
        <v>418</v>
      </c>
      <c r="F14" s="52">
        <f>SUMIF('Customer Budget Per Category'!$A:$A,$A14,'Customer Budget Per Category'!$F:$F)</f>
        <v>0</v>
      </c>
      <c r="G14" s="52">
        <f>SUMIFS('Navision sales Dump'!$E:$E,'Navision sales Dump'!$K:$K,$E14,'Navision sales Dump'!$A:$A,$A14)</f>
        <v>0</v>
      </c>
      <c r="H14" s="62">
        <f>SUMIFS('Navision sales Dump'!$G:$G,'Navision sales Dump'!$K:$K,$E14,'Navision sales Dump'!$A:$A,$A14)</f>
        <v>0</v>
      </c>
      <c r="I14" s="72">
        <f>IFERROR(IF(($G14/$F14)&gt;='Discount Scheme Target'!$F$4,_xlfn.XLOOKUP($E14,'Discount Scheme Target'!$B:$B,'Discount Scheme Target'!$F:$F,0,0),IF(($G14/$F14)&gt;='Discount Scheme Target'!$E$4,_xlfn.XLOOKUP($E14,'Discount Scheme Target'!$B:$B,'Discount Scheme Target'!$E:$E,0,0),IF(($G14/$F14)&gt;='Discount Scheme Target'!$D$4,_xlfn.XLOOKUP($E14,'Discount Scheme Target'!$B:$B,'Discount Scheme Target'!$D:$D,0,0),0))),0)</f>
        <v>0</v>
      </c>
      <c r="J14" s="72">
        <f>IF(SUMIF('Customer Num Distr.'!$A:$A,Workings!$A14,'Customer Num Distr.'!$E:$E)&gt;='Discount Scheme Target'!$G$4,_xlfn.XLOOKUP(Workings!$E14,'Discount Scheme Target'!$B:$B,'Discount Scheme Target'!$G:$G,0,0),0)</f>
        <v>0</v>
      </c>
      <c r="K14" s="72">
        <f>IF(SUMIF('Bouclage EG Cust Cons_Decons'!$A:$A,Workings!$A14,'Bouclage EG Cust Cons_Decons'!$F:$F)&gt;='Discount Scheme Target'!$H$4,_xlfn.XLOOKUP(Workings!$E14,'Discount Scheme Target'!$B:$B,'Discount Scheme Target'!$H:$H,0,0),0)</f>
        <v>0</v>
      </c>
      <c r="L14" s="72">
        <f>IF(INDEX('TT Around time'!$A$1:$F$46,MATCH($A14,'TT Around time'!$A:$A,0),6)&gt;='Discount Scheme Target'!$I$4,_xlfn.XLOOKUP(Workings!$E14,'Discount Scheme Target'!$B:$B,'Discount Scheme Target'!$I:$I,0,0),0)</f>
        <v>0</v>
      </c>
      <c r="M14" s="72">
        <f t="shared" si="0"/>
        <v>0</v>
      </c>
      <c r="N14" s="62">
        <f t="shared" ref="N14:N21" si="8">IFERROR((H14/G14)*F14*M14,)</f>
        <v>0</v>
      </c>
      <c r="T14" s="61">
        <f t="shared" si="2"/>
        <v>0</v>
      </c>
      <c r="U14" s="61">
        <f t="shared" si="3"/>
        <v>0</v>
      </c>
      <c r="V14" s="61">
        <f t="shared" si="4"/>
        <v>0</v>
      </c>
      <c r="W14" s="61">
        <f t="shared" si="5"/>
        <v>0</v>
      </c>
      <c r="X14" s="61">
        <f t="shared" si="6"/>
        <v>0</v>
      </c>
      <c r="Y14" s="61">
        <f t="shared" si="7"/>
        <v>0</v>
      </c>
    </row>
    <row r="15" spans="1:25" x14ac:dyDescent="0.25">
      <c r="A15" s="51">
        <v>1010920019</v>
      </c>
      <c r="B15" s="51" t="s">
        <v>76</v>
      </c>
      <c r="C15" s="51" t="s">
        <v>140</v>
      </c>
      <c r="D15" s="51" t="s">
        <v>141</v>
      </c>
      <c r="E15" s="51" t="s">
        <v>130</v>
      </c>
      <c r="F15" s="52">
        <f>SUMIF('Customer Budget Per Category'!$A:$A,$A15,'Customer Budget Per Category'!$G:$G)</f>
        <v>704.53343998773869</v>
      </c>
      <c r="G15" s="52">
        <f>SUMIFS('Navision sales Dump'!$E:$E,'Navision sales Dump'!$K:$K,$E15,'Navision sales Dump'!$A:$A,$A15)</f>
        <v>858</v>
      </c>
      <c r="H15" s="62">
        <f>SUMIFS('Navision sales Dump'!$G:$G,'Navision sales Dump'!$K:$K,$E15,'Navision sales Dump'!$A:$A,$A15)</f>
        <v>6628324.5599999996</v>
      </c>
      <c r="I15" s="72">
        <f>IFERROR(IF(($G15/$F15)&gt;='Discount Scheme Target'!$F$4,_xlfn.XLOOKUP($E15,'Discount Scheme Target'!$B:$B,'Discount Scheme Target'!$F:$F,0,0),IF(($G15/$F15)&gt;='Discount Scheme Target'!$E$4,_xlfn.XLOOKUP($E15,'Discount Scheme Target'!$B:$B,'Discount Scheme Target'!$E:$E,0,0),IF(($G15/$F15)&gt;='Discount Scheme Target'!$D$4,_xlfn.XLOOKUP($E15,'Discount Scheme Target'!$B:$B,'Discount Scheme Target'!$D:$D,0,0),0))),0)</f>
        <v>4.5000000000000005E-2</v>
      </c>
      <c r="J15" s="72">
        <f>IF(SUMIF('Customer Num Distr.'!$A:$A,Workings!$A15,'Customer Num Distr.'!$E:$E)&gt;='Discount Scheme Target'!$G$4,_xlfn.XLOOKUP(Workings!$E15,'Discount Scheme Target'!$B:$B,'Discount Scheme Target'!$G:$G,0,0),0)</f>
        <v>0</v>
      </c>
      <c r="K15" s="72">
        <f>IF(SUMIF('Bouclage EG Cust Cons_Decons'!$A:$A,Workings!$A15,'Bouclage EG Cust Cons_Decons'!$F:$F)&gt;='Discount Scheme Target'!$H$4,_xlfn.XLOOKUP(Workings!$E15,'Discount Scheme Target'!$B:$B,'Discount Scheme Target'!$H:$H,0,0),0)</f>
        <v>5.0000000000000001E-3</v>
      </c>
      <c r="L15" s="72">
        <f>IF(INDEX('TT Around time'!$A$1:$F$46,MATCH($A15,'TT Around time'!$A:$A,0),6)&gt;='Discount Scheme Target'!$I$4,_xlfn.XLOOKUP(Workings!$E15,'Discount Scheme Target'!$B:$B,'Discount Scheme Target'!$I:$I,0,0),0)</f>
        <v>0</v>
      </c>
      <c r="M15" s="72">
        <f t="shared" si="0"/>
        <v>0.05</v>
      </c>
      <c r="N15" s="62">
        <f t="shared" si="8"/>
        <v>272137.31373030384</v>
      </c>
      <c r="T15" s="61">
        <f t="shared" si="2"/>
        <v>244923.5823572735</v>
      </c>
      <c r="U15" s="61">
        <f t="shared" si="3"/>
        <v>0</v>
      </c>
      <c r="V15" s="61">
        <f t="shared" si="4"/>
        <v>27213.731373030387</v>
      </c>
      <c r="W15" s="61">
        <f t="shared" si="5"/>
        <v>0</v>
      </c>
      <c r="X15" s="61">
        <f t="shared" si="6"/>
        <v>272137.3137303039</v>
      </c>
      <c r="Y15" s="61">
        <f t="shared" si="7"/>
        <v>0</v>
      </c>
    </row>
    <row r="16" spans="1:25" x14ac:dyDescent="0.25">
      <c r="A16" s="51">
        <v>1010920019</v>
      </c>
      <c r="B16" s="51" t="s">
        <v>76</v>
      </c>
      <c r="C16" s="51" t="s">
        <v>140</v>
      </c>
      <c r="D16" s="51" t="s">
        <v>141</v>
      </c>
      <c r="E16" s="51" t="s">
        <v>131</v>
      </c>
      <c r="F16" s="52">
        <f>SUMIF('Customer Budget Per Category'!$A:$A,$A16,'Customer Budget Per Category'!$H:$H)</f>
        <v>557.00872351601322</v>
      </c>
      <c r="G16" s="52">
        <f>SUMIFS('Navision sales Dump'!$E:$E,'Navision sales Dump'!$K:$K,$E16,'Navision sales Dump'!$A:$A,$A16)</f>
        <v>559</v>
      </c>
      <c r="H16" s="62">
        <f>SUMIFS('Navision sales Dump'!$G:$G,'Navision sales Dump'!$K:$K,$E16,'Navision sales Dump'!$A:$A,$A16)</f>
        <v>21815041.550000001</v>
      </c>
      <c r="I16" s="72">
        <f>IFERROR(IF(($G16/$F16)&gt;='Discount Scheme Target'!$F$4,_xlfn.XLOOKUP($E16,'Discount Scheme Target'!$B:$B,'Discount Scheme Target'!$F:$F,0,0),IF(($G16/$F16)&gt;='Discount Scheme Target'!$E$4,_xlfn.XLOOKUP($E16,'Discount Scheme Target'!$B:$B,'Discount Scheme Target'!$E:$E,0,0),IF(($G16/$F16)&gt;='Discount Scheme Target'!$D$4,_xlfn.XLOOKUP($E16,'Discount Scheme Target'!$B:$B,'Discount Scheme Target'!$D:$D,0,0),0))),0)</f>
        <v>0.01</v>
      </c>
      <c r="J16" s="72">
        <f>IF(SUMIF('Customer Num Distr.'!$A:$A,Workings!$A16,'Customer Num Distr.'!$E:$E)&gt;='Discount Scheme Target'!$G$4,_xlfn.XLOOKUP(Workings!$E16,'Discount Scheme Target'!$B:$B,'Discount Scheme Target'!$G:$G,0,0),0)</f>
        <v>0</v>
      </c>
      <c r="K16" s="72">
        <f>IF(SUMIF('Bouclage EG Cust Cons_Decons'!$A:$A,Workings!$A16,'Bouclage EG Cust Cons_Decons'!$F:$F)&gt;='Discount Scheme Target'!$H$4,_xlfn.XLOOKUP(Workings!$E16,'Discount Scheme Target'!$B:$B,'Discount Scheme Target'!$H:$H,0,0),0)</f>
        <v>5.0000000000000001E-3</v>
      </c>
      <c r="L16" s="72">
        <f>IF(INDEX('TT Around time'!$A$1:$F$46,MATCH($A16,'TT Around time'!$A:$A,0),6)&gt;='Discount Scheme Target'!$I$4,_xlfn.XLOOKUP(Workings!$E16,'Discount Scheme Target'!$B:$B,'Discount Scheme Target'!$I:$I,0,0),0)</f>
        <v>0</v>
      </c>
      <c r="M16" s="72">
        <f t="shared" si="0"/>
        <v>1.4999999999999999E-2</v>
      </c>
      <c r="N16" s="62">
        <f t="shared" si="8"/>
        <v>326059.97622220818</v>
      </c>
      <c r="T16" s="61">
        <f t="shared" si="2"/>
        <v>217373.31748147213</v>
      </c>
      <c r="U16" s="61">
        <f t="shared" si="3"/>
        <v>0</v>
      </c>
      <c r="V16" s="61">
        <f t="shared" si="4"/>
        <v>108686.65874073606</v>
      </c>
      <c r="W16" s="61">
        <f t="shared" si="5"/>
        <v>0</v>
      </c>
      <c r="X16" s="61">
        <f t="shared" si="6"/>
        <v>326059.97622220818</v>
      </c>
      <c r="Y16" s="61">
        <f t="shared" si="7"/>
        <v>0</v>
      </c>
    </row>
    <row r="17" spans="1:25" x14ac:dyDescent="0.25">
      <c r="A17" s="51">
        <v>1010920019</v>
      </c>
      <c r="B17" s="51" t="s">
        <v>76</v>
      </c>
      <c r="C17" s="51" t="s">
        <v>140</v>
      </c>
      <c r="D17" s="51" t="s">
        <v>141</v>
      </c>
      <c r="E17" s="51" t="s">
        <v>514</v>
      </c>
      <c r="F17" s="52">
        <f>SUMIF('Customer Budget Per Category'!$A:$A,$A17,'Customer Budget Per Category'!$I:$I)</f>
        <v>10729.375116133886</v>
      </c>
      <c r="G17" s="52">
        <f>SUMIFS('Navision sales Dump'!$E:$E,'Navision sales Dump'!$K:$K,$E17,'Navision sales Dump'!$A:$A,$A17)</f>
        <v>10989</v>
      </c>
      <c r="H17" s="62">
        <f>SUMIFS('Navision sales Dump'!$G:$G,'Navision sales Dump'!$K:$K,$E17,'Navision sales Dump'!$A:$A,$A17)</f>
        <v>43494791.670000002</v>
      </c>
      <c r="I17" s="72">
        <f>IFERROR(IF(($G17/$F17)&gt;='Discount Scheme Target'!$F$4,_xlfn.XLOOKUP($E17,'Discount Scheme Target'!$B:$B,'Discount Scheme Target'!$F:$F,0,0),IF(($G17/$F17)&gt;='Discount Scheme Target'!$E$4,_xlfn.XLOOKUP($E17,'Discount Scheme Target'!$B:$B,'Discount Scheme Target'!$E:$E,0,0),IF(($G17/$F17)&gt;='Discount Scheme Target'!$D$4,_xlfn.XLOOKUP($E17,'Discount Scheme Target'!$B:$B,'Discount Scheme Target'!$D:$D,0,0),0))),0)</f>
        <v>0.01</v>
      </c>
      <c r="J17" s="72">
        <f>IF(SUMIF('Customer Num Distr.'!$A:$A,Workings!$A17,'Customer Num Distr.'!$E:$E)&gt;='Discount Scheme Target'!$G$4,_xlfn.XLOOKUP(Workings!$E17,'Discount Scheme Target'!$B:$B,'Discount Scheme Target'!$G:$G,0,0),0)</f>
        <v>0</v>
      </c>
      <c r="K17" s="72">
        <f>IF(SUMIF('Bouclage EG Cust Cons_Decons'!$A:$A,Workings!$A17,'Bouclage EG Cust Cons_Decons'!$F:$F)&gt;='Discount Scheme Target'!$H$4,_xlfn.XLOOKUP(Workings!$E17,'Discount Scheme Target'!$B:$B,'Discount Scheme Target'!$H:$H,0,0),0)</f>
        <v>5.0000000000000001E-3</v>
      </c>
      <c r="L17" s="72">
        <f>IF(INDEX('TT Around time'!$A$1:$F$46,MATCH($A17,'TT Around time'!$A:$A,0),6)&gt;='Discount Scheme Target'!$I$4,_xlfn.XLOOKUP(Workings!$E17,'Discount Scheme Target'!$B:$B,'Discount Scheme Target'!$I:$I,0,0),0)</f>
        <v>0</v>
      </c>
      <c r="M17" s="72">
        <f t="shared" si="0"/>
        <v>1.4999999999999999E-2</v>
      </c>
      <c r="N17" s="62">
        <f t="shared" si="8"/>
        <v>637007.82886367105</v>
      </c>
      <c r="T17" s="61">
        <f t="shared" si="2"/>
        <v>424671.88590911403</v>
      </c>
      <c r="U17" s="61">
        <f t="shared" si="3"/>
        <v>0</v>
      </c>
      <c r="V17" s="61">
        <f t="shared" si="4"/>
        <v>212335.94295455702</v>
      </c>
      <c r="W17" s="61">
        <f t="shared" si="5"/>
        <v>0</v>
      </c>
      <c r="X17" s="61">
        <f t="shared" si="6"/>
        <v>637007.82886367105</v>
      </c>
      <c r="Y17" s="61">
        <f t="shared" si="7"/>
        <v>0</v>
      </c>
    </row>
    <row r="18" spans="1:25" x14ac:dyDescent="0.25">
      <c r="A18" s="51">
        <v>1010920019</v>
      </c>
      <c r="B18" s="51" t="s">
        <v>76</v>
      </c>
      <c r="C18" s="51" t="s">
        <v>140</v>
      </c>
      <c r="D18" s="51" t="s">
        <v>141</v>
      </c>
      <c r="E18" s="51" t="s">
        <v>515</v>
      </c>
      <c r="F18" s="52">
        <f>SUMIF('Customer Budget Per Category'!$A:$A,$A18,'Customer Budget Per Category'!$J:$J)</f>
        <v>1294.1671539977547</v>
      </c>
      <c r="G18" s="52">
        <f>SUMIFS('Navision sales Dump'!$E:$E,'Navision sales Dump'!$K:$K,$E18,'Navision sales Dump'!$A:$A,$A18)</f>
        <v>1148</v>
      </c>
      <c r="H18" s="62">
        <f>SUMIFS('Navision sales Dump'!$G:$G,'Navision sales Dump'!$K:$K,$E18,'Navision sales Dump'!$A:$A,$A18)</f>
        <v>3240689.2</v>
      </c>
      <c r="I18" s="72">
        <f>IFERROR(IF(($G18/$F18)&gt;='Discount Scheme Target'!$F$4,_xlfn.XLOOKUP($E18,'Discount Scheme Target'!$B:$B,'Discount Scheme Target'!$F:$F,0,0),IF(($G18/$F18)&gt;='Discount Scheme Target'!$E$4,_xlfn.XLOOKUP($E18,'Discount Scheme Target'!$B:$B,'Discount Scheme Target'!$E:$E,0,0),IF(($G18/$F18)&gt;='Discount Scheme Target'!$D$4,_xlfn.XLOOKUP($E18,'Discount Scheme Target'!$B:$B,'Discount Scheme Target'!$D:$D,0,0),0))),0)</f>
        <v>0</v>
      </c>
      <c r="J18" s="72">
        <f>IF(SUMIF('Customer Num Distr.'!$A:$A,Workings!$A18,'Customer Num Distr.'!$E:$E)&gt;='Discount Scheme Target'!$G$4,_xlfn.XLOOKUP(Workings!$E18,'Discount Scheme Target'!$B:$B,'Discount Scheme Target'!$G:$G,0,0),0)</f>
        <v>0</v>
      </c>
      <c r="K18" s="72">
        <f>IF(SUMIF('Bouclage EG Cust Cons_Decons'!$A:$A,Workings!$A18,'Bouclage EG Cust Cons_Decons'!$F:$F)&gt;='Discount Scheme Target'!$H$4,_xlfn.XLOOKUP(Workings!$E18,'Discount Scheme Target'!$B:$B,'Discount Scheme Target'!$H:$H,0,0),0)</f>
        <v>5.0000000000000001E-3</v>
      </c>
      <c r="L18" s="72">
        <f>IF(INDEX('TT Around time'!$A$1:$F$46,MATCH($A18,'TT Around time'!$A:$A,0),6)&gt;='Discount Scheme Target'!$I$4,_xlfn.XLOOKUP(Workings!$E18,'Discount Scheme Target'!$B:$B,'Discount Scheme Target'!$I:$I,0,0),0)</f>
        <v>0</v>
      </c>
      <c r="M18" s="72">
        <f t="shared" si="0"/>
        <v>5.0000000000000001E-3</v>
      </c>
      <c r="N18" s="62">
        <f t="shared" si="8"/>
        <v>18266.522295101309</v>
      </c>
      <c r="T18" s="61">
        <f t="shared" si="2"/>
        <v>0</v>
      </c>
      <c r="U18" s="61">
        <f t="shared" si="3"/>
        <v>0</v>
      </c>
      <c r="V18" s="61">
        <f t="shared" si="4"/>
        <v>18266.522295101309</v>
      </c>
      <c r="W18" s="61">
        <f t="shared" si="5"/>
        <v>0</v>
      </c>
      <c r="X18" s="61">
        <f t="shared" si="6"/>
        <v>18266.522295101309</v>
      </c>
      <c r="Y18" s="61">
        <f t="shared" si="7"/>
        <v>0</v>
      </c>
    </row>
    <row r="19" spans="1:25" x14ac:dyDescent="0.25">
      <c r="A19" s="51">
        <v>1010920019</v>
      </c>
      <c r="B19" s="51" t="s">
        <v>76</v>
      </c>
      <c r="C19" s="51" t="s">
        <v>140</v>
      </c>
      <c r="D19" s="51" t="s">
        <v>141</v>
      </c>
      <c r="E19" s="51" t="s">
        <v>161</v>
      </c>
      <c r="F19" s="52">
        <f>SUMIF('Customer Budget Per Category'!$A:$A,$A19,'Customer Budget Per Category'!$K:$K)</f>
        <v>0</v>
      </c>
      <c r="G19" s="52">
        <f>SUMIFS('Navision sales Dump'!$E:$E,'Navision sales Dump'!$K:$K,$E19,'Navision sales Dump'!$A:$A,$A19)</f>
        <v>0</v>
      </c>
      <c r="H19" s="62">
        <f>SUMIFS('Navision sales Dump'!$G:$G,'Navision sales Dump'!$K:$K,$E19,'Navision sales Dump'!$A:$A,$A19)</f>
        <v>0</v>
      </c>
      <c r="I19" s="72">
        <f>IFERROR(IF(($G19/$F19)&gt;='Discount Scheme Target'!$F$4,_xlfn.XLOOKUP($E19,'Discount Scheme Target'!$B:$B,'Discount Scheme Target'!$F:$F,0,0),IF(($G19/$F19)&gt;='Discount Scheme Target'!$E$4,_xlfn.XLOOKUP($E19,'Discount Scheme Target'!$B:$B,'Discount Scheme Target'!$E:$E,0,0),IF(($G19/$F19)&gt;='Discount Scheme Target'!$D$4,_xlfn.XLOOKUP($E19,'Discount Scheme Target'!$B:$B,'Discount Scheme Target'!$D:$D,0,0),0))),0)</f>
        <v>0</v>
      </c>
      <c r="J19" s="72">
        <f>IF(SUMIF('Customer Num Distr.'!$A:$A,Workings!$A19,'Customer Num Distr.'!$E:$E)&gt;='Discount Scheme Target'!$G$4,_xlfn.XLOOKUP(Workings!$E19,'Discount Scheme Target'!$B:$B,'Discount Scheme Target'!$G:$G,0,0),0)</f>
        <v>0</v>
      </c>
      <c r="K19" s="72">
        <f>IF(SUMIF('Bouclage EG Cust Cons_Decons'!$A:$A,Workings!$A19,'Bouclage EG Cust Cons_Decons'!$F:$F)&gt;='Discount Scheme Target'!$H$4,_xlfn.XLOOKUP(Workings!$E19,'Discount Scheme Target'!$B:$B,'Discount Scheme Target'!$H:$H,0,0),0)</f>
        <v>0</v>
      </c>
      <c r="L19" s="72">
        <f>IF(INDEX('TT Around time'!$A$1:$F$46,MATCH($A19,'TT Around time'!$A:$A,0),6)&gt;='Discount Scheme Target'!$I$4,_xlfn.XLOOKUP(Workings!$E19,'Discount Scheme Target'!$B:$B,'Discount Scheme Target'!$I:$I,0,0),0)</f>
        <v>0</v>
      </c>
      <c r="M19" s="72">
        <f t="shared" si="0"/>
        <v>0</v>
      </c>
      <c r="N19" s="62">
        <f t="shared" si="8"/>
        <v>0</v>
      </c>
      <c r="T19" s="61">
        <f t="shared" si="2"/>
        <v>0</v>
      </c>
      <c r="U19" s="61">
        <f t="shared" si="3"/>
        <v>0</v>
      </c>
      <c r="V19" s="61">
        <f t="shared" si="4"/>
        <v>0</v>
      </c>
      <c r="W19" s="61">
        <f t="shared" si="5"/>
        <v>0</v>
      </c>
      <c r="X19" s="61">
        <f t="shared" si="6"/>
        <v>0</v>
      </c>
      <c r="Y19" s="61">
        <f t="shared" si="7"/>
        <v>0</v>
      </c>
    </row>
    <row r="20" spans="1:25" x14ac:dyDescent="0.25">
      <c r="A20" s="51">
        <v>1010920019</v>
      </c>
      <c r="B20" s="51" t="s">
        <v>76</v>
      </c>
      <c r="C20" s="51" t="s">
        <v>140</v>
      </c>
      <c r="D20" s="51" t="s">
        <v>141</v>
      </c>
      <c r="E20" s="51" t="s">
        <v>354</v>
      </c>
      <c r="F20" s="52">
        <f>SUMIF('Customer Budget Per Category'!$A:$A,$A20,'Customer Budget Per Category'!$L:$L)</f>
        <v>4217.6246553577885</v>
      </c>
      <c r="G20" s="52">
        <f>SUMIFS('Navision sales Dump'!$E:$E,'Navision sales Dump'!$K:$K,$E20,'Navision sales Dump'!$A:$A,$A20)</f>
        <v>4594</v>
      </c>
      <c r="H20" s="62">
        <f>SUMIFS('Navision sales Dump'!$G:$G,'Navision sales Dump'!$K:$K,$E20,'Navision sales Dump'!$A:$A,$A20)</f>
        <v>15863130.43</v>
      </c>
      <c r="I20" s="72">
        <f>IFERROR(IF(($G20/$F20)&gt;='Discount Scheme Target'!$F$4,_xlfn.XLOOKUP($E20,'Discount Scheme Target'!$B:$B,'Discount Scheme Target'!$F:$F,0,0),IF(($G20/$F20)&gt;='Discount Scheme Target'!$E$4,_xlfn.XLOOKUP($E20,'Discount Scheme Target'!$B:$B,'Discount Scheme Target'!$E:$E,0,0),IF(($G20/$F20)&gt;='Discount Scheme Target'!$D$4,_xlfn.XLOOKUP($E20,'Discount Scheme Target'!$B:$B,'Discount Scheme Target'!$D:$D,0,0),0))),0)</f>
        <v>0.03</v>
      </c>
      <c r="J20" s="72">
        <f>IF(SUMIF('Customer Num Distr.'!$A:$A,Workings!$A20,'Customer Num Distr.'!$E:$E)&gt;='Discount Scheme Target'!$G$4,_xlfn.XLOOKUP(Workings!$E20,'Discount Scheme Target'!$B:$B,'Discount Scheme Target'!$G:$G,0,0),0)</f>
        <v>0</v>
      </c>
      <c r="K20" s="72">
        <f>IF(SUMIF('Bouclage EG Cust Cons_Decons'!$A:$A,Workings!$A20,'Bouclage EG Cust Cons_Decons'!$F:$F)&gt;='Discount Scheme Target'!$H$4,_xlfn.XLOOKUP(Workings!$E20,'Discount Scheme Target'!$B:$B,'Discount Scheme Target'!$H:$H,0,0),0)</f>
        <v>5.0000000000000001E-3</v>
      </c>
      <c r="L20" s="72">
        <f>IF(INDEX('TT Around time'!$A$1:$F$46,MATCH($A20,'TT Around time'!$A:$A,0),6)&gt;='Discount Scheme Target'!$I$4,_xlfn.XLOOKUP(Workings!$E20,'Discount Scheme Target'!$B:$B,'Discount Scheme Target'!$I:$I,0,0),0)</f>
        <v>0</v>
      </c>
      <c r="M20" s="72">
        <f t="shared" si="0"/>
        <v>3.4999999999999996E-2</v>
      </c>
      <c r="N20" s="62">
        <f t="shared" si="8"/>
        <v>509722.58390190545</v>
      </c>
      <c r="T20" s="61">
        <f t="shared" si="2"/>
        <v>436905.07191591902</v>
      </c>
      <c r="U20" s="61">
        <f t="shared" si="3"/>
        <v>0</v>
      </c>
      <c r="V20" s="61">
        <f t="shared" si="4"/>
        <v>72817.511985986508</v>
      </c>
      <c r="W20" s="61">
        <f t="shared" si="5"/>
        <v>0</v>
      </c>
      <c r="X20" s="61">
        <f t="shared" si="6"/>
        <v>509722.58390190551</v>
      </c>
      <c r="Y20" s="61">
        <f t="shared" si="7"/>
        <v>0</v>
      </c>
    </row>
    <row r="21" spans="1:25" x14ac:dyDescent="0.25">
      <c r="A21" s="51">
        <v>1010920019</v>
      </c>
      <c r="B21" s="51" t="s">
        <v>76</v>
      </c>
      <c r="C21" s="51" t="s">
        <v>140</v>
      </c>
      <c r="D21" s="51" t="s">
        <v>141</v>
      </c>
      <c r="E21" s="51" t="s">
        <v>355</v>
      </c>
      <c r="F21" s="52">
        <f>SUMIF('Customer Budget Per Category'!$A:$A,$A21,'Customer Budget Per Category'!$M:$M)</f>
        <v>2571.2438477459204</v>
      </c>
      <c r="G21" s="52">
        <f>SUMIFS('Navision sales Dump'!$E:$E,'Navision sales Dump'!$K:$K,$E21,'Navision sales Dump'!$A:$A,$A21)</f>
        <v>1294</v>
      </c>
      <c r="H21" s="62">
        <f>SUMIFS('Navision sales Dump'!$G:$G,'Navision sales Dump'!$K:$K,$E21,'Navision sales Dump'!$A:$A,$A21)</f>
        <v>3131001.2199999997</v>
      </c>
      <c r="I21" s="72">
        <f>IFERROR(IF(($G21/$F21)&gt;='Discount Scheme Target'!$F$4,_xlfn.XLOOKUP($E21,'Discount Scheme Target'!$B:$B,'Discount Scheme Target'!$F:$F,0,0),IF(($G21/$F21)&gt;='Discount Scheme Target'!$E$4,_xlfn.XLOOKUP($E21,'Discount Scheme Target'!$B:$B,'Discount Scheme Target'!$E:$E,0,0),IF(($G21/$F21)&gt;='Discount Scheme Target'!$D$4,_xlfn.XLOOKUP($E21,'Discount Scheme Target'!$B:$B,'Discount Scheme Target'!$D:$D,0,0),0))),0)</f>
        <v>0</v>
      </c>
      <c r="J21" s="72">
        <f>IF(SUMIF('Customer Num Distr.'!$A:$A,Workings!$A21,'Customer Num Distr.'!$E:$E)&gt;='Discount Scheme Target'!$G$4,_xlfn.XLOOKUP(Workings!$E21,'Discount Scheme Target'!$B:$B,'Discount Scheme Target'!$G:$G,0,0),0)</f>
        <v>0</v>
      </c>
      <c r="K21" s="72">
        <f>IF(SUMIF('Bouclage EG Cust Cons_Decons'!$A:$A,Workings!$A21,'Bouclage EG Cust Cons_Decons'!$F:$F)&gt;='Discount Scheme Target'!$H$4,_xlfn.XLOOKUP(Workings!$E21,'Discount Scheme Target'!$B:$B,'Discount Scheme Target'!$H:$H,0,0),0)</f>
        <v>5.0000000000000001E-3</v>
      </c>
      <c r="L21" s="72">
        <f>IF(INDEX('TT Around time'!$A$1:$F$46,MATCH($A21,'TT Around time'!$A:$A,0),6)&gt;='Discount Scheme Target'!$I$4,_xlfn.XLOOKUP(Workings!$E21,'Discount Scheme Target'!$B:$B,'Discount Scheme Target'!$I:$I,0,0),0)</f>
        <v>0</v>
      </c>
      <c r="M21" s="72">
        <f t="shared" si="0"/>
        <v>5.0000000000000001E-3</v>
      </c>
      <c r="N21" s="62">
        <f t="shared" si="8"/>
        <v>31107.293756607305</v>
      </c>
      <c r="T21" s="61">
        <f t="shared" si="2"/>
        <v>0</v>
      </c>
      <c r="U21" s="61">
        <f t="shared" si="3"/>
        <v>0</v>
      </c>
      <c r="V21" s="61">
        <f t="shared" si="4"/>
        <v>31107.293756607305</v>
      </c>
      <c r="W21" s="61">
        <f t="shared" si="5"/>
        <v>0</v>
      </c>
      <c r="X21" s="61">
        <f t="shared" si="6"/>
        <v>31107.293756607305</v>
      </c>
      <c r="Y21" s="61">
        <f t="shared" si="7"/>
        <v>0</v>
      </c>
    </row>
    <row r="22" spans="1:25" x14ac:dyDescent="0.25">
      <c r="A22" s="51">
        <v>1010920019</v>
      </c>
      <c r="B22" s="51" t="s">
        <v>76</v>
      </c>
      <c r="C22" s="51" t="s">
        <v>140</v>
      </c>
      <c r="D22" s="51" t="s">
        <v>141</v>
      </c>
      <c r="E22" s="51" t="s">
        <v>132</v>
      </c>
      <c r="F22" s="52">
        <f>SUMIF('Customer Budget Per Category'!$A:$A,$A22,'Customer Budget Per Category'!$N:$N)</f>
        <v>989.99703502260002</v>
      </c>
      <c r="G22" s="52">
        <f>SUMIFS('Navision sales Dump'!$E:$E,'Navision sales Dump'!$K:$K,$E22,'Navision sales Dump'!$A:$A,$A22)</f>
        <v>1151</v>
      </c>
      <c r="H22" s="62">
        <f>SUMIFS('Navision sales Dump'!$G:$G,'Navision sales Dump'!$K:$K,$E22,'Navision sales Dump'!$A:$A,$A22)</f>
        <v>2511942.4</v>
      </c>
      <c r="I22" s="72">
        <f>IFERROR(IF(($G22/$F22)&gt;='Discount Scheme Target'!$F$4,_xlfn.XLOOKUP($E22,'Discount Scheme Target'!$B:$B,'Discount Scheme Target'!$F:$F,0,0),IF(($G22/$F22)&gt;='Discount Scheme Target'!$E$4,_xlfn.XLOOKUP($E22,'Discount Scheme Target'!$B:$B,'Discount Scheme Target'!$E:$E,0,0),IF(($G22/$F22)&gt;='Discount Scheme Target'!$D$4,_xlfn.XLOOKUP($E22,'Discount Scheme Target'!$B:$B,'Discount Scheme Target'!$D:$D,0,0),0))),0)</f>
        <v>0.04</v>
      </c>
      <c r="J22" s="72">
        <f>IF(SUMIF('Customer Num Distr.'!$A:$A,Workings!$A22,'Customer Num Distr.'!$E:$E)&gt;='Discount Scheme Target'!$G$4,_xlfn.XLOOKUP(Workings!$E22,'Discount Scheme Target'!$B:$B,'Discount Scheme Target'!$G:$G,0,0),0)</f>
        <v>0</v>
      </c>
      <c r="K22" s="72">
        <f>IF(SUMIF('Bouclage EG Cust Cons_Decons'!$A:$A,Workings!$A22,'Bouclage EG Cust Cons_Decons'!$F:$F)&gt;='Discount Scheme Target'!$H$4,_xlfn.XLOOKUP(Workings!$E22,'Discount Scheme Target'!$B:$B,'Discount Scheme Target'!$H:$H,0,0),0)</f>
        <v>5.0000000000000001E-3</v>
      </c>
      <c r="L22" s="72">
        <f>IF(INDEX('TT Around time'!$A$1:$F$46,MATCH($A22,'TT Around time'!$A:$A,0),6)&gt;='Discount Scheme Target'!$I$4,_xlfn.XLOOKUP(Workings!$E22,'Discount Scheme Target'!$B:$B,'Discount Scheme Target'!$I:$I,0,0),0)</f>
        <v>0</v>
      </c>
      <c r="M22" s="72">
        <f t="shared" si="0"/>
        <v>4.4999999999999998E-2</v>
      </c>
      <c r="N22" s="62">
        <f>IFERROR((H22/G22)*F22*M22,)</f>
        <v>97225.628815499513</v>
      </c>
      <c r="T22" s="61">
        <f t="shared" si="2"/>
        <v>86422.781169332899</v>
      </c>
      <c r="U22" s="61">
        <f t="shared" si="3"/>
        <v>0</v>
      </c>
      <c r="V22" s="61">
        <f t="shared" si="4"/>
        <v>10802.847646166612</v>
      </c>
      <c r="W22" s="61">
        <f t="shared" si="5"/>
        <v>0</v>
      </c>
      <c r="X22" s="61">
        <f t="shared" si="6"/>
        <v>97225.628815499513</v>
      </c>
      <c r="Y22" s="61">
        <f t="shared" si="7"/>
        <v>0</v>
      </c>
    </row>
    <row r="23" spans="1:25" x14ac:dyDescent="0.25">
      <c r="A23" s="51">
        <v>1010920019</v>
      </c>
      <c r="B23" s="51" t="s">
        <v>76</v>
      </c>
      <c r="C23" s="51" t="s">
        <v>140</v>
      </c>
      <c r="D23" s="51" t="s">
        <v>141</v>
      </c>
      <c r="E23" s="51" t="s">
        <v>133</v>
      </c>
      <c r="F23" s="52">
        <f>SUMIF('Customer Budget Per Category'!$A:$A,$A23,'Customer Budget Per Category'!$O:$O)</f>
        <v>644.46521553544494</v>
      </c>
      <c r="G23" s="52">
        <f>SUMIFS('Navision sales Dump'!$E:$E,'Navision sales Dump'!$K:$K,$E23,'Navision sales Dump'!$A:$A,$A23)</f>
        <v>932</v>
      </c>
      <c r="H23" s="62">
        <f>SUMIFS('Navision sales Dump'!$G:$G,'Navision sales Dump'!$K:$K,$E23,'Navision sales Dump'!$A:$A,$A23)</f>
        <v>9345518.1600000001</v>
      </c>
      <c r="I23" s="72">
        <f>IFERROR(IF(($G23/$F23)&gt;='Discount Scheme Target'!$F$4,_xlfn.XLOOKUP($E23,'Discount Scheme Target'!$B:$B,'Discount Scheme Target'!$F:$F,0,0),IF(($G23/$F23)&gt;='Discount Scheme Target'!$E$4,_xlfn.XLOOKUP($E23,'Discount Scheme Target'!$B:$B,'Discount Scheme Target'!$E:$E,0,0),IF(($G23/$F23)&gt;='Discount Scheme Target'!$D$4,_xlfn.XLOOKUP($E23,'Discount Scheme Target'!$B:$B,'Discount Scheme Target'!$D:$D,0,0),0))),0)</f>
        <v>0.04</v>
      </c>
      <c r="J23" s="72">
        <f>IF(SUMIF('Customer Num Distr.'!$A:$A,Workings!$A23,'Customer Num Distr.'!$E:$E)&gt;='Discount Scheme Target'!$G$4,_xlfn.XLOOKUP(Workings!$E23,'Discount Scheme Target'!$B:$B,'Discount Scheme Target'!$G:$G,0,0),0)</f>
        <v>0</v>
      </c>
      <c r="K23" s="72">
        <f>IF(SUMIF('Bouclage EG Cust Cons_Decons'!$A:$A,Workings!$A23,'Bouclage EG Cust Cons_Decons'!$F:$F)&gt;='Discount Scheme Target'!$H$4,_xlfn.XLOOKUP(Workings!$E23,'Discount Scheme Target'!$B:$B,'Discount Scheme Target'!$H:$H,0,0),0)</f>
        <v>5.0000000000000001E-3</v>
      </c>
      <c r="L23" s="72">
        <f>IF(INDEX('TT Around time'!$A$1:$F$46,MATCH($A23,'TT Around time'!$A:$A,0),6)&gt;='Discount Scheme Target'!$I$4,_xlfn.XLOOKUP(Workings!$E23,'Discount Scheme Target'!$B:$B,'Discount Scheme Target'!$I:$I,0,0),0)</f>
        <v>0</v>
      </c>
      <c r="M23" s="72">
        <f t="shared" si="0"/>
        <v>4.4999999999999998E-2</v>
      </c>
      <c r="N23" s="62">
        <f>IFERROR((H23/G23)*F23*M23,)</f>
        <v>290803.39258301147</v>
      </c>
      <c r="T23" s="61">
        <f t="shared" si="2"/>
        <v>258491.90451823242</v>
      </c>
      <c r="U23" s="61">
        <f t="shared" si="3"/>
        <v>0</v>
      </c>
      <c r="V23" s="61">
        <f t="shared" si="4"/>
        <v>32311.488064779052</v>
      </c>
      <c r="W23" s="61">
        <f t="shared" si="5"/>
        <v>0</v>
      </c>
      <c r="X23" s="61">
        <f t="shared" si="6"/>
        <v>290803.39258301147</v>
      </c>
      <c r="Y23" s="61">
        <f t="shared" si="7"/>
        <v>0</v>
      </c>
    </row>
    <row r="24" spans="1:25" x14ac:dyDescent="0.25">
      <c r="A24" s="51">
        <v>1010601015</v>
      </c>
      <c r="B24" s="51" t="s">
        <v>75</v>
      </c>
      <c r="C24" s="51" t="s">
        <v>140</v>
      </c>
      <c r="D24" s="51" t="s">
        <v>141</v>
      </c>
      <c r="E24" s="51" t="s">
        <v>417</v>
      </c>
      <c r="F24" s="52">
        <f>SUMIF('Customer Budget Per Category'!$A:$A,$A24,'Customer Budget Per Category'!$E:$E)</f>
        <v>25434.796087529292</v>
      </c>
      <c r="G24" s="52">
        <f>SUMIFS('Navision sales Dump'!$E:$E,'Navision sales Dump'!$K:$K,$E24,'Navision sales Dump'!$A:$A,$A24)</f>
        <v>18430</v>
      </c>
      <c r="H24" s="62">
        <f>SUMIFS('Navision sales Dump'!$G:$G,'Navision sales Dump'!$K:$K,$E24,'Navision sales Dump'!$A:$A,$A24)</f>
        <v>140508139.97</v>
      </c>
      <c r="I24" s="72">
        <f>IFERROR(IF(($G24/$F24)&gt;='Discount Scheme Target'!$F$4,_xlfn.XLOOKUP($E24,'Discount Scheme Target'!$B:$B,'Discount Scheme Target'!$F:$F,0,0),IF(($G24/$F24)&gt;='Discount Scheme Target'!$E$4,_xlfn.XLOOKUP($E24,'Discount Scheme Target'!$B:$B,'Discount Scheme Target'!$E:$E,0,0),IF(($G24/$F24)&gt;='Discount Scheme Target'!$D$4,_xlfn.XLOOKUP($E24,'Discount Scheme Target'!$B:$B,'Discount Scheme Target'!$D:$D,0,0),0))),0)</f>
        <v>0</v>
      </c>
      <c r="J24" s="72">
        <f>IF(SUMIF('Customer Num Distr.'!$A:$A,Workings!$A24,'Customer Num Distr.'!$E:$E)&gt;='Discount Scheme Target'!$G$4,_xlfn.XLOOKUP(Workings!$E24,'Discount Scheme Target'!$B:$B,'Discount Scheme Target'!$G:$G,0,0),0)</f>
        <v>0</v>
      </c>
      <c r="K24" s="72">
        <f>IF(SUMIF('Bouclage EG Cust Cons_Decons'!$A:$A,Workings!$A24,'Bouclage EG Cust Cons_Decons'!$F:$F)&gt;='Discount Scheme Target'!$H$4,_xlfn.XLOOKUP(Workings!$E24,'Discount Scheme Target'!$B:$B,'Discount Scheme Target'!$H:$H,0,0),0)</f>
        <v>0</v>
      </c>
      <c r="L24" s="72">
        <f>IF(INDEX('TT Around time'!$A$1:$F$46,MATCH($A24,'TT Around time'!$A:$A,0),6)&gt;='Discount Scheme Target'!$I$4,_xlfn.XLOOKUP(Workings!$E24,'Discount Scheme Target'!$B:$B,'Discount Scheme Target'!$I:$I,0,0),0)</f>
        <v>0</v>
      </c>
      <c r="M24" s="72">
        <f t="shared" si="0"/>
        <v>0</v>
      </c>
      <c r="N24" s="62">
        <f>IFERROR((H24/G24)*F24*M24,)</f>
        <v>0</v>
      </c>
      <c r="T24" s="61">
        <f t="shared" si="2"/>
        <v>0</v>
      </c>
      <c r="U24" s="61">
        <f t="shared" si="3"/>
        <v>0</v>
      </c>
      <c r="V24" s="61">
        <f t="shared" si="4"/>
        <v>0</v>
      </c>
      <c r="W24" s="61">
        <f t="shared" si="5"/>
        <v>0</v>
      </c>
      <c r="X24" s="61">
        <f t="shared" si="6"/>
        <v>0</v>
      </c>
      <c r="Y24" s="61">
        <f t="shared" si="7"/>
        <v>0</v>
      </c>
    </row>
    <row r="25" spans="1:25" x14ac:dyDescent="0.25">
      <c r="A25" s="51">
        <v>1010601015</v>
      </c>
      <c r="B25" s="51" t="s">
        <v>75</v>
      </c>
      <c r="C25" s="51" t="s">
        <v>140</v>
      </c>
      <c r="D25" s="51" t="s">
        <v>141</v>
      </c>
      <c r="E25" s="51" t="s">
        <v>418</v>
      </c>
      <c r="F25" s="52">
        <f>SUMIF('Customer Budget Per Category'!$A:$A,$A25,'Customer Budget Per Category'!$F:$F)</f>
        <v>0</v>
      </c>
      <c r="G25" s="52">
        <f>SUMIFS('Navision sales Dump'!$E:$E,'Navision sales Dump'!$K:$K,$E25,'Navision sales Dump'!$A:$A,$A25)</f>
        <v>0</v>
      </c>
      <c r="H25" s="62">
        <f>SUMIFS('Navision sales Dump'!$G:$G,'Navision sales Dump'!$K:$K,$E25,'Navision sales Dump'!$A:$A,$A25)</f>
        <v>0</v>
      </c>
      <c r="I25" s="72">
        <f>IFERROR(IF(($G25/$F25)&gt;='Discount Scheme Target'!$F$4,_xlfn.XLOOKUP($E25,'Discount Scheme Target'!$B:$B,'Discount Scheme Target'!$F:$F,0,0),IF(($G25/$F25)&gt;='Discount Scheme Target'!$E$4,_xlfn.XLOOKUP($E25,'Discount Scheme Target'!$B:$B,'Discount Scheme Target'!$E:$E,0,0),IF(($G25/$F25)&gt;='Discount Scheme Target'!$D$4,_xlfn.XLOOKUP($E25,'Discount Scheme Target'!$B:$B,'Discount Scheme Target'!$D:$D,0,0),0))),0)</f>
        <v>0</v>
      </c>
      <c r="J25" s="72">
        <f>IF(SUMIF('Customer Num Distr.'!$A:$A,Workings!$A25,'Customer Num Distr.'!$E:$E)&gt;='Discount Scheme Target'!$G$4,_xlfn.XLOOKUP(Workings!$E25,'Discount Scheme Target'!$B:$B,'Discount Scheme Target'!$G:$G,0,0),0)</f>
        <v>0</v>
      </c>
      <c r="K25" s="72">
        <f>IF(SUMIF('Bouclage EG Cust Cons_Decons'!$A:$A,Workings!$A25,'Bouclage EG Cust Cons_Decons'!$F:$F)&gt;='Discount Scheme Target'!$H$4,_xlfn.XLOOKUP(Workings!$E25,'Discount Scheme Target'!$B:$B,'Discount Scheme Target'!$H:$H,0,0),0)</f>
        <v>0</v>
      </c>
      <c r="L25" s="72">
        <f>IF(INDEX('TT Around time'!$A$1:$F$46,MATCH($A25,'TT Around time'!$A:$A,0),6)&gt;='Discount Scheme Target'!$I$4,_xlfn.XLOOKUP(Workings!$E25,'Discount Scheme Target'!$B:$B,'Discount Scheme Target'!$I:$I,0,0),0)</f>
        <v>0</v>
      </c>
      <c r="M25" s="72">
        <f t="shared" si="0"/>
        <v>0</v>
      </c>
      <c r="N25" s="62">
        <f t="shared" ref="N25:N32" si="9">IFERROR((H25/G25)*F25*M25,)</f>
        <v>0</v>
      </c>
      <c r="T25" s="61">
        <f t="shared" si="2"/>
        <v>0</v>
      </c>
      <c r="U25" s="61">
        <f t="shared" si="3"/>
        <v>0</v>
      </c>
      <c r="V25" s="61">
        <f t="shared" si="4"/>
        <v>0</v>
      </c>
      <c r="W25" s="61">
        <f t="shared" si="5"/>
        <v>0</v>
      </c>
      <c r="X25" s="61">
        <f t="shared" si="6"/>
        <v>0</v>
      </c>
      <c r="Y25" s="61">
        <f t="shared" si="7"/>
        <v>0</v>
      </c>
    </row>
    <row r="26" spans="1:25" x14ac:dyDescent="0.25">
      <c r="A26" s="51">
        <v>1010601015</v>
      </c>
      <c r="B26" s="51" t="s">
        <v>75</v>
      </c>
      <c r="C26" s="51" t="s">
        <v>140</v>
      </c>
      <c r="D26" s="51" t="s">
        <v>141</v>
      </c>
      <c r="E26" s="51" t="s">
        <v>130</v>
      </c>
      <c r="F26" s="52">
        <f>SUMIF('Customer Budget Per Category'!$A:$A,$A26,'Customer Budget Per Category'!$G:$G)</f>
        <v>645.75987997058587</v>
      </c>
      <c r="G26" s="52">
        <f>SUMIFS('Navision sales Dump'!$E:$E,'Navision sales Dump'!$K:$K,$E26,'Navision sales Dump'!$A:$A,$A26)</f>
        <v>573</v>
      </c>
      <c r="H26" s="62">
        <f>SUMIFS('Navision sales Dump'!$G:$G,'Navision sales Dump'!$K:$K,$E26,'Navision sales Dump'!$A:$A,$A26)</f>
        <v>4426608.3600000003</v>
      </c>
      <c r="I26" s="72">
        <f>IFERROR(IF(($G26/$F26)&gt;='Discount Scheme Target'!$F$4,_xlfn.XLOOKUP($E26,'Discount Scheme Target'!$B:$B,'Discount Scheme Target'!$F:$F,0,0),IF(($G26/$F26)&gt;='Discount Scheme Target'!$E$4,_xlfn.XLOOKUP($E26,'Discount Scheme Target'!$B:$B,'Discount Scheme Target'!$E:$E,0,0),IF(($G26/$F26)&gt;='Discount Scheme Target'!$D$4,_xlfn.XLOOKUP($E26,'Discount Scheme Target'!$B:$B,'Discount Scheme Target'!$D:$D,0,0),0))),0)</f>
        <v>0</v>
      </c>
      <c r="J26" s="72">
        <f>IF(SUMIF('Customer Num Distr.'!$A:$A,Workings!$A26,'Customer Num Distr.'!$E:$E)&gt;='Discount Scheme Target'!$G$4,_xlfn.XLOOKUP(Workings!$E26,'Discount Scheme Target'!$B:$B,'Discount Scheme Target'!$G:$G,0,0),0)</f>
        <v>0</v>
      </c>
      <c r="K26" s="72">
        <f>IF(SUMIF('Bouclage EG Cust Cons_Decons'!$A:$A,Workings!$A26,'Bouclage EG Cust Cons_Decons'!$F:$F)&gt;='Discount Scheme Target'!$H$4,_xlfn.XLOOKUP(Workings!$E26,'Discount Scheme Target'!$B:$B,'Discount Scheme Target'!$H:$H,0,0),0)</f>
        <v>0</v>
      </c>
      <c r="L26" s="72">
        <f>IF(INDEX('TT Around time'!$A$1:$F$46,MATCH($A26,'TT Around time'!$A:$A,0),6)&gt;='Discount Scheme Target'!$I$4,_xlfn.XLOOKUP(Workings!$E26,'Discount Scheme Target'!$B:$B,'Discount Scheme Target'!$I:$I,0,0),0)</f>
        <v>0</v>
      </c>
      <c r="M26" s="72">
        <f t="shared" si="0"/>
        <v>0</v>
      </c>
      <c r="N26" s="62">
        <f t="shared" si="9"/>
        <v>0</v>
      </c>
      <c r="T26" s="61">
        <f t="shared" si="2"/>
        <v>0</v>
      </c>
      <c r="U26" s="61">
        <f t="shared" si="3"/>
        <v>0</v>
      </c>
      <c r="V26" s="61">
        <f t="shared" si="4"/>
        <v>0</v>
      </c>
      <c r="W26" s="61">
        <f t="shared" si="5"/>
        <v>0</v>
      </c>
      <c r="X26" s="61">
        <f t="shared" si="6"/>
        <v>0</v>
      </c>
      <c r="Y26" s="61">
        <f t="shared" si="7"/>
        <v>0</v>
      </c>
    </row>
    <row r="27" spans="1:25" x14ac:dyDescent="0.25">
      <c r="A27" s="51">
        <v>1010601015</v>
      </c>
      <c r="B27" s="51" t="s">
        <v>75</v>
      </c>
      <c r="C27" s="51" t="s">
        <v>140</v>
      </c>
      <c r="D27" s="51" t="s">
        <v>141</v>
      </c>
      <c r="E27" s="51" t="s">
        <v>131</v>
      </c>
      <c r="F27" s="52">
        <f>SUMIF('Customer Budget Per Category'!$A:$A,$A27,'Customer Budget Per Category'!$H:$H)</f>
        <v>1163.6390264124177</v>
      </c>
      <c r="G27" s="52">
        <f>SUMIFS('Navision sales Dump'!$E:$E,'Navision sales Dump'!$K:$K,$E27,'Navision sales Dump'!$A:$A,$A27)</f>
        <v>629</v>
      </c>
      <c r="H27" s="62">
        <f>SUMIFS('Navision sales Dump'!$G:$G,'Navision sales Dump'!$K:$K,$E27,'Navision sales Dump'!$A:$A,$A27)</f>
        <v>26920737.399999999</v>
      </c>
      <c r="I27" s="72">
        <f>IFERROR(IF(($G27/$F27)&gt;='Discount Scheme Target'!$F$4,_xlfn.XLOOKUP($E27,'Discount Scheme Target'!$B:$B,'Discount Scheme Target'!$F:$F,0,0),IF(($G27/$F27)&gt;='Discount Scheme Target'!$E$4,_xlfn.XLOOKUP($E27,'Discount Scheme Target'!$B:$B,'Discount Scheme Target'!$E:$E,0,0),IF(($G27/$F27)&gt;='Discount Scheme Target'!$D$4,_xlfn.XLOOKUP($E27,'Discount Scheme Target'!$B:$B,'Discount Scheme Target'!$D:$D,0,0),0))),0)</f>
        <v>0</v>
      </c>
      <c r="J27" s="72">
        <f>IF(SUMIF('Customer Num Distr.'!$A:$A,Workings!$A27,'Customer Num Distr.'!$E:$E)&gt;='Discount Scheme Target'!$G$4,_xlfn.XLOOKUP(Workings!$E27,'Discount Scheme Target'!$B:$B,'Discount Scheme Target'!$G:$G,0,0),0)</f>
        <v>0</v>
      </c>
      <c r="K27" s="72">
        <f>IF(SUMIF('Bouclage EG Cust Cons_Decons'!$A:$A,Workings!$A27,'Bouclage EG Cust Cons_Decons'!$F:$F)&gt;='Discount Scheme Target'!$H$4,_xlfn.XLOOKUP(Workings!$E27,'Discount Scheme Target'!$B:$B,'Discount Scheme Target'!$H:$H,0,0),0)</f>
        <v>0</v>
      </c>
      <c r="L27" s="72">
        <f>IF(INDEX('TT Around time'!$A$1:$F$46,MATCH($A27,'TT Around time'!$A:$A,0),6)&gt;='Discount Scheme Target'!$I$4,_xlfn.XLOOKUP(Workings!$E27,'Discount Scheme Target'!$B:$B,'Discount Scheme Target'!$I:$I,0,0),0)</f>
        <v>0</v>
      </c>
      <c r="M27" s="72">
        <f t="shared" si="0"/>
        <v>0</v>
      </c>
      <c r="N27" s="62">
        <f t="shared" si="9"/>
        <v>0</v>
      </c>
      <c r="T27" s="61">
        <f t="shared" si="2"/>
        <v>0</v>
      </c>
      <c r="U27" s="61">
        <f t="shared" si="3"/>
        <v>0</v>
      </c>
      <c r="V27" s="61">
        <f t="shared" si="4"/>
        <v>0</v>
      </c>
      <c r="W27" s="61">
        <f t="shared" si="5"/>
        <v>0</v>
      </c>
      <c r="X27" s="61">
        <f t="shared" si="6"/>
        <v>0</v>
      </c>
      <c r="Y27" s="61">
        <f t="shared" si="7"/>
        <v>0</v>
      </c>
    </row>
    <row r="28" spans="1:25" x14ac:dyDescent="0.25">
      <c r="A28" s="51">
        <v>1010601015</v>
      </c>
      <c r="B28" s="51" t="s">
        <v>75</v>
      </c>
      <c r="C28" s="51" t="s">
        <v>140</v>
      </c>
      <c r="D28" s="51" t="s">
        <v>141</v>
      </c>
      <c r="E28" s="51" t="s">
        <v>514</v>
      </c>
      <c r="F28" s="52">
        <f>SUMIF('Customer Budget Per Category'!$A:$A,$A28,'Customer Budget Per Category'!$I:$I)</f>
        <v>7591.0435584498509</v>
      </c>
      <c r="G28" s="52">
        <f>SUMIFS('Navision sales Dump'!$E:$E,'Navision sales Dump'!$K:$K,$E28,'Navision sales Dump'!$A:$A,$A28)</f>
        <v>10476</v>
      </c>
      <c r="H28" s="62">
        <f>SUMIFS('Navision sales Dump'!$G:$G,'Navision sales Dump'!$K:$K,$E28,'Navision sales Dump'!$A:$A,$A28)</f>
        <v>41464322.280000001</v>
      </c>
      <c r="I28" s="72">
        <f>IFERROR(IF(($G28/$F28)&gt;='Discount Scheme Target'!$F$4,_xlfn.XLOOKUP($E28,'Discount Scheme Target'!$B:$B,'Discount Scheme Target'!$F:$F,0,0),IF(($G28/$F28)&gt;='Discount Scheme Target'!$E$4,_xlfn.XLOOKUP($E28,'Discount Scheme Target'!$B:$B,'Discount Scheme Target'!$E:$E,0,0),IF(($G28/$F28)&gt;='Discount Scheme Target'!$D$4,_xlfn.XLOOKUP($E28,'Discount Scheme Target'!$B:$B,'Discount Scheme Target'!$D:$D,0,0),0))),0)</f>
        <v>0.04</v>
      </c>
      <c r="J28" s="72">
        <f>IF(SUMIF('Customer Num Distr.'!$A:$A,Workings!$A28,'Customer Num Distr.'!$E:$E)&gt;='Discount Scheme Target'!$G$4,_xlfn.XLOOKUP(Workings!$E28,'Discount Scheme Target'!$B:$B,'Discount Scheme Target'!$G:$G,0,0),0)</f>
        <v>0</v>
      </c>
      <c r="K28" s="72">
        <f>IF(SUMIF('Bouclage EG Cust Cons_Decons'!$A:$A,Workings!$A28,'Bouclage EG Cust Cons_Decons'!$F:$F)&gt;='Discount Scheme Target'!$H$4,_xlfn.XLOOKUP(Workings!$E28,'Discount Scheme Target'!$B:$B,'Discount Scheme Target'!$H:$H,0,0),0)</f>
        <v>0</v>
      </c>
      <c r="L28" s="72">
        <f>IF(INDEX('TT Around time'!$A$1:$F$46,MATCH($A28,'TT Around time'!$A:$A,0),6)&gt;='Discount Scheme Target'!$I$4,_xlfn.XLOOKUP(Workings!$E28,'Discount Scheme Target'!$B:$B,'Discount Scheme Target'!$I:$I,0,0),0)</f>
        <v>0</v>
      </c>
      <c r="M28" s="72">
        <f t="shared" si="0"/>
        <v>0.04</v>
      </c>
      <c r="N28" s="62">
        <f t="shared" si="9"/>
        <v>1201823.1254260505</v>
      </c>
      <c r="T28" s="61">
        <f t="shared" si="2"/>
        <v>1201823.1254260505</v>
      </c>
      <c r="U28" s="61">
        <f t="shared" si="3"/>
        <v>0</v>
      </c>
      <c r="V28" s="61">
        <f t="shared" si="4"/>
        <v>0</v>
      </c>
      <c r="W28" s="61">
        <f t="shared" si="5"/>
        <v>0</v>
      </c>
      <c r="X28" s="61">
        <f t="shared" si="6"/>
        <v>1201823.1254260505</v>
      </c>
      <c r="Y28" s="61">
        <f t="shared" si="7"/>
        <v>0</v>
      </c>
    </row>
    <row r="29" spans="1:25" x14ac:dyDescent="0.25">
      <c r="A29" s="51">
        <v>1010601015</v>
      </c>
      <c r="B29" s="51" t="s">
        <v>75</v>
      </c>
      <c r="C29" s="51" t="s">
        <v>140</v>
      </c>
      <c r="D29" s="51" t="s">
        <v>141</v>
      </c>
      <c r="E29" s="51" t="s">
        <v>515</v>
      </c>
      <c r="F29" s="52">
        <f>SUMIF('Customer Budget Per Category'!$A:$A,$A29,'Customer Budget Per Category'!$J:$J)</f>
        <v>936.86403305447652</v>
      </c>
      <c r="G29" s="52">
        <f>SUMIFS('Navision sales Dump'!$E:$E,'Navision sales Dump'!$K:$K,$E29,'Navision sales Dump'!$A:$A,$A29)</f>
        <v>2144</v>
      </c>
      <c r="H29" s="62">
        <f>SUMIFS('Navision sales Dump'!$G:$G,'Navision sales Dump'!$K:$K,$E29,'Navision sales Dump'!$A:$A,$A29)</f>
        <v>6052297.5999999996</v>
      </c>
      <c r="I29" s="72">
        <f>IFERROR(IF(($G29/$F29)&gt;='Discount Scheme Target'!$F$4,_xlfn.XLOOKUP($E29,'Discount Scheme Target'!$B:$B,'Discount Scheme Target'!$F:$F,0,0),IF(($G29/$F29)&gt;='Discount Scheme Target'!$E$4,_xlfn.XLOOKUP($E29,'Discount Scheme Target'!$B:$B,'Discount Scheme Target'!$E:$E,0,0),IF(($G29/$F29)&gt;='Discount Scheme Target'!$D$4,_xlfn.XLOOKUP($E29,'Discount Scheme Target'!$B:$B,'Discount Scheme Target'!$D:$D,0,0),0))),0)</f>
        <v>0.03</v>
      </c>
      <c r="J29" s="72">
        <f>IF(SUMIF('Customer Num Distr.'!$A:$A,Workings!$A29,'Customer Num Distr.'!$E:$E)&gt;='Discount Scheme Target'!$G$4,_xlfn.XLOOKUP(Workings!$E29,'Discount Scheme Target'!$B:$B,'Discount Scheme Target'!$G:$G,0,0),0)</f>
        <v>0</v>
      </c>
      <c r="K29" s="72">
        <f>IF(SUMIF('Bouclage EG Cust Cons_Decons'!$A:$A,Workings!$A29,'Bouclage EG Cust Cons_Decons'!$F:$F)&gt;='Discount Scheme Target'!$H$4,_xlfn.XLOOKUP(Workings!$E29,'Discount Scheme Target'!$B:$B,'Discount Scheme Target'!$H:$H,0,0),0)</f>
        <v>0</v>
      </c>
      <c r="L29" s="72">
        <f>IF(INDEX('TT Around time'!$A$1:$F$46,MATCH($A29,'TT Around time'!$A:$A,0),6)&gt;='Discount Scheme Target'!$I$4,_xlfn.XLOOKUP(Workings!$E29,'Discount Scheme Target'!$B:$B,'Discount Scheme Target'!$I:$I,0,0),0)</f>
        <v>0</v>
      </c>
      <c r="M29" s="72">
        <f t="shared" si="0"/>
        <v>0.03</v>
      </c>
      <c r="N29" s="62">
        <f t="shared" si="9"/>
        <v>79340.20436728443</v>
      </c>
      <c r="T29" s="61">
        <f t="shared" si="2"/>
        <v>79340.20436728443</v>
      </c>
      <c r="U29" s="61">
        <f t="shared" si="3"/>
        <v>0</v>
      </c>
      <c r="V29" s="61">
        <f t="shared" si="4"/>
        <v>0</v>
      </c>
      <c r="W29" s="61">
        <f t="shared" si="5"/>
        <v>0</v>
      </c>
      <c r="X29" s="61">
        <f t="shared" si="6"/>
        <v>79340.20436728443</v>
      </c>
      <c r="Y29" s="61">
        <f t="shared" si="7"/>
        <v>0</v>
      </c>
    </row>
    <row r="30" spans="1:25" x14ac:dyDescent="0.25">
      <c r="A30" s="51">
        <v>1010601015</v>
      </c>
      <c r="B30" s="51" t="s">
        <v>75</v>
      </c>
      <c r="C30" s="51" t="s">
        <v>140</v>
      </c>
      <c r="D30" s="51" t="s">
        <v>141</v>
      </c>
      <c r="E30" s="51" t="s">
        <v>161</v>
      </c>
      <c r="F30" s="52">
        <f>SUMIF('Customer Budget Per Category'!$A:$A,$A30,'Customer Budget Per Category'!$K:$K)</f>
        <v>0</v>
      </c>
      <c r="G30" s="52">
        <f>SUMIFS('Navision sales Dump'!$E:$E,'Navision sales Dump'!$K:$K,$E30,'Navision sales Dump'!$A:$A,$A30)</f>
        <v>0</v>
      </c>
      <c r="H30" s="62">
        <f>SUMIFS('Navision sales Dump'!$G:$G,'Navision sales Dump'!$K:$K,$E30,'Navision sales Dump'!$A:$A,$A30)</f>
        <v>0</v>
      </c>
      <c r="I30" s="72">
        <f>IFERROR(IF(($G30/$F30)&gt;='Discount Scheme Target'!$F$4,_xlfn.XLOOKUP($E30,'Discount Scheme Target'!$B:$B,'Discount Scheme Target'!$F:$F,0,0),IF(($G30/$F30)&gt;='Discount Scheme Target'!$E$4,_xlfn.XLOOKUP($E30,'Discount Scheme Target'!$B:$B,'Discount Scheme Target'!$E:$E,0,0),IF(($G30/$F30)&gt;='Discount Scheme Target'!$D$4,_xlfn.XLOOKUP($E30,'Discount Scheme Target'!$B:$B,'Discount Scheme Target'!$D:$D,0,0),0))),0)</f>
        <v>0</v>
      </c>
      <c r="J30" s="72">
        <f>IF(SUMIF('Customer Num Distr.'!$A:$A,Workings!$A30,'Customer Num Distr.'!$E:$E)&gt;='Discount Scheme Target'!$G$4,_xlfn.XLOOKUP(Workings!$E30,'Discount Scheme Target'!$B:$B,'Discount Scheme Target'!$G:$G,0,0),0)</f>
        <v>0</v>
      </c>
      <c r="K30" s="72">
        <f>IF(SUMIF('Bouclage EG Cust Cons_Decons'!$A:$A,Workings!$A30,'Bouclage EG Cust Cons_Decons'!$F:$F)&gt;='Discount Scheme Target'!$H$4,_xlfn.XLOOKUP(Workings!$E30,'Discount Scheme Target'!$B:$B,'Discount Scheme Target'!$H:$H,0,0),0)</f>
        <v>0</v>
      </c>
      <c r="L30" s="72">
        <f>IF(INDEX('TT Around time'!$A$1:$F$46,MATCH($A30,'TT Around time'!$A:$A,0),6)&gt;='Discount Scheme Target'!$I$4,_xlfn.XLOOKUP(Workings!$E30,'Discount Scheme Target'!$B:$B,'Discount Scheme Target'!$I:$I,0,0),0)</f>
        <v>0</v>
      </c>
      <c r="M30" s="72">
        <f t="shared" si="0"/>
        <v>0</v>
      </c>
      <c r="N30" s="62">
        <f t="shared" si="9"/>
        <v>0</v>
      </c>
      <c r="T30" s="61">
        <f t="shared" si="2"/>
        <v>0</v>
      </c>
      <c r="U30" s="61">
        <f t="shared" si="3"/>
        <v>0</v>
      </c>
      <c r="V30" s="61">
        <f t="shared" si="4"/>
        <v>0</v>
      </c>
      <c r="W30" s="61">
        <f t="shared" si="5"/>
        <v>0</v>
      </c>
      <c r="X30" s="61">
        <f t="shared" si="6"/>
        <v>0</v>
      </c>
      <c r="Y30" s="61">
        <f t="shared" si="7"/>
        <v>0</v>
      </c>
    </row>
    <row r="31" spans="1:25" x14ac:dyDescent="0.25">
      <c r="A31" s="51">
        <v>1010601015</v>
      </c>
      <c r="B31" s="51" t="s">
        <v>75</v>
      </c>
      <c r="C31" s="51" t="s">
        <v>140</v>
      </c>
      <c r="D31" s="51" t="s">
        <v>141</v>
      </c>
      <c r="E31" s="51" t="s">
        <v>354</v>
      </c>
      <c r="F31" s="52">
        <f>SUMIF('Customer Budget Per Category'!$A:$A,$A31,'Customer Budget Per Category'!$L:$L)</f>
        <v>3201.0490650274032</v>
      </c>
      <c r="G31" s="52">
        <f>SUMIFS('Navision sales Dump'!$E:$E,'Navision sales Dump'!$K:$K,$E31,'Navision sales Dump'!$A:$A,$A31)</f>
        <v>3658</v>
      </c>
      <c r="H31" s="62">
        <f>SUMIFS('Navision sales Dump'!$G:$G,'Navision sales Dump'!$K:$K,$E31,'Navision sales Dump'!$A:$A,$A31)</f>
        <v>12395895.549999999</v>
      </c>
      <c r="I31" s="72">
        <f>IFERROR(IF(($G31/$F31)&gt;='Discount Scheme Target'!$F$4,_xlfn.XLOOKUP($E31,'Discount Scheme Target'!$B:$B,'Discount Scheme Target'!$F:$F,0,0),IF(($G31/$F31)&gt;='Discount Scheme Target'!$E$4,_xlfn.XLOOKUP($E31,'Discount Scheme Target'!$B:$B,'Discount Scheme Target'!$E:$E,0,0),IF(($G31/$F31)&gt;='Discount Scheme Target'!$D$4,_xlfn.XLOOKUP($E31,'Discount Scheme Target'!$B:$B,'Discount Scheme Target'!$D:$D,0,0),0))),0)</f>
        <v>0.03</v>
      </c>
      <c r="J31" s="72">
        <f>IF(SUMIF('Customer Num Distr.'!$A:$A,Workings!$A31,'Customer Num Distr.'!$E:$E)&gt;='Discount Scheme Target'!$G$4,_xlfn.XLOOKUP(Workings!$E31,'Discount Scheme Target'!$B:$B,'Discount Scheme Target'!$G:$G,0,0),0)</f>
        <v>0</v>
      </c>
      <c r="K31" s="72">
        <f>IF(SUMIF('Bouclage EG Cust Cons_Decons'!$A:$A,Workings!$A31,'Bouclage EG Cust Cons_Decons'!$F:$F)&gt;='Discount Scheme Target'!$H$4,_xlfn.XLOOKUP(Workings!$E31,'Discount Scheme Target'!$B:$B,'Discount Scheme Target'!$H:$H,0,0),0)</f>
        <v>0</v>
      </c>
      <c r="L31" s="72">
        <f>IF(INDEX('TT Around time'!$A$1:$F$46,MATCH($A31,'TT Around time'!$A:$A,0),6)&gt;='Discount Scheme Target'!$I$4,_xlfn.XLOOKUP(Workings!$E31,'Discount Scheme Target'!$B:$B,'Discount Scheme Target'!$I:$I,0,0),0)</f>
        <v>0</v>
      </c>
      <c r="M31" s="72">
        <f t="shared" si="0"/>
        <v>0.03</v>
      </c>
      <c r="N31" s="62">
        <f t="shared" si="9"/>
        <v>325422.66151316167</v>
      </c>
      <c r="T31" s="61">
        <f t="shared" si="2"/>
        <v>325422.66151316167</v>
      </c>
      <c r="U31" s="61">
        <f t="shared" si="3"/>
        <v>0</v>
      </c>
      <c r="V31" s="61">
        <f t="shared" si="4"/>
        <v>0</v>
      </c>
      <c r="W31" s="61">
        <f t="shared" si="5"/>
        <v>0</v>
      </c>
      <c r="X31" s="61">
        <f t="shared" si="6"/>
        <v>325422.66151316167</v>
      </c>
      <c r="Y31" s="61">
        <f t="shared" si="7"/>
        <v>0</v>
      </c>
    </row>
    <row r="32" spans="1:25" x14ac:dyDescent="0.25">
      <c r="A32" s="51">
        <v>1010601015</v>
      </c>
      <c r="B32" s="51" t="s">
        <v>75</v>
      </c>
      <c r="C32" s="51" t="s">
        <v>140</v>
      </c>
      <c r="D32" s="51" t="s">
        <v>141</v>
      </c>
      <c r="E32" s="51" t="s">
        <v>355</v>
      </c>
      <c r="F32" s="52">
        <f>SUMIF('Customer Budget Per Category'!$A:$A,$A32,'Customer Budget Per Category'!$M:$M)</f>
        <v>1861.3560649600083</v>
      </c>
      <c r="G32" s="52">
        <f>SUMIFS('Navision sales Dump'!$E:$E,'Navision sales Dump'!$K:$K,$E32,'Navision sales Dump'!$A:$A,$A32)</f>
        <v>1985</v>
      </c>
      <c r="H32" s="62">
        <f>SUMIFS('Navision sales Dump'!$G:$G,'Navision sales Dump'!$K:$K,$E32,'Navision sales Dump'!$A:$A,$A32)</f>
        <v>4974355.3</v>
      </c>
      <c r="I32" s="72">
        <f>IFERROR(IF(($G32/$F32)&gt;='Discount Scheme Target'!$F$4,_xlfn.XLOOKUP($E32,'Discount Scheme Target'!$B:$B,'Discount Scheme Target'!$F:$F,0,0),IF(($G32/$F32)&gt;='Discount Scheme Target'!$E$4,_xlfn.XLOOKUP($E32,'Discount Scheme Target'!$B:$B,'Discount Scheme Target'!$E:$E,0,0),IF(($G32/$F32)&gt;='Discount Scheme Target'!$D$4,_xlfn.XLOOKUP($E32,'Discount Scheme Target'!$B:$B,'Discount Scheme Target'!$D:$D,0,0),0))),0)</f>
        <v>0.03</v>
      </c>
      <c r="J32" s="72">
        <f>IF(SUMIF('Customer Num Distr.'!$A:$A,Workings!$A32,'Customer Num Distr.'!$E:$E)&gt;='Discount Scheme Target'!$G$4,_xlfn.XLOOKUP(Workings!$E32,'Discount Scheme Target'!$B:$B,'Discount Scheme Target'!$G:$G,0,0),0)</f>
        <v>0</v>
      </c>
      <c r="K32" s="72">
        <f>IF(SUMIF('Bouclage EG Cust Cons_Decons'!$A:$A,Workings!$A32,'Bouclage EG Cust Cons_Decons'!$F:$F)&gt;='Discount Scheme Target'!$H$4,_xlfn.XLOOKUP(Workings!$E32,'Discount Scheme Target'!$B:$B,'Discount Scheme Target'!$H:$H,0,0),0)</f>
        <v>0</v>
      </c>
      <c r="L32" s="72">
        <f>IF(INDEX('TT Around time'!$A$1:$F$46,MATCH($A32,'TT Around time'!$A:$A,0),6)&gt;='Discount Scheme Target'!$I$4,_xlfn.XLOOKUP(Workings!$E32,'Discount Scheme Target'!$B:$B,'Discount Scheme Target'!$I:$I,0,0),0)</f>
        <v>0</v>
      </c>
      <c r="M32" s="72">
        <f t="shared" si="0"/>
        <v>0.03</v>
      </c>
      <c r="N32" s="62">
        <f t="shared" si="9"/>
        <v>139935.21018016568</v>
      </c>
      <c r="T32" s="61">
        <f t="shared" si="2"/>
        <v>139935.21018016568</v>
      </c>
      <c r="U32" s="61">
        <f t="shared" si="3"/>
        <v>0</v>
      </c>
      <c r="V32" s="61">
        <f t="shared" si="4"/>
        <v>0</v>
      </c>
      <c r="W32" s="61">
        <f t="shared" si="5"/>
        <v>0</v>
      </c>
      <c r="X32" s="61">
        <f t="shared" si="6"/>
        <v>139935.21018016568</v>
      </c>
      <c r="Y32" s="61">
        <f t="shared" si="7"/>
        <v>0</v>
      </c>
    </row>
    <row r="33" spans="1:25" x14ac:dyDescent="0.25">
      <c r="A33" s="51">
        <v>1010601015</v>
      </c>
      <c r="B33" s="51" t="s">
        <v>75</v>
      </c>
      <c r="C33" s="51" t="s">
        <v>140</v>
      </c>
      <c r="D33" s="51" t="s">
        <v>141</v>
      </c>
      <c r="E33" s="51" t="s">
        <v>132</v>
      </c>
      <c r="F33" s="52">
        <f>SUMIF('Customer Budget Per Category'!$A:$A,$A33,'Customer Budget Per Category'!$N:$N)</f>
        <v>1453.2223633788308</v>
      </c>
      <c r="G33" s="52">
        <f>SUMIFS('Navision sales Dump'!$E:$E,'Navision sales Dump'!$K:$K,$E33,'Navision sales Dump'!$A:$A,$A33)</f>
        <v>0</v>
      </c>
      <c r="H33" s="62">
        <f>SUMIFS('Navision sales Dump'!$G:$G,'Navision sales Dump'!$K:$K,$E33,'Navision sales Dump'!$A:$A,$A33)</f>
        <v>0</v>
      </c>
      <c r="I33" s="72">
        <f>IFERROR(IF(($G33/$F33)&gt;='Discount Scheme Target'!$F$4,_xlfn.XLOOKUP($E33,'Discount Scheme Target'!$B:$B,'Discount Scheme Target'!$F:$F,0,0),IF(($G33/$F33)&gt;='Discount Scheme Target'!$E$4,_xlfn.XLOOKUP($E33,'Discount Scheme Target'!$B:$B,'Discount Scheme Target'!$E:$E,0,0),IF(($G33/$F33)&gt;='Discount Scheme Target'!$D$4,_xlfn.XLOOKUP($E33,'Discount Scheme Target'!$B:$B,'Discount Scheme Target'!$D:$D,0,0),0))),0)</f>
        <v>0</v>
      </c>
      <c r="J33" s="72">
        <f>IF(SUMIF('Customer Num Distr.'!$A:$A,Workings!$A33,'Customer Num Distr.'!$E:$E)&gt;='Discount Scheme Target'!$G$4,_xlfn.XLOOKUP(Workings!$E33,'Discount Scheme Target'!$B:$B,'Discount Scheme Target'!$G:$G,0,0),0)</f>
        <v>0</v>
      </c>
      <c r="K33" s="72">
        <f>IF(SUMIF('Bouclage EG Cust Cons_Decons'!$A:$A,Workings!$A33,'Bouclage EG Cust Cons_Decons'!$F:$F)&gt;='Discount Scheme Target'!$H$4,_xlfn.XLOOKUP(Workings!$E33,'Discount Scheme Target'!$B:$B,'Discount Scheme Target'!$H:$H,0,0),0)</f>
        <v>0</v>
      </c>
      <c r="L33" s="72">
        <f>IF(INDEX('TT Around time'!$A$1:$F$46,MATCH($A33,'TT Around time'!$A:$A,0),6)&gt;='Discount Scheme Target'!$I$4,_xlfn.XLOOKUP(Workings!$E33,'Discount Scheme Target'!$B:$B,'Discount Scheme Target'!$I:$I,0,0),0)</f>
        <v>0</v>
      </c>
      <c r="M33" s="72">
        <f t="shared" si="0"/>
        <v>0</v>
      </c>
      <c r="N33" s="62">
        <f>IFERROR((H33/G33)*F33*M33,)</f>
        <v>0</v>
      </c>
      <c r="T33" s="61">
        <f t="shared" si="2"/>
        <v>0</v>
      </c>
      <c r="U33" s="61">
        <f t="shared" si="3"/>
        <v>0</v>
      </c>
      <c r="V33" s="61">
        <f t="shared" si="4"/>
        <v>0</v>
      </c>
      <c r="W33" s="61">
        <f t="shared" si="5"/>
        <v>0</v>
      </c>
      <c r="X33" s="61">
        <f t="shared" si="6"/>
        <v>0</v>
      </c>
      <c r="Y33" s="61">
        <f t="shared" si="7"/>
        <v>0</v>
      </c>
    </row>
    <row r="34" spans="1:25" x14ac:dyDescent="0.25">
      <c r="A34" s="51">
        <v>1010601015</v>
      </c>
      <c r="B34" s="51" t="s">
        <v>75</v>
      </c>
      <c r="C34" s="51" t="s">
        <v>140</v>
      </c>
      <c r="D34" s="51" t="s">
        <v>141</v>
      </c>
      <c r="E34" s="51" t="s">
        <v>133</v>
      </c>
      <c r="F34" s="52">
        <f>SUMIF('Customer Budget Per Category'!$A:$A,$A34,'Customer Budget Per Category'!$O:$O)</f>
        <v>496.25996688662349</v>
      </c>
      <c r="G34" s="52">
        <f>SUMIFS('Navision sales Dump'!$E:$E,'Navision sales Dump'!$K:$K,$E34,'Navision sales Dump'!$A:$A,$A34)</f>
        <v>1212</v>
      </c>
      <c r="H34" s="62">
        <f>SUMIFS('Navision sales Dump'!$G:$G,'Navision sales Dump'!$K:$K,$E34,'Navision sales Dump'!$A:$A,$A34)</f>
        <v>12153184.559999999</v>
      </c>
      <c r="I34" s="72">
        <f>IFERROR(IF(($G34/$F34)&gt;='Discount Scheme Target'!$F$4,_xlfn.XLOOKUP($E34,'Discount Scheme Target'!$B:$B,'Discount Scheme Target'!$F:$F,0,0),IF(($G34/$F34)&gt;='Discount Scheme Target'!$E$4,_xlfn.XLOOKUP($E34,'Discount Scheme Target'!$B:$B,'Discount Scheme Target'!$E:$E,0,0),IF(($G34/$F34)&gt;='Discount Scheme Target'!$D$4,_xlfn.XLOOKUP($E34,'Discount Scheme Target'!$B:$B,'Discount Scheme Target'!$D:$D,0,0),0))),0)</f>
        <v>0.04</v>
      </c>
      <c r="J34" s="72">
        <f>IF(SUMIF('Customer Num Distr.'!$A:$A,Workings!$A34,'Customer Num Distr.'!$E:$E)&gt;='Discount Scheme Target'!$G$4,_xlfn.XLOOKUP(Workings!$E34,'Discount Scheme Target'!$B:$B,'Discount Scheme Target'!$G:$G,0,0),0)</f>
        <v>0</v>
      </c>
      <c r="K34" s="72">
        <f>IF(SUMIF('Bouclage EG Cust Cons_Decons'!$A:$A,Workings!$A34,'Bouclage EG Cust Cons_Decons'!$F:$F)&gt;='Discount Scheme Target'!$H$4,_xlfn.XLOOKUP(Workings!$E34,'Discount Scheme Target'!$B:$B,'Discount Scheme Target'!$H:$H,0,0),0)</f>
        <v>0</v>
      </c>
      <c r="L34" s="72">
        <f>IF(INDEX('TT Around time'!$A$1:$F$46,MATCH($A34,'TT Around time'!$A:$A,0),6)&gt;='Discount Scheme Target'!$I$4,_xlfn.XLOOKUP(Workings!$E34,'Discount Scheme Target'!$B:$B,'Discount Scheme Target'!$I:$I,0,0),0)</f>
        <v>0</v>
      </c>
      <c r="M34" s="72">
        <f t="shared" si="0"/>
        <v>0.04</v>
      </c>
      <c r="N34" s="62">
        <f>IFERROR((H34/G34)*F34*M34,)</f>
        <v>199047.49067038362</v>
      </c>
      <c r="T34" s="61">
        <f t="shared" si="2"/>
        <v>199047.49067038362</v>
      </c>
      <c r="U34" s="61">
        <f t="shared" si="3"/>
        <v>0</v>
      </c>
      <c r="V34" s="61">
        <f t="shared" si="4"/>
        <v>0</v>
      </c>
      <c r="W34" s="61">
        <f t="shared" si="5"/>
        <v>0</v>
      </c>
      <c r="X34" s="61">
        <f t="shared" si="6"/>
        <v>199047.49067038362</v>
      </c>
      <c r="Y34" s="61">
        <f t="shared" si="7"/>
        <v>0</v>
      </c>
    </row>
    <row r="35" spans="1:25" x14ac:dyDescent="0.25">
      <c r="A35" s="51">
        <v>1010410048</v>
      </c>
      <c r="B35" s="51" t="s">
        <v>72</v>
      </c>
      <c r="C35" s="51" t="s">
        <v>140</v>
      </c>
      <c r="D35" s="51" t="s">
        <v>141</v>
      </c>
      <c r="E35" s="51" t="s">
        <v>417</v>
      </c>
      <c r="F35" s="52">
        <f>SUMIF('Customer Budget Per Category'!$A:$A,$A35,'Customer Budget Per Category'!$E:$E)</f>
        <v>17085.368153231473</v>
      </c>
      <c r="G35" s="52">
        <f>SUMIFS('Navision sales Dump'!$E:$E,'Navision sales Dump'!$K:$K,$E35,'Navision sales Dump'!$A:$A,$A35)</f>
        <v>12240</v>
      </c>
      <c r="H35" s="62">
        <f>SUMIFS('Navision sales Dump'!$G:$G,'Navision sales Dump'!$K:$K,$E35,'Navision sales Dump'!$A:$A,$A35)</f>
        <v>89204291.070000008</v>
      </c>
      <c r="I35" s="72">
        <f>IFERROR(IF(($G35/$F35)&gt;='Discount Scheme Target'!$F$4,_xlfn.XLOOKUP($E35,'Discount Scheme Target'!$B:$B,'Discount Scheme Target'!$F:$F,0,0),IF(($G35/$F35)&gt;='Discount Scheme Target'!$E$4,_xlfn.XLOOKUP($E35,'Discount Scheme Target'!$B:$B,'Discount Scheme Target'!$E:$E,0,0),IF(($G35/$F35)&gt;='Discount Scheme Target'!$D$4,_xlfn.XLOOKUP($E35,'Discount Scheme Target'!$B:$B,'Discount Scheme Target'!$D:$D,0,0),0))),0)</f>
        <v>0</v>
      </c>
      <c r="J35" s="72">
        <f>IF(SUMIF('Customer Num Distr.'!$A:$A,Workings!$A35,'Customer Num Distr.'!$E:$E)&gt;='Discount Scheme Target'!$G$4,_xlfn.XLOOKUP(Workings!$E35,'Discount Scheme Target'!$B:$B,'Discount Scheme Target'!$G:$G,0,0),0)</f>
        <v>0</v>
      </c>
      <c r="K35" s="72">
        <f>IF(SUMIF('Bouclage EG Cust Cons_Decons'!$A:$A,Workings!$A35,'Bouclage EG Cust Cons_Decons'!$F:$F)&gt;='Discount Scheme Target'!$H$4,_xlfn.XLOOKUP(Workings!$E35,'Discount Scheme Target'!$B:$B,'Discount Scheme Target'!$H:$H,0,0),0)</f>
        <v>0</v>
      </c>
      <c r="L35" s="72">
        <f>IF(INDEX('TT Around time'!$A$1:$F$46,MATCH($A35,'TT Around time'!$A:$A,0),6)&gt;='Discount Scheme Target'!$I$4,_xlfn.XLOOKUP(Workings!$E35,'Discount Scheme Target'!$B:$B,'Discount Scheme Target'!$I:$I,0,0),0)</f>
        <v>0.01</v>
      </c>
      <c r="M35" s="72">
        <f t="shared" si="0"/>
        <v>0.01</v>
      </c>
      <c r="N35" s="62">
        <f>IFERROR((H35/G35)*F35*M35,)</f>
        <v>1245170.0602769353</v>
      </c>
      <c r="T35" s="61">
        <f t="shared" si="2"/>
        <v>0</v>
      </c>
      <c r="U35" s="61">
        <f t="shared" si="3"/>
        <v>0</v>
      </c>
      <c r="V35" s="61">
        <f t="shared" si="4"/>
        <v>0</v>
      </c>
      <c r="W35" s="61">
        <f t="shared" si="5"/>
        <v>1245170.0602769353</v>
      </c>
      <c r="X35" s="61">
        <f t="shared" si="6"/>
        <v>1245170.0602769353</v>
      </c>
      <c r="Y35" s="61">
        <f t="shared" si="7"/>
        <v>0</v>
      </c>
    </row>
    <row r="36" spans="1:25" x14ac:dyDescent="0.25">
      <c r="A36" s="51">
        <v>1010410048</v>
      </c>
      <c r="B36" s="51" t="s">
        <v>72</v>
      </c>
      <c r="C36" s="51" t="s">
        <v>140</v>
      </c>
      <c r="D36" s="51" t="s">
        <v>141</v>
      </c>
      <c r="E36" s="51" t="s">
        <v>418</v>
      </c>
      <c r="F36" s="52">
        <f>SUMIF('Customer Budget Per Category'!$A:$A,$A36,'Customer Budget Per Category'!$F:$F)</f>
        <v>0</v>
      </c>
      <c r="G36" s="52">
        <f>SUMIFS('Navision sales Dump'!$E:$E,'Navision sales Dump'!$K:$K,$E36,'Navision sales Dump'!$A:$A,$A36)</f>
        <v>0</v>
      </c>
      <c r="H36" s="62">
        <f>SUMIFS('Navision sales Dump'!$G:$G,'Navision sales Dump'!$K:$K,$E36,'Navision sales Dump'!$A:$A,$A36)</f>
        <v>0</v>
      </c>
      <c r="I36" s="72">
        <f>IFERROR(IF(($G36/$F36)&gt;='Discount Scheme Target'!$F$4,_xlfn.XLOOKUP($E36,'Discount Scheme Target'!$B:$B,'Discount Scheme Target'!$F:$F,0,0),IF(($G36/$F36)&gt;='Discount Scheme Target'!$E$4,_xlfn.XLOOKUP($E36,'Discount Scheme Target'!$B:$B,'Discount Scheme Target'!$E:$E,0,0),IF(($G36/$F36)&gt;='Discount Scheme Target'!$D$4,_xlfn.XLOOKUP($E36,'Discount Scheme Target'!$B:$B,'Discount Scheme Target'!$D:$D,0,0),0))),0)</f>
        <v>0</v>
      </c>
      <c r="J36" s="72">
        <f>IF(SUMIF('Customer Num Distr.'!$A:$A,Workings!$A36,'Customer Num Distr.'!$E:$E)&gt;='Discount Scheme Target'!$G$4,_xlfn.XLOOKUP(Workings!$E36,'Discount Scheme Target'!$B:$B,'Discount Scheme Target'!$G:$G,0,0),0)</f>
        <v>0</v>
      </c>
      <c r="K36" s="72">
        <f>IF(SUMIF('Bouclage EG Cust Cons_Decons'!$A:$A,Workings!$A36,'Bouclage EG Cust Cons_Decons'!$F:$F)&gt;='Discount Scheme Target'!$H$4,_xlfn.XLOOKUP(Workings!$E36,'Discount Scheme Target'!$B:$B,'Discount Scheme Target'!$H:$H,0,0),0)</f>
        <v>0</v>
      </c>
      <c r="L36" s="72">
        <f>IF(INDEX('TT Around time'!$A$1:$F$46,MATCH($A36,'TT Around time'!$A:$A,0),6)&gt;='Discount Scheme Target'!$I$4,_xlfn.XLOOKUP(Workings!$E36,'Discount Scheme Target'!$B:$B,'Discount Scheme Target'!$I:$I,0,0),0)</f>
        <v>0</v>
      </c>
      <c r="M36" s="72">
        <f t="shared" si="0"/>
        <v>0</v>
      </c>
      <c r="N36" s="62">
        <f t="shared" ref="N36:N43" si="10">IFERROR((H36/G36)*F36*M36,)</f>
        <v>0</v>
      </c>
      <c r="T36" s="61">
        <f t="shared" si="2"/>
        <v>0</v>
      </c>
      <c r="U36" s="61">
        <f t="shared" si="3"/>
        <v>0</v>
      </c>
      <c r="V36" s="61">
        <f t="shared" si="4"/>
        <v>0</v>
      </c>
      <c r="W36" s="61">
        <f t="shared" si="5"/>
        <v>0</v>
      </c>
      <c r="X36" s="61">
        <f t="shared" si="6"/>
        <v>0</v>
      </c>
      <c r="Y36" s="61">
        <f t="shared" si="7"/>
        <v>0</v>
      </c>
    </row>
    <row r="37" spans="1:25" x14ac:dyDescent="0.25">
      <c r="A37" s="51">
        <v>1010410048</v>
      </c>
      <c r="B37" s="51" t="s">
        <v>72</v>
      </c>
      <c r="C37" s="51" t="s">
        <v>140</v>
      </c>
      <c r="D37" s="51" t="s">
        <v>141</v>
      </c>
      <c r="E37" s="51" t="s">
        <v>130</v>
      </c>
      <c r="F37" s="52">
        <f>SUMIF('Customer Budget Per Category'!$A:$A,$A37,'Customer Budget Per Category'!$G:$G)</f>
        <v>433.77761905052353</v>
      </c>
      <c r="G37" s="52">
        <f>SUMIFS('Navision sales Dump'!$E:$E,'Navision sales Dump'!$K:$K,$E37,'Navision sales Dump'!$A:$A,$A37)</f>
        <v>430</v>
      </c>
      <c r="H37" s="62">
        <f>SUMIFS('Navision sales Dump'!$G:$G,'Navision sales Dump'!$K:$K,$E37,'Navision sales Dump'!$A:$A,$A37)</f>
        <v>3321887.6</v>
      </c>
      <c r="I37" s="72">
        <f>IFERROR(IF(($G37/$F37)&gt;='Discount Scheme Target'!$F$4,_xlfn.XLOOKUP($E37,'Discount Scheme Target'!$B:$B,'Discount Scheme Target'!$F:$F,0,0),IF(($G37/$F37)&gt;='Discount Scheme Target'!$E$4,_xlfn.XLOOKUP($E37,'Discount Scheme Target'!$B:$B,'Discount Scheme Target'!$E:$E,0,0),IF(($G37/$F37)&gt;='Discount Scheme Target'!$D$4,_xlfn.XLOOKUP($E37,'Discount Scheme Target'!$B:$B,'Discount Scheme Target'!$D:$D,0,0),0))),0)</f>
        <v>0</v>
      </c>
      <c r="J37" s="72">
        <f>IF(SUMIF('Customer Num Distr.'!$A:$A,Workings!$A37,'Customer Num Distr.'!$E:$E)&gt;='Discount Scheme Target'!$G$4,_xlfn.XLOOKUP(Workings!$E37,'Discount Scheme Target'!$B:$B,'Discount Scheme Target'!$G:$G,0,0),0)</f>
        <v>0</v>
      </c>
      <c r="K37" s="72">
        <f>IF(SUMIF('Bouclage EG Cust Cons_Decons'!$A:$A,Workings!$A37,'Bouclage EG Cust Cons_Decons'!$F:$F)&gt;='Discount Scheme Target'!$H$4,_xlfn.XLOOKUP(Workings!$E37,'Discount Scheme Target'!$B:$B,'Discount Scheme Target'!$H:$H,0,0),0)</f>
        <v>0</v>
      </c>
      <c r="L37" s="72">
        <f>IF(INDEX('TT Around time'!$A$1:$F$46,MATCH($A37,'TT Around time'!$A:$A,0),6)&gt;='Discount Scheme Target'!$I$4,_xlfn.XLOOKUP(Workings!$E37,'Discount Scheme Target'!$B:$B,'Discount Scheme Target'!$I:$I,0,0),0)</f>
        <v>0.01</v>
      </c>
      <c r="M37" s="72">
        <f t="shared" si="0"/>
        <v>0.01</v>
      </c>
      <c r="N37" s="62">
        <f t="shared" si="10"/>
        <v>33510.709160033904</v>
      </c>
      <c r="T37" s="61">
        <f t="shared" si="2"/>
        <v>0</v>
      </c>
      <c r="U37" s="61">
        <f t="shared" si="3"/>
        <v>0</v>
      </c>
      <c r="V37" s="61">
        <f t="shared" si="4"/>
        <v>0</v>
      </c>
      <c r="W37" s="61">
        <f t="shared" si="5"/>
        <v>33510.709160033904</v>
      </c>
      <c r="X37" s="61">
        <f t="shared" si="6"/>
        <v>33510.709160033904</v>
      </c>
      <c r="Y37" s="61">
        <f t="shared" si="7"/>
        <v>0</v>
      </c>
    </row>
    <row r="38" spans="1:25" x14ac:dyDescent="0.25">
      <c r="A38" s="51">
        <v>1010410048</v>
      </c>
      <c r="B38" s="51" t="s">
        <v>72</v>
      </c>
      <c r="C38" s="51" t="s">
        <v>140</v>
      </c>
      <c r="D38" s="51" t="s">
        <v>141</v>
      </c>
      <c r="E38" s="51" t="s">
        <v>131</v>
      </c>
      <c r="F38" s="52">
        <f>SUMIF('Customer Budget Per Category'!$A:$A,$A38,'Customer Budget Per Category'!$H:$H)</f>
        <v>172.5064330292131</v>
      </c>
      <c r="G38" s="52">
        <f>SUMIFS('Navision sales Dump'!$E:$E,'Navision sales Dump'!$K:$K,$E38,'Navision sales Dump'!$A:$A,$A38)</f>
        <v>280</v>
      </c>
      <c r="H38" s="62">
        <f>SUMIFS('Navision sales Dump'!$G:$G,'Navision sales Dump'!$K:$K,$E38,'Navision sales Dump'!$A:$A,$A38)</f>
        <v>11420243.75</v>
      </c>
      <c r="I38" s="72">
        <f>IFERROR(IF(($G38/$F38)&gt;='Discount Scheme Target'!$F$4,_xlfn.XLOOKUP($E38,'Discount Scheme Target'!$B:$B,'Discount Scheme Target'!$F:$F,0,0),IF(($G38/$F38)&gt;='Discount Scheme Target'!$E$4,_xlfn.XLOOKUP($E38,'Discount Scheme Target'!$B:$B,'Discount Scheme Target'!$E:$E,0,0),IF(($G38/$F38)&gt;='Discount Scheme Target'!$D$4,_xlfn.XLOOKUP($E38,'Discount Scheme Target'!$B:$B,'Discount Scheme Target'!$D:$D,0,0),0))),0)</f>
        <v>0.04</v>
      </c>
      <c r="J38" s="72">
        <f>IF(SUMIF('Customer Num Distr.'!$A:$A,Workings!$A38,'Customer Num Distr.'!$E:$E)&gt;='Discount Scheme Target'!$G$4,_xlfn.XLOOKUP(Workings!$E38,'Discount Scheme Target'!$B:$B,'Discount Scheme Target'!$G:$G,0,0),0)</f>
        <v>0</v>
      </c>
      <c r="K38" s="72">
        <f>IF(SUMIF('Bouclage EG Cust Cons_Decons'!$A:$A,Workings!$A38,'Bouclage EG Cust Cons_Decons'!$F:$F)&gt;='Discount Scheme Target'!$H$4,_xlfn.XLOOKUP(Workings!$E38,'Discount Scheme Target'!$B:$B,'Discount Scheme Target'!$H:$H,0,0),0)</f>
        <v>0</v>
      </c>
      <c r="L38" s="72">
        <f>IF(INDEX('TT Around time'!$A$1:$F$46,MATCH($A38,'TT Around time'!$A:$A,0),6)&gt;='Discount Scheme Target'!$I$4,_xlfn.XLOOKUP(Workings!$E38,'Discount Scheme Target'!$B:$B,'Discount Scheme Target'!$I:$I,0,0),0)</f>
        <v>5.0000000000000001E-3</v>
      </c>
      <c r="M38" s="72">
        <f t="shared" si="0"/>
        <v>4.4999999999999998E-2</v>
      </c>
      <c r="N38" s="62">
        <f t="shared" si="10"/>
        <v>316617.67183446395</v>
      </c>
      <c r="T38" s="61">
        <f t="shared" si="2"/>
        <v>281437.93051952351</v>
      </c>
      <c r="U38" s="61">
        <f t="shared" si="3"/>
        <v>0</v>
      </c>
      <c r="V38" s="61">
        <f t="shared" si="4"/>
        <v>0</v>
      </c>
      <c r="W38" s="61">
        <f t="shared" si="5"/>
        <v>35179.741314940438</v>
      </c>
      <c r="X38" s="61">
        <f t="shared" si="6"/>
        <v>316617.67183446395</v>
      </c>
      <c r="Y38" s="61">
        <f t="shared" si="7"/>
        <v>0</v>
      </c>
    </row>
    <row r="39" spans="1:25" x14ac:dyDescent="0.25">
      <c r="A39" s="51">
        <v>1010410048</v>
      </c>
      <c r="B39" s="51" t="s">
        <v>72</v>
      </c>
      <c r="C39" s="51" t="s">
        <v>140</v>
      </c>
      <c r="D39" s="51" t="s">
        <v>141</v>
      </c>
      <c r="E39" s="51" t="s">
        <v>514</v>
      </c>
      <c r="F39" s="52">
        <f>SUMIF('Customer Budget Per Category'!$A:$A,$A39,'Customer Budget Per Category'!$I:$I)</f>
        <v>5243.239032312792</v>
      </c>
      <c r="G39" s="52">
        <f>SUMIFS('Navision sales Dump'!$E:$E,'Navision sales Dump'!$K:$K,$E39,'Navision sales Dump'!$A:$A,$A39)</f>
        <v>5381</v>
      </c>
      <c r="H39" s="62">
        <f>SUMIFS('Navision sales Dump'!$G:$G,'Navision sales Dump'!$K:$K,$E39,'Navision sales Dump'!$A:$A,$A39)</f>
        <v>21298159.430000003</v>
      </c>
      <c r="I39" s="72">
        <f>IFERROR(IF(($G39/$F39)&gt;='Discount Scheme Target'!$F$4,_xlfn.XLOOKUP($E39,'Discount Scheme Target'!$B:$B,'Discount Scheme Target'!$F:$F,0,0),IF(($G39/$F39)&gt;='Discount Scheme Target'!$E$4,_xlfn.XLOOKUP($E39,'Discount Scheme Target'!$B:$B,'Discount Scheme Target'!$E:$E,0,0),IF(($G39/$F39)&gt;='Discount Scheme Target'!$D$4,_xlfn.XLOOKUP($E39,'Discount Scheme Target'!$B:$B,'Discount Scheme Target'!$D:$D,0,0),0))),0)</f>
        <v>0.01</v>
      </c>
      <c r="J39" s="72">
        <f>IF(SUMIF('Customer Num Distr.'!$A:$A,Workings!$A39,'Customer Num Distr.'!$E:$E)&gt;='Discount Scheme Target'!$G$4,_xlfn.XLOOKUP(Workings!$E39,'Discount Scheme Target'!$B:$B,'Discount Scheme Target'!$G:$G,0,0),0)</f>
        <v>0</v>
      </c>
      <c r="K39" s="72">
        <f>IF(SUMIF('Bouclage EG Cust Cons_Decons'!$A:$A,Workings!$A39,'Bouclage EG Cust Cons_Decons'!$F:$F)&gt;='Discount Scheme Target'!$H$4,_xlfn.XLOOKUP(Workings!$E39,'Discount Scheme Target'!$B:$B,'Discount Scheme Target'!$H:$H,0,0),0)</f>
        <v>0</v>
      </c>
      <c r="L39" s="72">
        <f>IF(INDEX('TT Around time'!$A$1:$F$46,MATCH($A39,'TT Around time'!$A:$A,0),6)&gt;='Discount Scheme Target'!$I$4,_xlfn.XLOOKUP(Workings!$E39,'Discount Scheme Target'!$B:$B,'Discount Scheme Target'!$I:$I,0,0),0)</f>
        <v>5.0000000000000001E-3</v>
      </c>
      <c r="M39" s="72">
        <f t="shared" si="0"/>
        <v>1.4999999999999999E-2</v>
      </c>
      <c r="N39" s="62">
        <f t="shared" si="10"/>
        <v>311293.46080597508</v>
      </c>
      <c r="T39" s="61">
        <f t="shared" si="2"/>
        <v>207528.97387065005</v>
      </c>
      <c r="U39" s="61">
        <f t="shared" si="3"/>
        <v>0</v>
      </c>
      <c r="V39" s="61">
        <f t="shared" si="4"/>
        <v>0</v>
      </c>
      <c r="W39" s="61">
        <f t="shared" si="5"/>
        <v>103764.48693532503</v>
      </c>
      <c r="X39" s="61">
        <f t="shared" si="6"/>
        <v>311293.46080597508</v>
      </c>
      <c r="Y39" s="61">
        <f t="shared" si="7"/>
        <v>0</v>
      </c>
    </row>
    <row r="40" spans="1:25" x14ac:dyDescent="0.25">
      <c r="A40" s="51">
        <v>1010410048</v>
      </c>
      <c r="B40" s="51" t="s">
        <v>72</v>
      </c>
      <c r="C40" s="51" t="s">
        <v>140</v>
      </c>
      <c r="D40" s="51" t="s">
        <v>141</v>
      </c>
      <c r="E40" s="51" t="s">
        <v>515</v>
      </c>
      <c r="F40" s="52">
        <f>SUMIF('Customer Budget Per Category'!$A:$A,$A40,'Customer Budget Per Category'!$J:$J)</f>
        <v>533.21096122598885</v>
      </c>
      <c r="G40" s="52">
        <f>SUMIFS('Navision sales Dump'!$E:$E,'Navision sales Dump'!$K:$K,$E40,'Navision sales Dump'!$A:$A,$A40)</f>
        <v>1005</v>
      </c>
      <c r="H40" s="62">
        <f>SUMIFS('Navision sales Dump'!$G:$G,'Navision sales Dump'!$K:$K,$E40,'Navision sales Dump'!$A:$A,$A40)</f>
        <v>2837014.5</v>
      </c>
      <c r="I40" s="72">
        <f>IFERROR(IF(($G40/$F40)&gt;='Discount Scheme Target'!$F$4,_xlfn.XLOOKUP($E40,'Discount Scheme Target'!$B:$B,'Discount Scheme Target'!$F:$F,0,0),IF(($G40/$F40)&gt;='Discount Scheme Target'!$E$4,_xlfn.XLOOKUP($E40,'Discount Scheme Target'!$B:$B,'Discount Scheme Target'!$E:$E,0,0),IF(($G40/$F40)&gt;='Discount Scheme Target'!$D$4,_xlfn.XLOOKUP($E40,'Discount Scheme Target'!$B:$B,'Discount Scheme Target'!$D:$D,0,0),0))),0)</f>
        <v>0.03</v>
      </c>
      <c r="J40" s="72">
        <f>IF(SUMIF('Customer Num Distr.'!$A:$A,Workings!$A40,'Customer Num Distr.'!$E:$E)&gt;='Discount Scheme Target'!$G$4,_xlfn.XLOOKUP(Workings!$E40,'Discount Scheme Target'!$B:$B,'Discount Scheme Target'!$G:$G,0,0),0)</f>
        <v>0</v>
      </c>
      <c r="K40" s="72">
        <f>IF(SUMIF('Bouclage EG Cust Cons_Decons'!$A:$A,Workings!$A40,'Bouclage EG Cust Cons_Decons'!$F:$F)&gt;='Discount Scheme Target'!$H$4,_xlfn.XLOOKUP(Workings!$E40,'Discount Scheme Target'!$B:$B,'Discount Scheme Target'!$H:$H,0,0),0)</f>
        <v>0</v>
      </c>
      <c r="L40" s="72">
        <f>IF(INDEX('TT Around time'!$A$1:$F$46,MATCH($A40,'TT Around time'!$A:$A,0),6)&gt;='Discount Scheme Target'!$I$4,_xlfn.XLOOKUP(Workings!$E40,'Discount Scheme Target'!$B:$B,'Discount Scheme Target'!$I:$I,0,0),0)</f>
        <v>5.0000000000000001E-3</v>
      </c>
      <c r="M40" s="72">
        <f t="shared" si="0"/>
        <v>3.4999999999999996E-2</v>
      </c>
      <c r="N40" s="62">
        <f t="shared" si="10"/>
        <v>52682.042785569531</v>
      </c>
      <c r="T40" s="61">
        <f t="shared" si="2"/>
        <v>45156.036673345319</v>
      </c>
      <c r="U40" s="61">
        <f t="shared" si="3"/>
        <v>0</v>
      </c>
      <c r="V40" s="61">
        <f t="shared" si="4"/>
        <v>0</v>
      </c>
      <c r="W40" s="61">
        <f t="shared" si="5"/>
        <v>7526.0061122242196</v>
      </c>
      <c r="X40" s="61">
        <f t="shared" si="6"/>
        <v>52682.042785569538</v>
      </c>
      <c r="Y40" s="61">
        <f t="shared" si="7"/>
        <v>0</v>
      </c>
    </row>
    <row r="41" spans="1:25" x14ac:dyDescent="0.25">
      <c r="A41" s="51">
        <v>1010410048</v>
      </c>
      <c r="B41" s="51" t="s">
        <v>72</v>
      </c>
      <c r="C41" s="51" t="s">
        <v>140</v>
      </c>
      <c r="D41" s="51" t="s">
        <v>141</v>
      </c>
      <c r="E41" s="51" t="s">
        <v>161</v>
      </c>
      <c r="F41" s="52">
        <f>SUMIF('Customer Budget Per Category'!$A:$A,$A41,'Customer Budget Per Category'!$K:$K)</f>
        <v>0</v>
      </c>
      <c r="G41" s="52">
        <f>SUMIFS('Navision sales Dump'!$E:$E,'Navision sales Dump'!$K:$K,$E41,'Navision sales Dump'!$A:$A,$A41)</f>
        <v>0</v>
      </c>
      <c r="H41" s="62">
        <f>SUMIFS('Navision sales Dump'!$G:$G,'Navision sales Dump'!$K:$K,$E41,'Navision sales Dump'!$A:$A,$A41)</f>
        <v>0</v>
      </c>
      <c r="I41" s="72">
        <f>IFERROR(IF(($G41/$F41)&gt;='Discount Scheme Target'!$F$4,_xlfn.XLOOKUP($E41,'Discount Scheme Target'!$B:$B,'Discount Scheme Target'!$F:$F,0,0),IF(($G41/$F41)&gt;='Discount Scheme Target'!$E$4,_xlfn.XLOOKUP($E41,'Discount Scheme Target'!$B:$B,'Discount Scheme Target'!$E:$E,0,0),IF(($G41/$F41)&gt;='Discount Scheme Target'!$D$4,_xlfn.XLOOKUP($E41,'Discount Scheme Target'!$B:$B,'Discount Scheme Target'!$D:$D,0,0),0))),0)</f>
        <v>0</v>
      </c>
      <c r="J41" s="72">
        <f>IF(SUMIF('Customer Num Distr.'!$A:$A,Workings!$A41,'Customer Num Distr.'!$E:$E)&gt;='Discount Scheme Target'!$G$4,_xlfn.XLOOKUP(Workings!$E41,'Discount Scheme Target'!$B:$B,'Discount Scheme Target'!$G:$G,0,0),0)</f>
        <v>0</v>
      </c>
      <c r="K41" s="72">
        <f>IF(SUMIF('Bouclage EG Cust Cons_Decons'!$A:$A,Workings!$A41,'Bouclage EG Cust Cons_Decons'!$F:$F)&gt;='Discount Scheme Target'!$H$4,_xlfn.XLOOKUP(Workings!$E41,'Discount Scheme Target'!$B:$B,'Discount Scheme Target'!$H:$H,0,0),0)</f>
        <v>0</v>
      </c>
      <c r="L41" s="72">
        <f>IF(INDEX('TT Around time'!$A$1:$F$46,MATCH($A41,'TT Around time'!$A:$A,0),6)&gt;='Discount Scheme Target'!$I$4,_xlfn.XLOOKUP(Workings!$E41,'Discount Scheme Target'!$B:$B,'Discount Scheme Target'!$I:$I,0,0),0)</f>
        <v>0</v>
      </c>
      <c r="M41" s="72">
        <f t="shared" si="0"/>
        <v>0</v>
      </c>
      <c r="N41" s="62">
        <f t="shared" si="10"/>
        <v>0</v>
      </c>
      <c r="T41" s="61">
        <f t="shared" si="2"/>
        <v>0</v>
      </c>
      <c r="U41" s="61">
        <f t="shared" si="3"/>
        <v>0</v>
      </c>
      <c r="V41" s="61">
        <f t="shared" si="4"/>
        <v>0</v>
      </c>
      <c r="W41" s="61">
        <f t="shared" si="5"/>
        <v>0</v>
      </c>
      <c r="X41" s="61">
        <f t="shared" si="6"/>
        <v>0</v>
      </c>
      <c r="Y41" s="61">
        <f t="shared" si="7"/>
        <v>0</v>
      </c>
    </row>
    <row r="42" spans="1:25" x14ac:dyDescent="0.25">
      <c r="A42" s="51">
        <v>1010410048</v>
      </c>
      <c r="B42" s="51" t="s">
        <v>72</v>
      </c>
      <c r="C42" s="51" t="s">
        <v>140</v>
      </c>
      <c r="D42" s="51" t="s">
        <v>141</v>
      </c>
      <c r="E42" s="51" t="s">
        <v>354</v>
      </c>
      <c r="F42" s="52">
        <f>SUMIF('Customer Budget Per Category'!$A:$A,$A42,'Customer Budget Per Category'!$L:$L)</f>
        <v>1996.2183625605155</v>
      </c>
      <c r="G42" s="52">
        <f>SUMIFS('Navision sales Dump'!$E:$E,'Navision sales Dump'!$K:$K,$E42,'Navision sales Dump'!$A:$A,$A42)</f>
        <v>1642</v>
      </c>
      <c r="H42" s="62">
        <f>SUMIFS('Navision sales Dump'!$G:$G,'Navision sales Dump'!$K:$K,$E42,'Navision sales Dump'!$A:$A,$A42)</f>
        <v>5605232.4100000011</v>
      </c>
      <c r="I42" s="72">
        <f>IFERROR(IF(($G42/$F42)&gt;='Discount Scheme Target'!$F$4,_xlfn.XLOOKUP($E42,'Discount Scheme Target'!$B:$B,'Discount Scheme Target'!$F:$F,0,0),IF(($G42/$F42)&gt;='Discount Scheme Target'!$E$4,_xlfn.XLOOKUP($E42,'Discount Scheme Target'!$B:$B,'Discount Scheme Target'!$E:$E,0,0),IF(($G42/$F42)&gt;='Discount Scheme Target'!$D$4,_xlfn.XLOOKUP($E42,'Discount Scheme Target'!$B:$B,'Discount Scheme Target'!$D:$D,0,0),0))),0)</f>
        <v>0</v>
      </c>
      <c r="J42" s="72">
        <f>IF(SUMIF('Customer Num Distr.'!$A:$A,Workings!$A42,'Customer Num Distr.'!$E:$E)&gt;='Discount Scheme Target'!$G$4,_xlfn.XLOOKUP(Workings!$E42,'Discount Scheme Target'!$B:$B,'Discount Scheme Target'!$G:$G,0,0),0)</f>
        <v>0</v>
      </c>
      <c r="K42" s="72">
        <f>IF(SUMIF('Bouclage EG Cust Cons_Decons'!$A:$A,Workings!$A42,'Bouclage EG Cust Cons_Decons'!$F:$F)&gt;='Discount Scheme Target'!$H$4,_xlfn.XLOOKUP(Workings!$E42,'Discount Scheme Target'!$B:$B,'Discount Scheme Target'!$H:$H,0,0),0)</f>
        <v>0</v>
      </c>
      <c r="L42" s="72">
        <f>IF(INDEX('TT Around time'!$A$1:$F$46,MATCH($A42,'TT Around time'!$A:$A,0),6)&gt;='Discount Scheme Target'!$I$4,_xlfn.XLOOKUP(Workings!$E42,'Discount Scheme Target'!$B:$B,'Discount Scheme Target'!$I:$I,0,0),0)</f>
        <v>5.0000000000000001E-3</v>
      </c>
      <c r="M42" s="72">
        <f t="shared" si="0"/>
        <v>5.0000000000000001E-3</v>
      </c>
      <c r="N42" s="62">
        <f t="shared" si="10"/>
        <v>34072.070229175806</v>
      </c>
      <c r="T42" s="61">
        <f t="shared" si="2"/>
        <v>0</v>
      </c>
      <c r="U42" s="61">
        <f t="shared" si="3"/>
        <v>0</v>
      </c>
      <c r="V42" s="61">
        <f t="shared" si="4"/>
        <v>0</v>
      </c>
      <c r="W42" s="61">
        <f t="shared" si="5"/>
        <v>34072.070229175806</v>
      </c>
      <c r="X42" s="61">
        <f t="shared" si="6"/>
        <v>34072.070229175806</v>
      </c>
      <c r="Y42" s="61">
        <f t="shared" si="7"/>
        <v>0</v>
      </c>
    </row>
    <row r="43" spans="1:25" x14ac:dyDescent="0.25">
      <c r="A43" s="51">
        <v>1010410048</v>
      </c>
      <c r="B43" s="51" t="s">
        <v>72</v>
      </c>
      <c r="C43" s="51" t="s">
        <v>140</v>
      </c>
      <c r="D43" s="51" t="s">
        <v>141</v>
      </c>
      <c r="E43" s="51" t="s">
        <v>355</v>
      </c>
      <c r="F43" s="52">
        <f>SUMIF('Customer Budget Per Category'!$A:$A,$A43,'Customer Budget Per Category'!$M:$M)</f>
        <v>1059.3804667100917</v>
      </c>
      <c r="G43" s="52">
        <f>SUMIFS('Navision sales Dump'!$E:$E,'Navision sales Dump'!$K:$K,$E43,'Navision sales Dump'!$A:$A,$A43)</f>
        <v>719</v>
      </c>
      <c r="H43" s="62">
        <f>SUMIFS('Navision sales Dump'!$G:$G,'Navision sales Dump'!$K:$K,$E43,'Navision sales Dump'!$A:$A,$A43)</f>
        <v>1797784.85</v>
      </c>
      <c r="I43" s="72">
        <f>IFERROR(IF(($G43/$F43)&gt;='Discount Scheme Target'!$F$4,_xlfn.XLOOKUP($E43,'Discount Scheme Target'!$B:$B,'Discount Scheme Target'!$F:$F,0,0),IF(($G43/$F43)&gt;='Discount Scheme Target'!$E$4,_xlfn.XLOOKUP($E43,'Discount Scheme Target'!$B:$B,'Discount Scheme Target'!$E:$E,0,0),IF(($G43/$F43)&gt;='Discount Scheme Target'!$D$4,_xlfn.XLOOKUP($E43,'Discount Scheme Target'!$B:$B,'Discount Scheme Target'!$D:$D,0,0),0))),0)</f>
        <v>0</v>
      </c>
      <c r="J43" s="72">
        <f>IF(SUMIF('Customer Num Distr.'!$A:$A,Workings!$A43,'Customer Num Distr.'!$E:$E)&gt;='Discount Scheme Target'!$G$4,_xlfn.XLOOKUP(Workings!$E43,'Discount Scheme Target'!$B:$B,'Discount Scheme Target'!$G:$G,0,0),0)</f>
        <v>0</v>
      </c>
      <c r="K43" s="72">
        <f>IF(SUMIF('Bouclage EG Cust Cons_Decons'!$A:$A,Workings!$A43,'Bouclage EG Cust Cons_Decons'!$F:$F)&gt;='Discount Scheme Target'!$H$4,_xlfn.XLOOKUP(Workings!$E43,'Discount Scheme Target'!$B:$B,'Discount Scheme Target'!$H:$H,0,0),0)</f>
        <v>0</v>
      </c>
      <c r="L43" s="72">
        <f>IF(INDEX('TT Around time'!$A$1:$F$46,MATCH($A43,'TT Around time'!$A:$A,0),6)&gt;='Discount Scheme Target'!$I$4,_xlfn.XLOOKUP(Workings!$E43,'Discount Scheme Target'!$B:$B,'Discount Scheme Target'!$I:$I,0,0),0)</f>
        <v>5.0000000000000001E-3</v>
      </c>
      <c r="M43" s="72">
        <f t="shared" si="0"/>
        <v>5.0000000000000001E-3</v>
      </c>
      <c r="N43" s="62">
        <f t="shared" si="10"/>
        <v>13244.354335447373</v>
      </c>
      <c r="T43" s="61">
        <f t="shared" si="2"/>
        <v>0</v>
      </c>
      <c r="U43" s="61">
        <f t="shared" si="3"/>
        <v>0</v>
      </c>
      <c r="V43" s="61">
        <f t="shared" si="4"/>
        <v>0</v>
      </c>
      <c r="W43" s="61">
        <f t="shared" si="5"/>
        <v>13244.354335447373</v>
      </c>
      <c r="X43" s="61">
        <f t="shared" si="6"/>
        <v>13244.354335447373</v>
      </c>
      <c r="Y43" s="61">
        <f t="shared" si="7"/>
        <v>0</v>
      </c>
    </row>
    <row r="44" spans="1:25" x14ac:dyDescent="0.25">
      <c r="A44" s="51">
        <v>1010410048</v>
      </c>
      <c r="B44" s="51" t="s">
        <v>72</v>
      </c>
      <c r="C44" s="51" t="s">
        <v>140</v>
      </c>
      <c r="D44" s="51" t="s">
        <v>141</v>
      </c>
      <c r="E44" s="51" t="s">
        <v>132</v>
      </c>
      <c r="F44" s="52">
        <f>SUMIF('Customer Budget Per Category'!$A:$A,$A44,'Customer Budget Per Category'!$N:$N)</f>
        <v>641.66474492205555</v>
      </c>
      <c r="G44" s="52">
        <f>SUMIFS('Navision sales Dump'!$E:$E,'Navision sales Dump'!$K:$K,$E44,'Navision sales Dump'!$A:$A,$A44)</f>
        <v>575</v>
      </c>
      <c r="H44" s="62">
        <f>SUMIFS('Navision sales Dump'!$G:$G,'Navision sales Dump'!$K:$K,$E44,'Navision sales Dump'!$A:$A,$A44)</f>
        <v>1254880</v>
      </c>
      <c r="I44" s="72">
        <f>IFERROR(IF(($G44/$F44)&gt;='Discount Scheme Target'!$F$4,_xlfn.XLOOKUP($E44,'Discount Scheme Target'!$B:$B,'Discount Scheme Target'!$F:$F,0,0),IF(($G44/$F44)&gt;='Discount Scheme Target'!$E$4,_xlfn.XLOOKUP($E44,'Discount Scheme Target'!$B:$B,'Discount Scheme Target'!$E:$E,0,0),IF(($G44/$F44)&gt;='Discount Scheme Target'!$D$4,_xlfn.XLOOKUP($E44,'Discount Scheme Target'!$B:$B,'Discount Scheme Target'!$D:$D,0,0),0))),0)</f>
        <v>0</v>
      </c>
      <c r="J44" s="72">
        <f>IF(SUMIF('Customer Num Distr.'!$A:$A,Workings!$A44,'Customer Num Distr.'!$E:$E)&gt;='Discount Scheme Target'!$G$4,_xlfn.XLOOKUP(Workings!$E44,'Discount Scheme Target'!$B:$B,'Discount Scheme Target'!$G:$G,0,0),0)</f>
        <v>0</v>
      </c>
      <c r="K44" s="72">
        <f>IF(SUMIF('Bouclage EG Cust Cons_Decons'!$A:$A,Workings!$A44,'Bouclage EG Cust Cons_Decons'!$F:$F)&gt;='Discount Scheme Target'!$H$4,_xlfn.XLOOKUP(Workings!$E44,'Discount Scheme Target'!$B:$B,'Discount Scheme Target'!$H:$H,0,0),0)</f>
        <v>0</v>
      </c>
      <c r="L44" s="72">
        <f>IF(INDEX('TT Around time'!$A$1:$F$46,MATCH($A44,'TT Around time'!$A:$A,0),6)&gt;='Discount Scheme Target'!$I$4,_xlfn.XLOOKUP(Workings!$E44,'Discount Scheme Target'!$B:$B,'Discount Scheme Target'!$I:$I,0,0),0)</f>
        <v>5.0000000000000001E-3</v>
      </c>
      <c r="M44" s="72">
        <f t="shared" si="0"/>
        <v>5.0000000000000001E-3</v>
      </c>
      <c r="N44" s="62">
        <f>IFERROR((H44/G44)*F44*M44,)</f>
        <v>7001.8456965894711</v>
      </c>
      <c r="T44" s="61">
        <f t="shared" si="2"/>
        <v>0</v>
      </c>
      <c r="U44" s="61">
        <f t="shared" si="3"/>
        <v>0</v>
      </c>
      <c r="V44" s="61">
        <f t="shared" si="4"/>
        <v>0</v>
      </c>
      <c r="W44" s="61">
        <f t="shared" si="5"/>
        <v>7001.8456965894711</v>
      </c>
      <c r="X44" s="61">
        <f t="shared" si="6"/>
        <v>7001.8456965894711</v>
      </c>
      <c r="Y44" s="61">
        <f t="shared" si="7"/>
        <v>0</v>
      </c>
    </row>
    <row r="45" spans="1:25" x14ac:dyDescent="0.25">
      <c r="A45" s="51">
        <v>1010410048</v>
      </c>
      <c r="B45" s="51" t="s">
        <v>72</v>
      </c>
      <c r="C45" s="51" t="s">
        <v>140</v>
      </c>
      <c r="D45" s="51" t="s">
        <v>141</v>
      </c>
      <c r="E45" s="51" t="s">
        <v>133</v>
      </c>
      <c r="F45" s="52">
        <f>SUMIF('Customer Budget Per Category'!$A:$A,$A45,'Customer Budget Per Category'!$O:$O)</f>
        <v>366.0804967521546</v>
      </c>
      <c r="G45" s="52">
        <f>SUMIFS('Navision sales Dump'!$E:$E,'Navision sales Dump'!$K:$K,$E45,'Navision sales Dump'!$A:$A,$A45)</f>
        <v>574</v>
      </c>
      <c r="H45" s="62">
        <f>SUMIFS('Navision sales Dump'!$G:$G,'Navision sales Dump'!$K:$K,$E45,'Navision sales Dump'!$A:$A,$A45)</f>
        <v>5755716.1200000001</v>
      </c>
      <c r="I45" s="72">
        <f>IFERROR(IF(($G45/$F45)&gt;='Discount Scheme Target'!$F$4,_xlfn.XLOOKUP($E45,'Discount Scheme Target'!$B:$B,'Discount Scheme Target'!$F:$F,0,0),IF(($G45/$F45)&gt;='Discount Scheme Target'!$E$4,_xlfn.XLOOKUP($E45,'Discount Scheme Target'!$B:$B,'Discount Scheme Target'!$E:$E,0,0),IF(($G45/$F45)&gt;='Discount Scheme Target'!$D$4,_xlfn.XLOOKUP($E45,'Discount Scheme Target'!$B:$B,'Discount Scheme Target'!$D:$D,0,0),0))),0)</f>
        <v>0.04</v>
      </c>
      <c r="J45" s="72">
        <f>IF(SUMIF('Customer Num Distr.'!$A:$A,Workings!$A45,'Customer Num Distr.'!$E:$E)&gt;='Discount Scheme Target'!$G$4,_xlfn.XLOOKUP(Workings!$E45,'Discount Scheme Target'!$B:$B,'Discount Scheme Target'!$G:$G,0,0),0)</f>
        <v>0</v>
      </c>
      <c r="K45" s="72">
        <f>IF(SUMIF('Bouclage EG Cust Cons_Decons'!$A:$A,Workings!$A45,'Bouclage EG Cust Cons_Decons'!$F:$F)&gt;='Discount Scheme Target'!$H$4,_xlfn.XLOOKUP(Workings!$E45,'Discount Scheme Target'!$B:$B,'Discount Scheme Target'!$H:$H,0,0),0)</f>
        <v>0</v>
      </c>
      <c r="L45" s="72">
        <f>IF(INDEX('TT Around time'!$A$1:$F$46,MATCH($A45,'TT Around time'!$A:$A,0),6)&gt;='Discount Scheme Target'!$I$4,_xlfn.XLOOKUP(Workings!$E45,'Discount Scheme Target'!$B:$B,'Discount Scheme Target'!$I:$I,0,0),0)</f>
        <v>5.0000000000000001E-3</v>
      </c>
      <c r="M45" s="72">
        <f t="shared" si="0"/>
        <v>4.4999999999999998E-2</v>
      </c>
      <c r="N45" s="62">
        <f>IFERROR((H45/G45)*F45*M45,)</f>
        <v>165187.27131851792</v>
      </c>
      <c r="T45" s="61">
        <f t="shared" si="2"/>
        <v>146833.1300609048</v>
      </c>
      <c r="U45" s="61">
        <f t="shared" si="3"/>
        <v>0</v>
      </c>
      <c r="V45" s="61">
        <f t="shared" si="4"/>
        <v>0</v>
      </c>
      <c r="W45" s="61">
        <f t="shared" si="5"/>
        <v>18354.141257613101</v>
      </c>
      <c r="X45" s="61">
        <f t="shared" si="6"/>
        <v>165187.27131851792</v>
      </c>
      <c r="Y45" s="61">
        <f t="shared" si="7"/>
        <v>0</v>
      </c>
    </row>
    <row r="46" spans="1:25" x14ac:dyDescent="0.25">
      <c r="A46" s="51">
        <v>1011730003</v>
      </c>
      <c r="B46" s="51" t="s">
        <v>77</v>
      </c>
      <c r="C46" s="51" t="s">
        <v>140</v>
      </c>
      <c r="D46" s="51" t="s">
        <v>141</v>
      </c>
      <c r="E46" s="51" t="s">
        <v>417</v>
      </c>
      <c r="F46" s="52">
        <f>SUMIF('Customer Budget Per Category'!$A:$A,$A46,'Customer Budget Per Category'!$E:$E)</f>
        <v>14630.003059773782</v>
      </c>
      <c r="G46" s="52">
        <f>SUMIFS('Navision sales Dump'!$E:$E,'Navision sales Dump'!$K:$K,$E46,'Navision sales Dump'!$A:$A,$A46)</f>
        <v>11603</v>
      </c>
      <c r="H46" s="62">
        <f>SUMIFS('Navision sales Dump'!$G:$G,'Navision sales Dump'!$K:$K,$E46,'Navision sales Dump'!$A:$A,$A46)</f>
        <v>84454502.769999996</v>
      </c>
      <c r="I46" s="72">
        <f>IFERROR(IF(($G46/$F46)&gt;='Discount Scheme Target'!$F$4,_xlfn.XLOOKUP($E46,'Discount Scheme Target'!$B:$B,'Discount Scheme Target'!$F:$F,0,0),IF(($G46/$F46)&gt;='Discount Scheme Target'!$E$4,_xlfn.XLOOKUP($E46,'Discount Scheme Target'!$B:$B,'Discount Scheme Target'!$E:$E,0,0),IF(($G46/$F46)&gt;='Discount Scheme Target'!$D$4,_xlfn.XLOOKUP($E46,'Discount Scheme Target'!$B:$B,'Discount Scheme Target'!$D:$D,0,0),0))),0)</f>
        <v>0</v>
      </c>
      <c r="J46" s="72">
        <f>IF(SUMIF('Customer Num Distr.'!$A:$A,Workings!$A46,'Customer Num Distr.'!$E:$E)&gt;='Discount Scheme Target'!$G$4,_xlfn.XLOOKUP(Workings!$E46,'Discount Scheme Target'!$B:$B,'Discount Scheme Target'!$G:$G,0,0),0)</f>
        <v>0</v>
      </c>
      <c r="K46" s="72">
        <f>IF(SUMIF('Bouclage EG Cust Cons_Decons'!$A:$A,Workings!$A46,'Bouclage EG Cust Cons_Decons'!$F:$F)&gt;='Discount Scheme Target'!$H$4,_xlfn.XLOOKUP(Workings!$E46,'Discount Scheme Target'!$B:$B,'Discount Scheme Target'!$H:$H,0,0),0)</f>
        <v>0</v>
      </c>
      <c r="L46" s="72">
        <f>IF(INDEX('TT Around time'!$A$1:$F$46,MATCH($A46,'TT Around time'!$A:$A,0),6)&gt;='Discount Scheme Target'!$I$4,_xlfn.XLOOKUP(Workings!$E46,'Discount Scheme Target'!$B:$B,'Discount Scheme Target'!$I:$I,0,0),0)</f>
        <v>0</v>
      </c>
      <c r="M46" s="72">
        <f t="shared" si="0"/>
        <v>0</v>
      </c>
      <c r="N46" s="62">
        <f>IFERROR((H46/G46)*F46*M46,)</f>
        <v>0</v>
      </c>
      <c r="T46" s="61">
        <f t="shared" si="2"/>
        <v>0</v>
      </c>
      <c r="U46" s="61">
        <f t="shared" si="3"/>
        <v>0</v>
      </c>
      <c r="V46" s="61">
        <f t="shared" si="4"/>
        <v>0</v>
      </c>
      <c r="W46" s="61">
        <f t="shared" si="5"/>
        <v>0</v>
      </c>
      <c r="X46" s="61">
        <f t="shared" si="6"/>
        <v>0</v>
      </c>
      <c r="Y46" s="61">
        <f t="shared" si="7"/>
        <v>0</v>
      </c>
    </row>
    <row r="47" spans="1:25" x14ac:dyDescent="0.25">
      <c r="A47" s="51">
        <v>1011730003</v>
      </c>
      <c r="B47" s="51" t="s">
        <v>77</v>
      </c>
      <c r="C47" s="51" t="s">
        <v>140</v>
      </c>
      <c r="D47" s="51" t="s">
        <v>141</v>
      </c>
      <c r="E47" s="51" t="s">
        <v>418</v>
      </c>
      <c r="F47" s="52">
        <f>SUMIF('Customer Budget Per Category'!$A:$A,$A47,'Customer Budget Per Category'!$F:$F)</f>
        <v>0</v>
      </c>
      <c r="G47" s="52">
        <f>SUMIFS('Navision sales Dump'!$E:$E,'Navision sales Dump'!$K:$K,$E47,'Navision sales Dump'!$A:$A,$A47)</f>
        <v>0</v>
      </c>
      <c r="H47" s="62">
        <f>SUMIFS('Navision sales Dump'!$G:$G,'Navision sales Dump'!$K:$K,$E47,'Navision sales Dump'!$A:$A,$A47)</f>
        <v>0</v>
      </c>
      <c r="I47" s="72">
        <f>IFERROR(IF(($G47/$F47)&gt;='Discount Scheme Target'!$F$4,_xlfn.XLOOKUP($E47,'Discount Scheme Target'!$B:$B,'Discount Scheme Target'!$F:$F,0,0),IF(($G47/$F47)&gt;='Discount Scheme Target'!$E$4,_xlfn.XLOOKUP($E47,'Discount Scheme Target'!$B:$B,'Discount Scheme Target'!$E:$E,0,0),IF(($G47/$F47)&gt;='Discount Scheme Target'!$D$4,_xlfn.XLOOKUP($E47,'Discount Scheme Target'!$B:$B,'Discount Scheme Target'!$D:$D,0,0),0))),0)</f>
        <v>0</v>
      </c>
      <c r="J47" s="72">
        <f>IF(SUMIF('Customer Num Distr.'!$A:$A,Workings!$A47,'Customer Num Distr.'!$E:$E)&gt;='Discount Scheme Target'!$G$4,_xlfn.XLOOKUP(Workings!$E47,'Discount Scheme Target'!$B:$B,'Discount Scheme Target'!$G:$G,0,0),0)</f>
        <v>0</v>
      </c>
      <c r="K47" s="72">
        <f>IF(SUMIF('Bouclage EG Cust Cons_Decons'!$A:$A,Workings!$A47,'Bouclage EG Cust Cons_Decons'!$F:$F)&gt;='Discount Scheme Target'!$H$4,_xlfn.XLOOKUP(Workings!$E47,'Discount Scheme Target'!$B:$B,'Discount Scheme Target'!$H:$H,0,0),0)</f>
        <v>0</v>
      </c>
      <c r="L47" s="72">
        <f>IF(INDEX('TT Around time'!$A$1:$F$46,MATCH($A47,'TT Around time'!$A:$A,0),6)&gt;='Discount Scheme Target'!$I$4,_xlfn.XLOOKUP(Workings!$E47,'Discount Scheme Target'!$B:$B,'Discount Scheme Target'!$I:$I,0,0),0)</f>
        <v>0</v>
      </c>
      <c r="M47" s="72">
        <f t="shared" si="0"/>
        <v>0</v>
      </c>
      <c r="N47" s="62">
        <f t="shared" ref="N47:N54" si="11">IFERROR((H47/G47)*F47*M47,)</f>
        <v>0</v>
      </c>
      <c r="T47" s="61">
        <f t="shared" si="2"/>
        <v>0</v>
      </c>
      <c r="U47" s="61">
        <f t="shared" si="3"/>
        <v>0</v>
      </c>
      <c r="V47" s="61">
        <f t="shared" si="4"/>
        <v>0</v>
      </c>
      <c r="W47" s="61">
        <f t="shared" si="5"/>
        <v>0</v>
      </c>
      <c r="X47" s="61">
        <f t="shared" si="6"/>
        <v>0</v>
      </c>
      <c r="Y47" s="61">
        <f t="shared" si="7"/>
        <v>0</v>
      </c>
    </row>
    <row r="48" spans="1:25" x14ac:dyDescent="0.25">
      <c r="A48" s="51">
        <v>1011730003</v>
      </c>
      <c r="B48" s="51" t="s">
        <v>77</v>
      </c>
      <c r="C48" s="51" t="s">
        <v>140</v>
      </c>
      <c r="D48" s="51" t="s">
        <v>141</v>
      </c>
      <c r="E48" s="51" t="s">
        <v>130</v>
      </c>
      <c r="F48" s="52">
        <f>SUMIF('Customer Budget Per Category'!$A:$A,$A48,'Customer Budget Per Category'!$G:$G)</f>
        <v>371.43875607797486</v>
      </c>
      <c r="G48" s="52">
        <f>SUMIFS('Navision sales Dump'!$E:$E,'Navision sales Dump'!$K:$K,$E48,'Navision sales Dump'!$A:$A,$A48)</f>
        <v>430</v>
      </c>
      <c r="H48" s="62">
        <f>SUMIFS('Navision sales Dump'!$G:$G,'Navision sales Dump'!$K:$K,$E48,'Navision sales Dump'!$A:$A,$A48)</f>
        <v>3321887.5999999996</v>
      </c>
      <c r="I48" s="72">
        <f>IFERROR(IF(($G48/$F48)&gt;='Discount Scheme Target'!$F$4,_xlfn.XLOOKUP($E48,'Discount Scheme Target'!$B:$B,'Discount Scheme Target'!$F:$F,0,0),IF(($G48/$F48)&gt;='Discount Scheme Target'!$E$4,_xlfn.XLOOKUP($E48,'Discount Scheme Target'!$B:$B,'Discount Scheme Target'!$E:$E,0,0),IF(($G48/$F48)&gt;='Discount Scheme Target'!$D$4,_xlfn.XLOOKUP($E48,'Discount Scheme Target'!$B:$B,'Discount Scheme Target'!$D:$D,0,0),0))),0)</f>
        <v>4.5000000000000005E-2</v>
      </c>
      <c r="J48" s="72">
        <f>IF(SUMIF('Customer Num Distr.'!$A:$A,Workings!$A48,'Customer Num Distr.'!$E:$E)&gt;='Discount Scheme Target'!$G$4,_xlfn.XLOOKUP(Workings!$E48,'Discount Scheme Target'!$B:$B,'Discount Scheme Target'!$G:$G,0,0),0)</f>
        <v>0</v>
      </c>
      <c r="K48" s="72">
        <f>IF(SUMIF('Bouclage EG Cust Cons_Decons'!$A:$A,Workings!$A48,'Bouclage EG Cust Cons_Decons'!$F:$F)&gt;='Discount Scheme Target'!$H$4,_xlfn.XLOOKUP(Workings!$E48,'Discount Scheme Target'!$B:$B,'Discount Scheme Target'!$H:$H,0,0),0)</f>
        <v>0</v>
      </c>
      <c r="L48" s="72">
        <f>IF(INDEX('TT Around time'!$A$1:$F$46,MATCH($A48,'TT Around time'!$A:$A,0),6)&gt;='Discount Scheme Target'!$I$4,_xlfn.XLOOKUP(Workings!$E48,'Discount Scheme Target'!$B:$B,'Discount Scheme Target'!$I:$I,0,0),0)</f>
        <v>0</v>
      </c>
      <c r="M48" s="72">
        <f t="shared" si="0"/>
        <v>4.5000000000000005E-2</v>
      </c>
      <c r="N48" s="62">
        <f t="shared" si="11"/>
        <v>129126.74629969354</v>
      </c>
      <c r="T48" s="61">
        <f t="shared" si="2"/>
        <v>129126.74629969354</v>
      </c>
      <c r="U48" s="61">
        <f t="shared" si="3"/>
        <v>0</v>
      </c>
      <c r="V48" s="61">
        <f t="shared" si="4"/>
        <v>0</v>
      </c>
      <c r="W48" s="61">
        <f t="shared" si="5"/>
        <v>0</v>
      </c>
      <c r="X48" s="61">
        <f t="shared" si="6"/>
        <v>129126.74629969354</v>
      </c>
      <c r="Y48" s="61">
        <f t="shared" si="7"/>
        <v>0</v>
      </c>
    </row>
    <row r="49" spans="1:25" x14ac:dyDescent="0.25">
      <c r="A49" s="51">
        <v>1011730003</v>
      </c>
      <c r="B49" s="51" t="s">
        <v>77</v>
      </c>
      <c r="C49" s="51" t="s">
        <v>140</v>
      </c>
      <c r="D49" s="51" t="s">
        <v>141</v>
      </c>
      <c r="E49" s="51" t="s">
        <v>131</v>
      </c>
      <c r="F49" s="52">
        <f>SUMIF('Customer Budget Per Category'!$A:$A,$A49,'Customer Budget Per Category'!$H:$H)</f>
        <v>213.55465052712822</v>
      </c>
      <c r="G49" s="52">
        <f>SUMIFS('Navision sales Dump'!$E:$E,'Navision sales Dump'!$K:$K,$E49,'Navision sales Dump'!$A:$A,$A49)</f>
        <v>210</v>
      </c>
      <c r="H49" s="62">
        <f>SUMIFS('Navision sales Dump'!$G:$G,'Navision sales Dump'!$K:$K,$E49,'Navision sales Dump'!$A:$A,$A49)</f>
        <v>8197626.0999999996</v>
      </c>
      <c r="I49" s="72">
        <f>IFERROR(IF(($G49/$F49)&gt;='Discount Scheme Target'!$F$4,_xlfn.XLOOKUP($E49,'Discount Scheme Target'!$B:$B,'Discount Scheme Target'!$F:$F,0,0),IF(($G49/$F49)&gt;='Discount Scheme Target'!$E$4,_xlfn.XLOOKUP($E49,'Discount Scheme Target'!$B:$B,'Discount Scheme Target'!$E:$E,0,0),IF(($G49/$F49)&gt;='Discount Scheme Target'!$D$4,_xlfn.XLOOKUP($E49,'Discount Scheme Target'!$B:$B,'Discount Scheme Target'!$D:$D,0,0),0))),0)</f>
        <v>0</v>
      </c>
      <c r="J49" s="72">
        <f>IF(SUMIF('Customer Num Distr.'!$A:$A,Workings!$A49,'Customer Num Distr.'!$E:$E)&gt;='Discount Scheme Target'!$G$4,_xlfn.XLOOKUP(Workings!$E49,'Discount Scheme Target'!$B:$B,'Discount Scheme Target'!$G:$G,0,0),0)</f>
        <v>0</v>
      </c>
      <c r="K49" s="72">
        <f>IF(SUMIF('Bouclage EG Cust Cons_Decons'!$A:$A,Workings!$A49,'Bouclage EG Cust Cons_Decons'!$F:$F)&gt;='Discount Scheme Target'!$H$4,_xlfn.XLOOKUP(Workings!$E49,'Discount Scheme Target'!$B:$B,'Discount Scheme Target'!$H:$H,0,0),0)</f>
        <v>0</v>
      </c>
      <c r="L49" s="72">
        <f>IF(INDEX('TT Around time'!$A$1:$F$46,MATCH($A49,'TT Around time'!$A:$A,0),6)&gt;='Discount Scheme Target'!$I$4,_xlfn.XLOOKUP(Workings!$E49,'Discount Scheme Target'!$B:$B,'Discount Scheme Target'!$I:$I,0,0),0)</f>
        <v>0</v>
      </c>
      <c r="M49" s="72">
        <f t="shared" si="0"/>
        <v>0</v>
      </c>
      <c r="N49" s="62">
        <f t="shared" si="11"/>
        <v>0</v>
      </c>
      <c r="T49" s="61">
        <f t="shared" si="2"/>
        <v>0</v>
      </c>
      <c r="U49" s="61">
        <f t="shared" si="3"/>
        <v>0</v>
      </c>
      <c r="V49" s="61">
        <f t="shared" si="4"/>
        <v>0</v>
      </c>
      <c r="W49" s="61">
        <f t="shared" si="5"/>
        <v>0</v>
      </c>
      <c r="X49" s="61">
        <f t="shared" si="6"/>
        <v>0</v>
      </c>
      <c r="Y49" s="61">
        <f t="shared" si="7"/>
        <v>0</v>
      </c>
    </row>
    <row r="50" spans="1:25" x14ac:dyDescent="0.25">
      <c r="A50" s="51">
        <v>1011730003</v>
      </c>
      <c r="B50" s="51" t="s">
        <v>77</v>
      </c>
      <c r="C50" s="51" t="s">
        <v>140</v>
      </c>
      <c r="D50" s="51" t="s">
        <v>141</v>
      </c>
      <c r="E50" s="51" t="s">
        <v>514</v>
      </c>
      <c r="F50" s="52">
        <f>SUMIF('Customer Budget Per Category'!$A:$A,$A50,'Customer Budget Per Category'!$I:$I)</f>
        <v>3836.8130938157087</v>
      </c>
      <c r="G50" s="52">
        <f>SUMIFS('Navision sales Dump'!$E:$E,'Navision sales Dump'!$K:$K,$E50,'Navision sales Dump'!$A:$A,$A50)</f>
        <v>3948</v>
      </c>
      <c r="H50" s="62">
        <f>SUMIFS('Navision sales Dump'!$G:$G,'Navision sales Dump'!$K:$K,$E50,'Navision sales Dump'!$A:$A,$A50)</f>
        <v>15626302.440000001</v>
      </c>
      <c r="I50" s="72">
        <f>IFERROR(IF(($G50/$F50)&gt;='Discount Scheme Target'!$F$4,_xlfn.XLOOKUP($E50,'Discount Scheme Target'!$B:$B,'Discount Scheme Target'!$F:$F,0,0),IF(($G50/$F50)&gt;='Discount Scheme Target'!$E$4,_xlfn.XLOOKUP($E50,'Discount Scheme Target'!$B:$B,'Discount Scheme Target'!$E:$E,0,0),IF(($G50/$F50)&gt;='Discount Scheme Target'!$D$4,_xlfn.XLOOKUP($E50,'Discount Scheme Target'!$B:$B,'Discount Scheme Target'!$D:$D,0,0),0))),0)</f>
        <v>0.01</v>
      </c>
      <c r="J50" s="72">
        <f>IF(SUMIF('Customer Num Distr.'!$A:$A,Workings!$A50,'Customer Num Distr.'!$E:$E)&gt;='Discount Scheme Target'!$G$4,_xlfn.XLOOKUP(Workings!$E50,'Discount Scheme Target'!$B:$B,'Discount Scheme Target'!$G:$G,0,0),0)</f>
        <v>0</v>
      </c>
      <c r="K50" s="72">
        <f>IF(SUMIF('Bouclage EG Cust Cons_Decons'!$A:$A,Workings!$A50,'Bouclage EG Cust Cons_Decons'!$F:$F)&gt;='Discount Scheme Target'!$H$4,_xlfn.XLOOKUP(Workings!$E50,'Discount Scheme Target'!$B:$B,'Discount Scheme Target'!$H:$H,0,0),0)</f>
        <v>0</v>
      </c>
      <c r="L50" s="72">
        <f>IF(INDEX('TT Around time'!$A$1:$F$46,MATCH($A50,'TT Around time'!$A:$A,0),6)&gt;='Discount Scheme Target'!$I$4,_xlfn.XLOOKUP(Workings!$E50,'Discount Scheme Target'!$B:$B,'Discount Scheme Target'!$I:$I,0,0),0)</f>
        <v>0</v>
      </c>
      <c r="M50" s="72">
        <f t="shared" si="0"/>
        <v>0.01</v>
      </c>
      <c r="N50" s="62">
        <f t="shared" si="11"/>
        <v>151862.21329715391</v>
      </c>
      <c r="T50" s="61">
        <f t="shared" si="2"/>
        <v>151862.21329715391</v>
      </c>
      <c r="U50" s="61">
        <f t="shared" si="3"/>
        <v>0</v>
      </c>
      <c r="V50" s="61">
        <f t="shared" si="4"/>
        <v>0</v>
      </c>
      <c r="W50" s="61">
        <f t="shared" si="5"/>
        <v>0</v>
      </c>
      <c r="X50" s="61">
        <f t="shared" si="6"/>
        <v>151862.21329715391</v>
      </c>
      <c r="Y50" s="61">
        <f t="shared" si="7"/>
        <v>0</v>
      </c>
    </row>
    <row r="51" spans="1:25" x14ac:dyDescent="0.25">
      <c r="A51" s="51">
        <v>1011730003</v>
      </c>
      <c r="B51" s="51" t="s">
        <v>77</v>
      </c>
      <c r="C51" s="51" t="s">
        <v>140</v>
      </c>
      <c r="D51" s="51" t="s">
        <v>141</v>
      </c>
      <c r="E51" s="51" t="s">
        <v>515</v>
      </c>
      <c r="F51" s="52">
        <f>SUMIF('Customer Budget Per Category'!$A:$A,$A51,'Customer Budget Per Category'!$J:$J)</f>
        <v>424.30935512761948</v>
      </c>
      <c r="G51" s="52">
        <f>SUMIFS('Navision sales Dump'!$E:$E,'Navision sales Dump'!$K:$K,$E51,'Navision sales Dump'!$A:$A,$A51)</f>
        <v>432</v>
      </c>
      <c r="H51" s="62">
        <f>SUMIFS('Navision sales Dump'!$G:$G,'Navision sales Dump'!$K:$K,$E51,'Navision sales Dump'!$A:$A,$A51)</f>
        <v>1219492.7999999998</v>
      </c>
      <c r="I51" s="72">
        <f>IFERROR(IF(($G51/$F51)&gt;='Discount Scheme Target'!$F$4,_xlfn.XLOOKUP($E51,'Discount Scheme Target'!$B:$B,'Discount Scheme Target'!$F:$F,0,0),IF(($G51/$F51)&gt;='Discount Scheme Target'!$E$4,_xlfn.XLOOKUP($E51,'Discount Scheme Target'!$B:$B,'Discount Scheme Target'!$E:$E,0,0),IF(($G51/$F51)&gt;='Discount Scheme Target'!$D$4,_xlfn.XLOOKUP($E51,'Discount Scheme Target'!$B:$B,'Discount Scheme Target'!$D:$D,0,0),0))),0)</f>
        <v>0.01</v>
      </c>
      <c r="J51" s="72">
        <f>IF(SUMIF('Customer Num Distr.'!$A:$A,Workings!$A51,'Customer Num Distr.'!$E:$E)&gt;='Discount Scheme Target'!$G$4,_xlfn.XLOOKUP(Workings!$E51,'Discount Scheme Target'!$B:$B,'Discount Scheme Target'!$G:$G,0,0),0)</f>
        <v>0</v>
      </c>
      <c r="K51" s="72">
        <f>IF(SUMIF('Bouclage EG Cust Cons_Decons'!$A:$A,Workings!$A51,'Bouclage EG Cust Cons_Decons'!$F:$F)&gt;='Discount Scheme Target'!$H$4,_xlfn.XLOOKUP(Workings!$E51,'Discount Scheme Target'!$B:$B,'Discount Scheme Target'!$H:$H,0,0),0)</f>
        <v>0</v>
      </c>
      <c r="L51" s="72">
        <f>IF(INDEX('TT Around time'!$A$1:$F$46,MATCH($A51,'TT Around time'!$A:$A,0),6)&gt;='Discount Scheme Target'!$I$4,_xlfn.XLOOKUP(Workings!$E51,'Discount Scheme Target'!$B:$B,'Discount Scheme Target'!$I:$I,0,0),0)</f>
        <v>0</v>
      </c>
      <c r="M51" s="72">
        <f t="shared" si="0"/>
        <v>0.01</v>
      </c>
      <c r="N51" s="62">
        <f t="shared" si="11"/>
        <v>11977.828785897567</v>
      </c>
      <c r="T51" s="61">
        <f t="shared" si="2"/>
        <v>11977.828785897567</v>
      </c>
      <c r="U51" s="61">
        <f t="shared" si="3"/>
        <v>0</v>
      </c>
      <c r="V51" s="61">
        <f t="shared" si="4"/>
        <v>0</v>
      </c>
      <c r="W51" s="61">
        <f t="shared" si="5"/>
        <v>0</v>
      </c>
      <c r="X51" s="61">
        <f t="shared" si="6"/>
        <v>11977.828785897567</v>
      </c>
      <c r="Y51" s="61">
        <f t="shared" si="7"/>
        <v>0</v>
      </c>
    </row>
    <row r="52" spans="1:25" x14ac:dyDescent="0.25">
      <c r="A52" s="51">
        <v>1011730003</v>
      </c>
      <c r="B52" s="51" t="s">
        <v>77</v>
      </c>
      <c r="C52" s="51" t="s">
        <v>140</v>
      </c>
      <c r="D52" s="51" t="s">
        <v>141</v>
      </c>
      <c r="E52" s="51" t="s">
        <v>161</v>
      </c>
      <c r="F52" s="52">
        <f>SUMIF('Customer Budget Per Category'!$A:$A,$A52,'Customer Budget Per Category'!$K:$K)</f>
        <v>0</v>
      </c>
      <c r="G52" s="52">
        <f>SUMIFS('Navision sales Dump'!$E:$E,'Navision sales Dump'!$K:$K,$E52,'Navision sales Dump'!$A:$A,$A52)</f>
        <v>0</v>
      </c>
      <c r="H52" s="62">
        <f>SUMIFS('Navision sales Dump'!$G:$G,'Navision sales Dump'!$K:$K,$E52,'Navision sales Dump'!$A:$A,$A52)</f>
        <v>0</v>
      </c>
      <c r="I52" s="72">
        <f>IFERROR(IF(($G52/$F52)&gt;='Discount Scheme Target'!$F$4,_xlfn.XLOOKUP($E52,'Discount Scheme Target'!$B:$B,'Discount Scheme Target'!$F:$F,0,0),IF(($G52/$F52)&gt;='Discount Scheme Target'!$E$4,_xlfn.XLOOKUP($E52,'Discount Scheme Target'!$B:$B,'Discount Scheme Target'!$E:$E,0,0),IF(($G52/$F52)&gt;='Discount Scheme Target'!$D$4,_xlfn.XLOOKUP($E52,'Discount Scheme Target'!$B:$B,'Discount Scheme Target'!$D:$D,0,0),0))),0)</f>
        <v>0</v>
      </c>
      <c r="J52" s="72">
        <f>IF(SUMIF('Customer Num Distr.'!$A:$A,Workings!$A52,'Customer Num Distr.'!$E:$E)&gt;='Discount Scheme Target'!$G$4,_xlfn.XLOOKUP(Workings!$E52,'Discount Scheme Target'!$B:$B,'Discount Scheme Target'!$G:$G,0,0),0)</f>
        <v>0</v>
      </c>
      <c r="K52" s="72">
        <f>IF(SUMIF('Bouclage EG Cust Cons_Decons'!$A:$A,Workings!$A52,'Bouclage EG Cust Cons_Decons'!$F:$F)&gt;='Discount Scheme Target'!$H$4,_xlfn.XLOOKUP(Workings!$E52,'Discount Scheme Target'!$B:$B,'Discount Scheme Target'!$H:$H,0,0),0)</f>
        <v>0</v>
      </c>
      <c r="L52" s="72">
        <f>IF(INDEX('TT Around time'!$A$1:$F$46,MATCH($A52,'TT Around time'!$A:$A,0),6)&gt;='Discount Scheme Target'!$I$4,_xlfn.XLOOKUP(Workings!$E52,'Discount Scheme Target'!$B:$B,'Discount Scheme Target'!$I:$I,0,0),0)</f>
        <v>0</v>
      </c>
      <c r="M52" s="72">
        <f t="shared" si="0"/>
        <v>0</v>
      </c>
      <c r="N52" s="62">
        <f t="shared" si="11"/>
        <v>0</v>
      </c>
      <c r="T52" s="61">
        <f t="shared" si="2"/>
        <v>0</v>
      </c>
      <c r="U52" s="61">
        <f t="shared" si="3"/>
        <v>0</v>
      </c>
      <c r="V52" s="61">
        <f t="shared" si="4"/>
        <v>0</v>
      </c>
      <c r="W52" s="61">
        <f t="shared" si="5"/>
        <v>0</v>
      </c>
      <c r="X52" s="61">
        <f t="shared" si="6"/>
        <v>0</v>
      </c>
      <c r="Y52" s="61">
        <f t="shared" si="7"/>
        <v>0</v>
      </c>
    </row>
    <row r="53" spans="1:25" x14ac:dyDescent="0.25">
      <c r="A53" s="51">
        <v>1011730003</v>
      </c>
      <c r="B53" s="51" t="s">
        <v>77</v>
      </c>
      <c r="C53" s="51" t="s">
        <v>140</v>
      </c>
      <c r="D53" s="51" t="s">
        <v>141</v>
      </c>
      <c r="E53" s="51" t="s">
        <v>354</v>
      </c>
      <c r="F53" s="52">
        <f>SUMIF('Customer Budget Per Category'!$A:$A,$A53,'Customer Budget Per Category'!$L:$L)</f>
        <v>1519.4120452272975</v>
      </c>
      <c r="G53" s="52">
        <f>SUMIFS('Navision sales Dump'!$E:$E,'Navision sales Dump'!$K:$K,$E53,'Navision sales Dump'!$A:$A,$A53)</f>
        <v>1290</v>
      </c>
      <c r="H53" s="62">
        <f>SUMIFS('Navision sales Dump'!$G:$G,'Navision sales Dump'!$K:$K,$E53,'Navision sales Dump'!$A:$A,$A53)</f>
        <v>4349876.88</v>
      </c>
      <c r="I53" s="72">
        <f>IFERROR(IF(($G53/$F53)&gt;='Discount Scheme Target'!$F$4,_xlfn.XLOOKUP($E53,'Discount Scheme Target'!$B:$B,'Discount Scheme Target'!$F:$F,0,0),IF(($G53/$F53)&gt;='Discount Scheme Target'!$E$4,_xlfn.XLOOKUP($E53,'Discount Scheme Target'!$B:$B,'Discount Scheme Target'!$E:$E,0,0),IF(($G53/$F53)&gt;='Discount Scheme Target'!$D$4,_xlfn.XLOOKUP($E53,'Discount Scheme Target'!$B:$B,'Discount Scheme Target'!$D:$D,0,0),0))),0)</f>
        <v>0</v>
      </c>
      <c r="J53" s="72">
        <f>IF(SUMIF('Customer Num Distr.'!$A:$A,Workings!$A53,'Customer Num Distr.'!$E:$E)&gt;='Discount Scheme Target'!$G$4,_xlfn.XLOOKUP(Workings!$E53,'Discount Scheme Target'!$B:$B,'Discount Scheme Target'!$G:$G,0,0),0)</f>
        <v>0</v>
      </c>
      <c r="K53" s="72">
        <f>IF(SUMIF('Bouclage EG Cust Cons_Decons'!$A:$A,Workings!$A53,'Bouclage EG Cust Cons_Decons'!$F:$F)&gt;='Discount Scheme Target'!$H$4,_xlfn.XLOOKUP(Workings!$E53,'Discount Scheme Target'!$B:$B,'Discount Scheme Target'!$H:$H,0,0),0)</f>
        <v>0</v>
      </c>
      <c r="L53" s="72">
        <f>IF(INDEX('TT Around time'!$A$1:$F$46,MATCH($A53,'TT Around time'!$A:$A,0),6)&gt;='Discount Scheme Target'!$I$4,_xlfn.XLOOKUP(Workings!$E53,'Discount Scheme Target'!$B:$B,'Discount Scheme Target'!$I:$I,0,0),0)</f>
        <v>0</v>
      </c>
      <c r="M53" s="72">
        <f t="shared" si="0"/>
        <v>0</v>
      </c>
      <c r="N53" s="62">
        <f t="shared" si="11"/>
        <v>0</v>
      </c>
      <c r="T53" s="61">
        <f t="shared" si="2"/>
        <v>0</v>
      </c>
      <c r="U53" s="61">
        <f t="shared" si="3"/>
        <v>0</v>
      </c>
      <c r="V53" s="61">
        <f t="shared" si="4"/>
        <v>0</v>
      </c>
      <c r="W53" s="61">
        <f t="shared" si="5"/>
        <v>0</v>
      </c>
      <c r="X53" s="61">
        <f t="shared" si="6"/>
        <v>0</v>
      </c>
      <c r="Y53" s="61">
        <f t="shared" si="7"/>
        <v>0</v>
      </c>
    </row>
    <row r="54" spans="1:25" x14ac:dyDescent="0.25">
      <c r="A54" s="51">
        <v>1011730003</v>
      </c>
      <c r="B54" s="51" t="s">
        <v>77</v>
      </c>
      <c r="C54" s="51" t="s">
        <v>140</v>
      </c>
      <c r="D54" s="51" t="s">
        <v>141</v>
      </c>
      <c r="E54" s="51" t="s">
        <v>355</v>
      </c>
      <c r="F54" s="52">
        <f>SUMIF('Customer Budget Per Category'!$A:$A,$A54,'Customer Budget Per Category'!$M:$M)</f>
        <v>843.01538293779265</v>
      </c>
      <c r="G54" s="52">
        <f>SUMIFS('Navision sales Dump'!$E:$E,'Navision sales Dump'!$K:$K,$E54,'Navision sales Dump'!$A:$A,$A54)</f>
        <v>719</v>
      </c>
      <c r="H54" s="62">
        <f>SUMIFS('Navision sales Dump'!$G:$G,'Navision sales Dump'!$K:$K,$E54,'Navision sales Dump'!$A:$A,$A54)</f>
        <v>1739713.97</v>
      </c>
      <c r="I54" s="72">
        <f>IFERROR(IF(($G54/$F54)&gt;='Discount Scheme Target'!$F$4,_xlfn.XLOOKUP($E54,'Discount Scheme Target'!$B:$B,'Discount Scheme Target'!$F:$F,0,0),IF(($G54/$F54)&gt;='Discount Scheme Target'!$E$4,_xlfn.XLOOKUP($E54,'Discount Scheme Target'!$B:$B,'Discount Scheme Target'!$E:$E,0,0),IF(($G54/$F54)&gt;='Discount Scheme Target'!$D$4,_xlfn.XLOOKUP($E54,'Discount Scheme Target'!$B:$B,'Discount Scheme Target'!$D:$D,0,0),0))),0)</f>
        <v>0</v>
      </c>
      <c r="J54" s="72">
        <f>IF(SUMIF('Customer Num Distr.'!$A:$A,Workings!$A54,'Customer Num Distr.'!$E:$E)&gt;='Discount Scheme Target'!$G$4,_xlfn.XLOOKUP(Workings!$E54,'Discount Scheme Target'!$B:$B,'Discount Scheme Target'!$G:$G,0,0),0)</f>
        <v>0</v>
      </c>
      <c r="K54" s="72">
        <f>IF(SUMIF('Bouclage EG Cust Cons_Decons'!$A:$A,Workings!$A54,'Bouclage EG Cust Cons_Decons'!$F:$F)&gt;='Discount Scheme Target'!$H$4,_xlfn.XLOOKUP(Workings!$E54,'Discount Scheme Target'!$B:$B,'Discount Scheme Target'!$H:$H,0,0),0)</f>
        <v>0</v>
      </c>
      <c r="L54" s="72">
        <f>IF(INDEX('TT Around time'!$A$1:$F$46,MATCH($A54,'TT Around time'!$A:$A,0),6)&gt;='Discount Scheme Target'!$I$4,_xlfn.XLOOKUP(Workings!$E54,'Discount Scheme Target'!$B:$B,'Discount Scheme Target'!$I:$I,0,0),0)</f>
        <v>0</v>
      </c>
      <c r="M54" s="72">
        <f t="shared" si="0"/>
        <v>0</v>
      </c>
      <c r="N54" s="62">
        <f t="shared" si="11"/>
        <v>0</v>
      </c>
      <c r="T54" s="61">
        <f t="shared" si="2"/>
        <v>0</v>
      </c>
      <c r="U54" s="61">
        <f t="shared" si="3"/>
        <v>0</v>
      </c>
      <c r="V54" s="61">
        <f t="shared" si="4"/>
        <v>0</v>
      </c>
      <c r="W54" s="61">
        <f t="shared" si="5"/>
        <v>0</v>
      </c>
      <c r="X54" s="61">
        <f t="shared" si="6"/>
        <v>0</v>
      </c>
      <c r="Y54" s="61">
        <f t="shared" si="7"/>
        <v>0</v>
      </c>
    </row>
    <row r="55" spans="1:25" x14ac:dyDescent="0.25">
      <c r="A55" s="51">
        <v>1011730003</v>
      </c>
      <c r="B55" s="51" t="s">
        <v>77</v>
      </c>
      <c r="C55" s="51" t="s">
        <v>140</v>
      </c>
      <c r="D55" s="51" t="s">
        <v>141</v>
      </c>
      <c r="E55" s="51" t="s">
        <v>132</v>
      </c>
      <c r="F55" s="52">
        <f>SUMIF('Customer Budget Per Category'!$A:$A,$A55,'Customer Budget Per Category'!$N:$N)</f>
        <v>214.60720040250263</v>
      </c>
      <c r="G55" s="52">
        <f>SUMIFS('Navision sales Dump'!$E:$E,'Navision sales Dump'!$K:$K,$E55,'Navision sales Dump'!$A:$A,$A55)</f>
        <v>0</v>
      </c>
      <c r="H55" s="62">
        <f>SUMIFS('Navision sales Dump'!$G:$G,'Navision sales Dump'!$K:$K,$E55,'Navision sales Dump'!$A:$A,$A55)</f>
        <v>0</v>
      </c>
      <c r="I55" s="72">
        <f>IFERROR(IF(($G55/$F55)&gt;='Discount Scheme Target'!$F$4,_xlfn.XLOOKUP($E55,'Discount Scheme Target'!$B:$B,'Discount Scheme Target'!$F:$F,0,0),IF(($G55/$F55)&gt;='Discount Scheme Target'!$E$4,_xlfn.XLOOKUP($E55,'Discount Scheme Target'!$B:$B,'Discount Scheme Target'!$E:$E,0,0),IF(($G55/$F55)&gt;='Discount Scheme Target'!$D$4,_xlfn.XLOOKUP($E55,'Discount Scheme Target'!$B:$B,'Discount Scheme Target'!$D:$D,0,0),0))),0)</f>
        <v>0</v>
      </c>
      <c r="J55" s="72">
        <f>IF(SUMIF('Customer Num Distr.'!$A:$A,Workings!$A55,'Customer Num Distr.'!$E:$E)&gt;='Discount Scheme Target'!$G$4,_xlfn.XLOOKUP(Workings!$E55,'Discount Scheme Target'!$B:$B,'Discount Scheme Target'!$G:$G,0,0),0)</f>
        <v>0</v>
      </c>
      <c r="K55" s="72">
        <f>IF(SUMIF('Bouclage EG Cust Cons_Decons'!$A:$A,Workings!$A55,'Bouclage EG Cust Cons_Decons'!$F:$F)&gt;='Discount Scheme Target'!$H$4,_xlfn.XLOOKUP(Workings!$E55,'Discount Scheme Target'!$B:$B,'Discount Scheme Target'!$H:$H,0,0),0)</f>
        <v>0</v>
      </c>
      <c r="L55" s="72">
        <f>IF(INDEX('TT Around time'!$A$1:$F$46,MATCH($A55,'TT Around time'!$A:$A,0),6)&gt;='Discount Scheme Target'!$I$4,_xlfn.XLOOKUP(Workings!$E55,'Discount Scheme Target'!$B:$B,'Discount Scheme Target'!$I:$I,0,0),0)</f>
        <v>0</v>
      </c>
      <c r="M55" s="72">
        <f t="shared" si="0"/>
        <v>0</v>
      </c>
      <c r="N55" s="62">
        <f>IFERROR((H55/G55)*F55*M55,)</f>
        <v>0</v>
      </c>
      <c r="T55" s="61">
        <f t="shared" si="2"/>
        <v>0</v>
      </c>
      <c r="U55" s="61">
        <f t="shared" si="3"/>
        <v>0</v>
      </c>
      <c r="V55" s="61">
        <f t="shared" si="4"/>
        <v>0</v>
      </c>
      <c r="W55" s="61">
        <f t="shared" si="5"/>
        <v>0</v>
      </c>
      <c r="X55" s="61">
        <f t="shared" si="6"/>
        <v>0</v>
      </c>
      <c r="Y55" s="61">
        <f t="shared" si="7"/>
        <v>0</v>
      </c>
    </row>
    <row r="56" spans="1:25" x14ac:dyDescent="0.25">
      <c r="A56" s="51">
        <v>1011730003</v>
      </c>
      <c r="B56" s="51" t="s">
        <v>77</v>
      </c>
      <c r="C56" s="51" t="s">
        <v>140</v>
      </c>
      <c r="D56" s="51" t="s">
        <v>141</v>
      </c>
      <c r="E56" s="51" t="s">
        <v>133</v>
      </c>
      <c r="F56" s="52">
        <f>SUMIF('Customer Budget Per Category'!$A:$A,$A56,'Customer Budget Per Category'!$O:$O)</f>
        <v>197.7577429140571</v>
      </c>
      <c r="G56" s="52">
        <f>SUMIFS('Navision sales Dump'!$E:$E,'Navision sales Dump'!$K:$K,$E56,'Navision sales Dump'!$A:$A,$A56)</f>
        <v>356</v>
      </c>
      <c r="H56" s="62">
        <f>SUMIFS('Navision sales Dump'!$G:$G,'Navision sales Dump'!$K:$K,$E56,'Navision sales Dump'!$A:$A,$A56)</f>
        <v>3569747.2800000003</v>
      </c>
      <c r="I56" s="72">
        <f>IFERROR(IF(($G56/$F56)&gt;='Discount Scheme Target'!$F$4,_xlfn.XLOOKUP($E56,'Discount Scheme Target'!$B:$B,'Discount Scheme Target'!$F:$F,0,0),IF(($G56/$F56)&gt;='Discount Scheme Target'!$E$4,_xlfn.XLOOKUP($E56,'Discount Scheme Target'!$B:$B,'Discount Scheme Target'!$E:$E,0,0),IF(($G56/$F56)&gt;='Discount Scheme Target'!$D$4,_xlfn.XLOOKUP($E56,'Discount Scheme Target'!$B:$B,'Discount Scheme Target'!$D:$D,0,0),0))),0)</f>
        <v>0.04</v>
      </c>
      <c r="J56" s="72">
        <f>IF(SUMIF('Customer Num Distr.'!$A:$A,Workings!$A56,'Customer Num Distr.'!$E:$E)&gt;='Discount Scheme Target'!$G$4,_xlfn.XLOOKUP(Workings!$E56,'Discount Scheme Target'!$B:$B,'Discount Scheme Target'!$G:$G,0,0),0)</f>
        <v>0</v>
      </c>
      <c r="K56" s="72">
        <f>IF(SUMIF('Bouclage EG Cust Cons_Decons'!$A:$A,Workings!$A56,'Bouclage EG Cust Cons_Decons'!$F:$F)&gt;='Discount Scheme Target'!$H$4,_xlfn.XLOOKUP(Workings!$E56,'Discount Scheme Target'!$B:$B,'Discount Scheme Target'!$H:$H,0,0),0)</f>
        <v>0</v>
      </c>
      <c r="L56" s="72">
        <f>IF(INDEX('TT Around time'!$A$1:$F$46,MATCH($A56,'TT Around time'!$A:$A,0),6)&gt;='Discount Scheme Target'!$I$4,_xlfn.XLOOKUP(Workings!$E56,'Discount Scheme Target'!$B:$B,'Discount Scheme Target'!$I:$I,0,0),0)</f>
        <v>0</v>
      </c>
      <c r="M56" s="72">
        <f t="shared" si="0"/>
        <v>0.04</v>
      </c>
      <c r="N56" s="62">
        <f>IFERROR((H56/G56)*F56*M56,)</f>
        <v>79319.681445662325</v>
      </c>
      <c r="T56" s="61">
        <f t="shared" si="2"/>
        <v>79319.681445662325</v>
      </c>
      <c r="U56" s="61">
        <f t="shared" si="3"/>
        <v>0</v>
      </c>
      <c r="V56" s="61">
        <f t="shared" si="4"/>
        <v>0</v>
      </c>
      <c r="W56" s="61">
        <f t="shared" si="5"/>
        <v>0</v>
      </c>
      <c r="X56" s="61">
        <f t="shared" si="6"/>
        <v>79319.681445662325</v>
      </c>
      <c r="Y56" s="61">
        <f t="shared" si="7"/>
        <v>0</v>
      </c>
    </row>
    <row r="57" spans="1:25" x14ac:dyDescent="0.25">
      <c r="A57" s="51">
        <v>1300003024</v>
      </c>
      <c r="B57" s="51" t="s">
        <v>84</v>
      </c>
      <c r="C57" s="51" t="s">
        <v>140</v>
      </c>
      <c r="D57" s="51" t="s">
        <v>141</v>
      </c>
      <c r="E57" s="51" t="s">
        <v>417</v>
      </c>
      <c r="F57" s="52">
        <f>SUMIF('Customer Budget Per Category'!$A:$A,$A57,'Customer Budget Per Category'!$E:$E)</f>
        <v>17080.355339386049</v>
      </c>
      <c r="G57" s="52">
        <f>SUMIFS('Navision sales Dump'!$E:$E,'Navision sales Dump'!$K:$K,$E57,'Navision sales Dump'!$A:$A,$A57)</f>
        <v>26293</v>
      </c>
      <c r="H57" s="62">
        <f>SUMIFS('Navision sales Dump'!$G:$G,'Navision sales Dump'!$K:$K,$E57,'Navision sales Dump'!$A:$A,$A57)</f>
        <v>192554928.75</v>
      </c>
      <c r="I57" s="72">
        <f>IFERROR(IF(($G57/$F57)&gt;='Discount Scheme Target'!$F$4,_xlfn.XLOOKUP($E57,'Discount Scheme Target'!$B:$B,'Discount Scheme Target'!$F:$F,0,0),IF(($G57/$F57)&gt;='Discount Scheme Target'!$E$4,_xlfn.XLOOKUP($E57,'Discount Scheme Target'!$B:$B,'Discount Scheme Target'!$E:$E,0,0),IF(($G57/$F57)&gt;='Discount Scheme Target'!$D$4,_xlfn.XLOOKUP($E57,'Discount Scheme Target'!$B:$B,'Discount Scheme Target'!$D:$D,0,0),0))),0)</f>
        <v>4.5000000000000005E-2</v>
      </c>
      <c r="J57" s="72">
        <f>IF(SUMIF('Customer Num Distr.'!$A:$A,Workings!$A57,'Customer Num Distr.'!$E:$E)&gt;='Discount Scheme Target'!$G$4,_xlfn.XLOOKUP(Workings!$E57,'Discount Scheme Target'!$B:$B,'Discount Scheme Target'!$G:$G,0,0),0)</f>
        <v>0</v>
      </c>
      <c r="K57" s="72">
        <f>IF(SUMIF('Bouclage EG Cust Cons_Decons'!$A:$A,Workings!$A57,'Bouclage EG Cust Cons_Decons'!$F:$F)&gt;='Discount Scheme Target'!$H$4,_xlfn.XLOOKUP(Workings!$E57,'Discount Scheme Target'!$B:$B,'Discount Scheme Target'!$H:$H,0,0),0)</f>
        <v>0</v>
      </c>
      <c r="L57" s="72">
        <f>IF(INDEX('TT Around time'!$A$1:$F$46,MATCH($A57,'TT Around time'!$A:$A,0),6)&gt;='Discount Scheme Target'!$I$4,_xlfn.XLOOKUP(Workings!$E57,'Discount Scheme Target'!$B:$B,'Discount Scheme Target'!$I:$I,0,0),0)</f>
        <v>0.01</v>
      </c>
      <c r="M57" s="72">
        <f t="shared" si="0"/>
        <v>5.5000000000000007E-2</v>
      </c>
      <c r="N57" s="62">
        <f>IFERROR((H57/G57)*F57*M57,)</f>
        <v>6879772.6884345254</v>
      </c>
      <c r="T57" s="61">
        <f t="shared" si="2"/>
        <v>5628904.9269009754</v>
      </c>
      <c r="U57" s="61">
        <f t="shared" si="3"/>
        <v>0</v>
      </c>
      <c r="V57" s="61">
        <f t="shared" si="4"/>
        <v>0</v>
      </c>
      <c r="W57" s="61">
        <f t="shared" si="5"/>
        <v>1250867.76153355</v>
      </c>
      <c r="X57" s="61">
        <f t="shared" si="6"/>
        <v>6879772.6884345254</v>
      </c>
      <c r="Y57" s="61">
        <f t="shared" si="7"/>
        <v>0</v>
      </c>
    </row>
    <row r="58" spans="1:25" x14ac:dyDescent="0.25">
      <c r="A58" s="51">
        <v>1300003024</v>
      </c>
      <c r="B58" s="51" t="s">
        <v>84</v>
      </c>
      <c r="C58" s="51" t="s">
        <v>140</v>
      </c>
      <c r="D58" s="51" t="s">
        <v>141</v>
      </c>
      <c r="E58" s="51" t="s">
        <v>418</v>
      </c>
      <c r="F58" s="52">
        <f>SUMIF('Customer Budget Per Category'!$A:$A,$A58,'Customer Budget Per Category'!$F:$F)</f>
        <v>0</v>
      </c>
      <c r="G58" s="52">
        <f>SUMIFS('Navision sales Dump'!$E:$E,'Navision sales Dump'!$K:$K,$E58,'Navision sales Dump'!$A:$A,$A58)</f>
        <v>0</v>
      </c>
      <c r="H58" s="62">
        <f>SUMIFS('Navision sales Dump'!$G:$G,'Navision sales Dump'!$K:$K,$E58,'Navision sales Dump'!$A:$A,$A58)</f>
        <v>0</v>
      </c>
      <c r="I58" s="72">
        <f>IFERROR(IF(($G58/$F58)&gt;='Discount Scheme Target'!$F$4,_xlfn.XLOOKUP($E58,'Discount Scheme Target'!$B:$B,'Discount Scheme Target'!$F:$F,0,0),IF(($G58/$F58)&gt;='Discount Scheme Target'!$E$4,_xlfn.XLOOKUP($E58,'Discount Scheme Target'!$B:$B,'Discount Scheme Target'!$E:$E,0,0),IF(($G58/$F58)&gt;='Discount Scheme Target'!$D$4,_xlfn.XLOOKUP($E58,'Discount Scheme Target'!$B:$B,'Discount Scheme Target'!$D:$D,0,0),0))),0)</f>
        <v>0</v>
      </c>
      <c r="J58" s="72">
        <f>IF(SUMIF('Customer Num Distr.'!$A:$A,Workings!$A58,'Customer Num Distr.'!$E:$E)&gt;='Discount Scheme Target'!$G$4,_xlfn.XLOOKUP(Workings!$E58,'Discount Scheme Target'!$B:$B,'Discount Scheme Target'!$G:$G,0,0),0)</f>
        <v>0</v>
      </c>
      <c r="K58" s="72">
        <f>IF(SUMIF('Bouclage EG Cust Cons_Decons'!$A:$A,Workings!$A58,'Bouclage EG Cust Cons_Decons'!$F:$F)&gt;='Discount Scheme Target'!$H$4,_xlfn.XLOOKUP(Workings!$E58,'Discount Scheme Target'!$B:$B,'Discount Scheme Target'!$H:$H,0,0),0)</f>
        <v>0</v>
      </c>
      <c r="L58" s="72">
        <f>IF(INDEX('TT Around time'!$A$1:$F$46,MATCH($A58,'TT Around time'!$A:$A,0),6)&gt;='Discount Scheme Target'!$I$4,_xlfn.XLOOKUP(Workings!$E58,'Discount Scheme Target'!$B:$B,'Discount Scheme Target'!$I:$I,0,0),0)</f>
        <v>0</v>
      </c>
      <c r="M58" s="72">
        <f t="shared" si="0"/>
        <v>0</v>
      </c>
      <c r="N58" s="62">
        <f t="shared" ref="N58:N65" si="12">IFERROR((H58/G58)*F58*M58,)</f>
        <v>0</v>
      </c>
      <c r="T58" s="61">
        <f t="shared" si="2"/>
        <v>0</v>
      </c>
      <c r="U58" s="61">
        <f t="shared" si="3"/>
        <v>0</v>
      </c>
      <c r="V58" s="61">
        <f t="shared" si="4"/>
        <v>0</v>
      </c>
      <c r="W58" s="61">
        <f t="shared" si="5"/>
        <v>0</v>
      </c>
      <c r="X58" s="61">
        <f t="shared" si="6"/>
        <v>0</v>
      </c>
      <c r="Y58" s="61">
        <f t="shared" si="7"/>
        <v>0</v>
      </c>
    </row>
    <row r="59" spans="1:25" x14ac:dyDescent="0.25">
      <c r="A59" s="51">
        <v>1300003024</v>
      </c>
      <c r="B59" s="51" t="s">
        <v>84</v>
      </c>
      <c r="C59" s="51" t="s">
        <v>140</v>
      </c>
      <c r="D59" s="51" t="s">
        <v>141</v>
      </c>
      <c r="E59" s="51" t="s">
        <v>130</v>
      </c>
      <c r="F59" s="52">
        <f>SUMIF('Customer Budget Per Category'!$A:$A,$A59,'Customer Budget Per Category'!$G:$G)</f>
        <v>607.11006122597746</v>
      </c>
      <c r="G59" s="52">
        <f>SUMIFS('Navision sales Dump'!$E:$E,'Navision sales Dump'!$K:$K,$E59,'Navision sales Dump'!$A:$A,$A59)</f>
        <v>788</v>
      </c>
      <c r="H59" s="62">
        <f>SUMIFS('Navision sales Dump'!$G:$G,'Navision sales Dump'!$K:$K,$E59,'Navision sales Dump'!$A:$A,$A59)</f>
        <v>6087552.1600000001</v>
      </c>
      <c r="I59" s="72">
        <f>IFERROR(IF(($G59/$F59)&gt;='Discount Scheme Target'!$F$4,_xlfn.XLOOKUP($E59,'Discount Scheme Target'!$B:$B,'Discount Scheme Target'!$F:$F,0,0),IF(($G59/$F59)&gt;='Discount Scheme Target'!$E$4,_xlfn.XLOOKUP($E59,'Discount Scheme Target'!$B:$B,'Discount Scheme Target'!$E:$E,0,0),IF(($G59/$F59)&gt;='Discount Scheme Target'!$D$4,_xlfn.XLOOKUP($E59,'Discount Scheme Target'!$B:$B,'Discount Scheme Target'!$D:$D,0,0),0))),0)</f>
        <v>4.5000000000000005E-2</v>
      </c>
      <c r="J59" s="72">
        <f>IF(SUMIF('Customer Num Distr.'!$A:$A,Workings!$A59,'Customer Num Distr.'!$E:$E)&gt;='Discount Scheme Target'!$G$4,_xlfn.XLOOKUP(Workings!$E59,'Discount Scheme Target'!$B:$B,'Discount Scheme Target'!$G:$G,0,0),0)</f>
        <v>0</v>
      </c>
      <c r="K59" s="72">
        <f>IF(SUMIF('Bouclage EG Cust Cons_Decons'!$A:$A,Workings!$A59,'Bouclage EG Cust Cons_Decons'!$F:$F)&gt;='Discount Scheme Target'!$H$4,_xlfn.XLOOKUP(Workings!$E59,'Discount Scheme Target'!$B:$B,'Discount Scheme Target'!$H:$H,0,0),0)</f>
        <v>0</v>
      </c>
      <c r="L59" s="72">
        <f>IF(INDEX('TT Around time'!$A$1:$F$46,MATCH($A59,'TT Around time'!$A:$A,0),6)&gt;='Discount Scheme Target'!$I$4,_xlfn.XLOOKUP(Workings!$E59,'Discount Scheme Target'!$B:$B,'Discount Scheme Target'!$I:$I,0,0),0)</f>
        <v>0.01</v>
      </c>
      <c r="M59" s="72">
        <f t="shared" si="0"/>
        <v>5.5000000000000007E-2</v>
      </c>
      <c r="N59" s="62">
        <f t="shared" si="12"/>
        <v>257956.57240046482</v>
      </c>
      <c r="T59" s="61">
        <f t="shared" si="2"/>
        <v>211055.37741856213</v>
      </c>
      <c r="U59" s="61">
        <f t="shared" si="3"/>
        <v>0</v>
      </c>
      <c r="V59" s="61">
        <f t="shared" si="4"/>
        <v>0</v>
      </c>
      <c r="W59" s="61">
        <f t="shared" si="5"/>
        <v>46901.194981902692</v>
      </c>
      <c r="X59" s="61">
        <f t="shared" si="6"/>
        <v>257956.57240046482</v>
      </c>
      <c r="Y59" s="61">
        <f t="shared" si="7"/>
        <v>0</v>
      </c>
    </row>
    <row r="60" spans="1:25" x14ac:dyDescent="0.25">
      <c r="A60" s="51">
        <v>1300003024</v>
      </c>
      <c r="B60" s="51" t="s">
        <v>84</v>
      </c>
      <c r="C60" s="51" t="s">
        <v>140</v>
      </c>
      <c r="D60" s="51" t="s">
        <v>141</v>
      </c>
      <c r="E60" s="51" t="s">
        <v>131</v>
      </c>
      <c r="F60" s="52">
        <f>SUMIF('Customer Budget Per Category'!$A:$A,$A60,'Customer Budget Per Category'!$H:$H)</f>
        <v>176.22784259461449</v>
      </c>
      <c r="G60" s="52">
        <f>SUMIFS('Navision sales Dump'!$E:$E,'Navision sales Dump'!$K:$K,$E60,'Navision sales Dump'!$A:$A,$A60)</f>
        <v>210</v>
      </c>
      <c r="H60" s="62">
        <f>SUMIFS('Navision sales Dump'!$G:$G,'Navision sales Dump'!$K:$K,$E60,'Navision sales Dump'!$A:$A,$A60)</f>
        <v>8101096.0499999998</v>
      </c>
      <c r="I60" s="72">
        <f>IFERROR(IF(($G60/$F60)&gt;='Discount Scheme Target'!$F$4,_xlfn.XLOOKUP($E60,'Discount Scheme Target'!$B:$B,'Discount Scheme Target'!$F:$F,0,0),IF(($G60/$F60)&gt;='Discount Scheme Target'!$E$4,_xlfn.XLOOKUP($E60,'Discount Scheme Target'!$B:$B,'Discount Scheme Target'!$E:$E,0,0),IF(($G60/$F60)&gt;='Discount Scheme Target'!$D$4,_xlfn.XLOOKUP($E60,'Discount Scheme Target'!$B:$B,'Discount Scheme Target'!$D:$D,0,0),0))),0)</f>
        <v>0.04</v>
      </c>
      <c r="J60" s="72">
        <f>IF(SUMIF('Customer Num Distr.'!$A:$A,Workings!$A60,'Customer Num Distr.'!$E:$E)&gt;='Discount Scheme Target'!$G$4,_xlfn.XLOOKUP(Workings!$E60,'Discount Scheme Target'!$B:$B,'Discount Scheme Target'!$G:$G,0,0),0)</f>
        <v>0</v>
      </c>
      <c r="K60" s="72">
        <f>IF(SUMIF('Bouclage EG Cust Cons_Decons'!$A:$A,Workings!$A60,'Bouclage EG Cust Cons_Decons'!$F:$F)&gt;='Discount Scheme Target'!$H$4,_xlfn.XLOOKUP(Workings!$E60,'Discount Scheme Target'!$B:$B,'Discount Scheme Target'!$H:$H,0,0),0)</f>
        <v>0</v>
      </c>
      <c r="L60" s="72">
        <f>IF(INDEX('TT Around time'!$A$1:$F$46,MATCH($A60,'TT Around time'!$A:$A,0),6)&gt;='Discount Scheme Target'!$I$4,_xlfn.XLOOKUP(Workings!$E60,'Discount Scheme Target'!$B:$B,'Discount Scheme Target'!$I:$I,0,0),0)</f>
        <v>5.0000000000000001E-3</v>
      </c>
      <c r="M60" s="72">
        <f t="shared" si="0"/>
        <v>4.4999999999999998E-2</v>
      </c>
      <c r="N60" s="62">
        <f t="shared" si="12"/>
        <v>305922.57418783999</v>
      </c>
      <c r="T60" s="61">
        <f t="shared" si="2"/>
        <v>271931.17705585778</v>
      </c>
      <c r="U60" s="61">
        <f t="shared" si="3"/>
        <v>0</v>
      </c>
      <c r="V60" s="61">
        <f t="shared" si="4"/>
        <v>0</v>
      </c>
      <c r="W60" s="61">
        <f t="shared" si="5"/>
        <v>33991.397131982223</v>
      </c>
      <c r="X60" s="61">
        <f t="shared" si="6"/>
        <v>305922.57418783999</v>
      </c>
      <c r="Y60" s="61">
        <f t="shared" si="7"/>
        <v>0</v>
      </c>
    </row>
    <row r="61" spans="1:25" x14ac:dyDescent="0.25">
      <c r="A61" s="51">
        <v>1300003024</v>
      </c>
      <c r="B61" s="51" t="s">
        <v>84</v>
      </c>
      <c r="C61" s="51" t="s">
        <v>140</v>
      </c>
      <c r="D61" s="51" t="s">
        <v>141</v>
      </c>
      <c r="E61" s="51" t="s">
        <v>514</v>
      </c>
      <c r="F61" s="52">
        <f>SUMIF('Customer Budget Per Category'!$A:$A,$A61,'Customer Budget Per Category'!$I:$I)</f>
        <v>8303.8619521677665</v>
      </c>
      <c r="G61" s="52">
        <f>SUMIFS('Navision sales Dump'!$E:$E,'Navision sales Dump'!$K:$K,$E61,'Navision sales Dump'!$A:$A,$A61)</f>
        <v>10337</v>
      </c>
      <c r="H61" s="62">
        <f>SUMIFS('Navision sales Dump'!$G:$G,'Navision sales Dump'!$K:$K,$E61,'Navision sales Dump'!$A:$A,$A61)</f>
        <v>40914156.110000007</v>
      </c>
      <c r="I61" s="72">
        <f>IFERROR(IF(($G61/$F61)&gt;='Discount Scheme Target'!$F$4,_xlfn.XLOOKUP($E61,'Discount Scheme Target'!$B:$B,'Discount Scheme Target'!$F:$F,0,0),IF(($G61/$F61)&gt;='Discount Scheme Target'!$E$4,_xlfn.XLOOKUP($E61,'Discount Scheme Target'!$B:$B,'Discount Scheme Target'!$E:$E,0,0),IF(($G61/$F61)&gt;='Discount Scheme Target'!$D$4,_xlfn.XLOOKUP($E61,'Discount Scheme Target'!$B:$B,'Discount Scheme Target'!$D:$D,0,0),0))),0)</f>
        <v>0.04</v>
      </c>
      <c r="J61" s="72">
        <f>IF(SUMIF('Customer Num Distr.'!$A:$A,Workings!$A61,'Customer Num Distr.'!$E:$E)&gt;='Discount Scheme Target'!$G$4,_xlfn.XLOOKUP(Workings!$E61,'Discount Scheme Target'!$B:$B,'Discount Scheme Target'!$G:$G,0,0),0)</f>
        <v>0</v>
      </c>
      <c r="K61" s="72">
        <f>IF(SUMIF('Bouclage EG Cust Cons_Decons'!$A:$A,Workings!$A61,'Bouclage EG Cust Cons_Decons'!$F:$F)&gt;='Discount Scheme Target'!$H$4,_xlfn.XLOOKUP(Workings!$E61,'Discount Scheme Target'!$B:$B,'Discount Scheme Target'!$H:$H,0,0),0)</f>
        <v>0</v>
      </c>
      <c r="L61" s="72">
        <f>IF(INDEX('TT Around time'!$A$1:$F$46,MATCH($A61,'TT Around time'!$A:$A,0),6)&gt;='Discount Scheme Target'!$I$4,_xlfn.XLOOKUP(Workings!$E61,'Discount Scheme Target'!$B:$B,'Discount Scheme Target'!$I:$I,0,0),0)</f>
        <v>5.0000000000000001E-3</v>
      </c>
      <c r="M61" s="72">
        <f t="shared" si="0"/>
        <v>4.4999999999999998E-2</v>
      </c>
      <c r="N61" s="62">
        <f t="shared" si="12"/>
        <v>1479012.0625142364</v>
      </c>
      <c r="T61" s="61">
        <f t="shared" si="2"/>
        <v>1314677.3889015436</v>
      </c>
      <c r="U61" s="61">
        <f t="shared" si="3"/>
        <v>0</v>
      </c>
      <c r="V61" s="61">
        <f t="shared" si="4"/>
        <v>0</v>
      </c>
      <c r="W61" s="61">
        <f t="shared" si="5"/>
        <v>164334.67361269295</v>
      </c>
      <c r="X61" s="61">
        <f t="shared" si="6"/>
        <v>1479012.0625142364</v>
      </c>
      <c r="Y61" s="61">
        <f t="shared" si="7"/>
        <v>0</v>
      </c>
    </row>
    <row r="62" spans="1:25" x14ac:dyDescent="0.25">
      <c r="A62" s="51">
        <v>1300003024</v>
      </c>
      <c r="B62" s="51" t="s">
        <v>84</v>
      </c>
      <c r="C62" s="51" t="s">
        <v>140</v>
      </c>
      <c r="D62" s="51" t="s">
        <v>141</v>
      </c>
      <c r="E62" s="51" t="s">
        <v>515</v>
      </c>
      <c r="F62" s="52">
        <f>SUMIF('Customer Budget Per Category'!$A:$A,$A62,'Customer Budget Per Category'!$J:$J)</f>
        <v>1139.9811850226615</v>
      </c>
      <c r="G62" s="52">
        <f>SUMIFS('Navision sales Dump'!$E:$E,'Navision sales Dump'!$K:$K,$E62,'Navision sales Dump'!$A:$A,$A62)</f>
        <v>434</v>
      </c>
      <c r="H62" s="62">
        <f>SUMIFS('Navision sales Dump'!$G:$G,'Navision sales Dump'!$K:$K,$E62,'Navision sales Dump'!$A:$A,$A62)</f>
        <v>1225138.6000000001</v>
      </c>
      <c r="I62" s="72">
        <f>IFERROR(IF(($G62/$F62)&gt;='Discount Scheme Target'!$F$4,_xlfn.XLOOKUP($E62,'Discount Scheme Target'!$B:$B,'Discount Scheme Target'!$F:$F,0,0),IF(($G62/$F62)&gt;='Discount Scheme Target'!$E$4,_xlfn.XLOOKUP($E62,'Discount Scheme Target'!$B:$B,'Discount Scheme Target'!$E:$E,0,0),IF(($G62/$F62)&gt;='Discount Scheme Target'!$D$4,_xlfn.XLOOKUP($E62,'Discount Scheme Target'!$B:$B,'Discount Scheme Target'!$D:$D,0,0),0))),0)</f>
        <v>0</v>
      </c>
      <c r="J62" s="72">
        <f>IF(SUMIF('Customer Num Distr.'!$A:$A,Workings!$A62,'Customer Num Distr.'!$E:$E)&gt;='Discount Scheme Target'!$G$4,_xlfn.XLOOKUP(Workings!$E62,'Discount Scheme Target'!$B:$B,'Discount Scheme Target'!$G:$G,0,0),0)</f>
        <v>0</v>
      </c>
      <c r="K62" s="72">
        <f>IF(SUMIF('Bouclage EG Cust Cons_Decons'!$A:$A,Workings!$A62,'Bouclage EG Cust Cons_Decons'!$F:$F)&gt;='Discount Scheme Target'!$H$4,_xlfn.XLOOKUP(Workings!$E62,'Discount Scheme Target'!$B:$B,'Discount Scheme Target'!$H:$H,0,0),0)</f>
        <v>0</v>
      </c>
      <c r="L62" s="72">
        <f>IF(INDEX('TT Around time'!$A$1:$F$46,MATCH($A62,'TT Around time'!$A:$A,0),6)&gt;='Discount Scheme Target'!$I$4,_xlfn.XLOOKUP(Workings!$E62,'Discount Scheme Target'!$B:$B,'Discount Scheme Target'!$I:$I,0,0),0)</f>
        <v>5.0000000000000001E-3</v>
      </c>
      <c r="M62" s="72">
        <f t="shared" si="0"/>
        <v>5.0000000000000001E-3</v>
      </c>
      <c r="N62" s="62">
        <f t="shared" si="12"/>
        <v>16090.264436002357</v>
      </c>
      <c r="T62" s="61">
        <f t="shared" si="2"/>
        <v>0</v>
      </c>
      <c r="U62" s="61">
        <f t="shared" si="3"/>
        <v>0</v>
      </c>
      <c r="V62" s="61">
        <f t="shared" si="4"/>
        <v>0</v>
      </c>
      <c r="W62" s="61">
        <f t="shared" si="5"/>
        <v>16090.264436002357</v>
      </c>
      <c r="X62" s="61">
        <f t="shared" si="6"/>
        <v>16090.264436002357</v>
      </c>
      <c r="Y62" s="61">
        <f t="shared" si="7"/>
        <v>0</v>
      </c>
    </row>
    <row r="63" spans="1:25" x14ac:dyDescent="0.25">
      <c r="A63" s="51">
        <v>1300003024</v>
      </c>
      <c r="B63" s="51" t="s">
        <v>84</v>
      </c>
      <c r="C63" s="51" t="s">
        <v>140</v>
      </c>
      <c r="D63" s="51" t="s">
        <v>141</v>
      </c>
      <c r="E63" s="51" t="s">
        <v>161</v>
      </c>
      <c r="F63" s="52">
        <f>SUMIF('Customer Budget Per Category'!$A:$A,$A63,'Customer Budget Per Category'!$K:$K)</f>
        <v>0</v>
      </c>
      <c r="G63" s="52">
        <f>SUMIFS('Navision sales Dump'!$E:$E,'Navision sales Dump'!$K:$K,$E63,'Navision sales Dump'!$A:$A,$A63)</f>
        <v>0</v>
      </c>
      <c r="H63" s="62">
        <f>SUMIFS('Navision sales Dump'!$G:$G,'Navision sales Dump'!$K:$K,$E63,'Navision sales Dump'!$A:$A,$A63)</f>
        <v>0</v>
      </c>
      <c r="I63" s="72">
        <f>IFERROR(IF(($G63/$F63)&gt;='Discount Scheme Target'!$F$4,_xlfn.XLOOKUP($E63,'Discount Scheme Target'!$B:$B,'Discount Scheme Target'!$F:$F,0,0),IF(($G63/$F63)&gt;='Discount Scheme Target'!$E$4,_xlfn.XLOOKUP($E63,'Discount Scheme Target'!$B:$B,'Discount Scheme Target'!$E:$E,0,0),IF(($G63/$F63)&gt;='Discount Scheme Target'!$D$4,_xlfn.XLOOKUP($E63,'Discount Scheme Target'!$B:$B,'Discount Scheme Target'!$D:$D,0,0),0))),0)</f>
        <v>0</v>
      </c>
      <c r="J63" s="72">
        <f>IF(SUMIF('Customer Num Distr.'!$A:$A,Workings!$A63,'Customer Num Distr.'!$E:$E)&gt;='Discount Scheme Target'!$G$4,_xlfn.XLOOKUP(Workings!$E63,'Discount Scheme Target'!$B:$B,'Discount Scheme Target'!$G:$G,0,0),0)</f>
        <v>0</v>
      </c>
      <c r="K63" s="72">
        <f>IF(SUMIF('Bouclage EG Cust Cons_Decons'!$A:$A,Workings!$A63,'Bouclage EG Cust Cons_Decons'!$F:$F)&gt;='Discount Scheme Target'!$H$4,_xlfn.XLOOKUP(Workings!$E63,'Discount Scheme Target'!$B:$B,'Discount Scheme Target'!$H:$H,0,0),0)</f>
        <v>0</v>
      </c>
      <c r="L63" s="72">
        <f>IF(INDEX('TT Around time'!$A$1:$F$46,MATCH($A63,'TT Around time'!$A:$A,0),6)&gt;='Discount Scheme Target'!$I$4,_xlfn.XLOOKUP(Workings!$E63,'Discount Scheme Target'!$B:$B,'Discount Scheme Target'!$I:$I,0,0),0)</f>
        <v>0</v>
      </c>
      <c r="M63" s="72">
        <f t="shared" si="0"/>
        <v>0</v>
      </c>
      <c r="N63" s="62">
        <f t="shared" si="12"/>
        <v>0</v>
      </c>
      <c r="T63" s="61">
        <f t="shared" si="2"/>
        <v>0</v>
      </c>
      <c r="U63" s="61">
        <f t="shared" si="3"/>
        <v>0</v>
      </c>
      <c r="V63" s="61">
        <f t="shared" si="4"/>
        <v>0</v>
      </c>
      <c r="W63" s="61">
        <f t="shared" si="5"/>
        <v>0</v>
      </c>
      <c r="X63" s="61">
        <f t="shared" si="6"/>
        <v>0</v>
      </c>
      <c r="Y63" s="61">
        <f t="shared" si="7"/>
        <v>0</v>
      </c>
    </row>
    <row r="64" spans="1:25" x14ac:dyDescent="0.25">
      <c r="A64" s="51">
        <v>1300003024</v>
      </c>
      <c r="B64" s="51" t="s">
        <v>84</v>
      </c>
      <c r="C64" s="51" t="s">
        <v>140</v>
      </c>
      <c r="D64" s="51" t="s">
        <v>141</v>
      </c>
      <c r="E64" s="51" t="s">
        <v>354</v>
      </c>
      <c r="F64" s="52">
        <f>SUMIF('Customer Budget Per Category'!$A:$A,$A64,'Customer Budget Per Category'!$L:$L)</f>
        <v>2175.7556348991989</v>
      </c>
      <c r="G64" s="52">
        <f>SUMIFS('Navision sales Dump'!$E:$E,'Navision sales Dump'!$K:$K,$E64,'Navision sales Dump'!$A:$A,$A64)</f>
        <v>4445</v>
      </c>
      <c r="H64" s="62">
        <f>SUMIFS('Navision sales Dump'!$G:$G,'Navision sales Dump'!$K:$K,$E64,'Navision sales Dump'!$A:$A,$A64)</f>
        <v>15133533.920000002</v>
      </c>
      <c r="I64" s="72">
        <f>IFERROR(IF(($G64/$F64)&gt;='Discount Scheme Target'!$F$4,_xlfn.XLOOKUP($E64,'Discount Scheme Target'!$B:$B,'Discount Scheme Target'!$F:$F,0,0),IF(($G64/$F64)&gt;='Discount Scheme Target'!$E$4,_xlfn.XLOOKUP($E64,'Discount Scheme Target'!$B:$B,'Discount Scheme Target'!$E:$E,0,0),IF(($G64/$F64)&gt;='Discount Scheme Target'!$D$4,_xlfn.XLOOKUP($E64,'Discount Scheme Target'!$B:$B,'Discount Scheme Target'!$D:$D,0,0),0))),0)</f>
        <v>0.04</v>
      </c>
      <c r="J64" s="72">
        <f>IF(SUMIF('Customer Num Distr.'!$A:$A,Workings!$A64,'Customer Num Distr.'!$E:$E)&gt;='Discount Scheme Target'!$G$4,_xlfn.XLOOKUP(Workings!$E64,'Discount Scheme Target'!$B:$B,'Discount Scheme Target'!$G:$G,0,0),0)</f>
        <v>0</v>
      </c>
      <c r="K64" s="72">
        <f>IF(SUMIF('Bouclage EG Cust Cons_Decons'!$A:$A,Workings!$A64,'Bouclage EG Cust Cons_Decons'!$F:$F)&gt;='Discount Scheme Target'!$H$4,_xlfn.XLOOKUP(Workings!$E64,'Discount Scheme Target'!$B:$B,'Discount Scheme Target'!$H:$H,0,0),0)</f>
        <v>0</v>
      </c>
      <c r="L64" s="72">
        <f>IF(INDEX('TT Around time'!$A$1:$F$46,MATCH($A64,'TT Around time'!$A:$A,0),6)&gt;='Discount Scheme Target'!$I$4,_xlfn.XLOOKUP(Workings!$E64,'Discount Scheme Target'!$B:$B,'Discount Scheme Target'!$I:$I,0,0),0)</f>
        <v>5.0000000000000001E-3</v>
      </c>
      <c r="M64" s="72">
        <f t="shared" si="0"/>
        <v>4.4999999999999998E-2</v>
      </c>
      <c r="N64" s="62">
        <f t="shared" si="12"/>
        <v>333342.90812306356</v>
      </c>
      <c r="T64" s="61">
        <f t="shared" si="2"/>
        <v>296304.80722050095</v>
      </c>
      <c r="U64" s="61">
        <f t="shared" si="3"/>
        <v>0</v>
      </c>
      <c r="V64" s="61">
        <f t="shared" si="4"/>
        <v>0</v>
      </c>
      <c r="W64" s="61">
        <f t="shared" si="5"/>
        <v>37038.100902562619</v>
      </c>
      <c r="X64" s="61">
        <f t="shared" si="6"/>
        <v>333342.90812306356</v>
      </c>
      <c r="Y64" s="61">
        <f t="shared" si="7"/>
        <v>0</v>
      </c>
    </row>
    <row r="65" spans="1:25" x14ac:dyDescent="0.25">
      <c r="A65" s="51">
        <v>1300003024</v>
      </c>
      <c r="B65" s="51" t="s">
        <v>84</v>
      </c>
      <c r="C65" s="51" t="s">
        <v>140</v>
      </c>
      <c r="D65" s="51" t="s">
        <v>141</v>
      </c>
      <c r="E65" s="51" t="s">
        <v>355</v>
      </c>
      <c r="F65" s="52">
        <f>SUMIF('Customer Budget Per Category'!$A:$A,$A65,'Customer Budget Per Category'!$M:$M)</f>
        <v>1706.8972907331952</v>
      </c>
      <c r="G65" s="52">
        <f>SUMIFS('Navision sales Dump'!$E:$E,'Navision sales Dump'!$K:$K,$E65,'Navision sales Dump'!$A:$A,$A65)</f>
        <v>754</v>
      </c>
      <c r="H65" s="62">
        <f>SUMIFS('Navision sales Dump'!$G:$G,'Navision sales Dump'!$K:$K,$E65,'Navision sales Dump'!$A:$A,$A65)</f>
        <v>1928041.41</v>
      </c>
      <c r="I65" s="72">
        <f>IFERROR(IF(($G65/$F65)&gt;='Discount Scheme Target'!$F$4,_xlfn.XLOOKUP($E65,'Discount Scheme Target'!$B:$B,'Discount Scheme Target'!$F:$F,0,0),IF(($G65/$F65)&gt;='Discount Scheme Target'!$E$4,_xlfn.XLOOKUP($E65,'Discount Scheme Target'!$B:$B,'Discount Scheme Target'!$E:$E,0,0),IF(($G65/$F65)&gt;='Discount Scheme Target'!$D$4,_xlfn.XLOOKUP($E65,'Discount Scheme Target'!$B:$B,'Discount Scheme Target'!$D:$D,0,0),0))),0)</f>
        <v>0</v>
      </c>
      <c r="J65" s="72">
        <f>IF(SUMIF('Customer Num Distr.'!$A:$A,Workings!$A65,'Customer Num Distr.'!$E:$E)&gt;='Discount Scheme Target'!$G$4,_xlfn.XLOOKUP(Workings!$E65,'Discount Scheme Target'!$B:$B,'Discount Scheme Target'!$G:$G,0,0),0)</f>
        <v>0</v>
      </c>
      <c r="K65" s="72">
        <f>IF(SUMIF('Bouclage EG Cust Cons_Decons'!$A:$A,Workings!$A65,'Bouclage EG Cust Cons_Decons'!$F:$F)&gt;='Discount Scheme Target'!$H$4,_xlfn.XLOOKUP(Workings!$E65,'Discount Scheme Target'!$B:$B,'Discount Scheme Target'!$H:$H,0,0),0)</f>
        <v>0</v>
      </c>
      <c r="L65" s="72">
        <f>IF(INDEX('TT Around time'!$A$1:$F$46,MATCH($A65,'TT Around time'!$A:$A,0),6)&gt;='Discount Scheme Target'!$I$4,_xlfn.XLOOKUP(Workings!$E65,'Discount Scheme Target'!$B:$B,'Discount Scheme Target'!$I:$I,0,0),0)</f>
        <v>5.0000000000000001E-3</v>
      </c>
      <c r="M65" s="72">
        <f t="shared" si="0"/>
        <v>5.0000000000000001E-3</v>
      </c>
      <c r="N65" s="62">
        <f t="shared" si="12"/>
        <v>21823.399596488129</v>
      </c>
      <c r="T65" s="61">
        <f t="shared" si="2"/>
        <v>0</v>
      </c>
      <c r="U65" s="61">
        <f t="shared" si="3"/>
        <v>0</v>
      </c>
      <c r="V65" s="61">
        <f t="shared" si="4"/>
        <v>0</v>
      </c>
      <c r="W65" s="61">
        <f t="shared" si="5"/>
        <v>21823.399596488129</v>
      </c>
      <c r="X65" s="61">
        <f t="shared" si="6"/>
        <v>21823.399596488129</v>
      </c>
      <c r="Y65" s="61">
        <f t="shared" si="7"/>
        <v>0</v>
      </c>
    </row>
    <row r="66" spans="1:25" x14ac:dyDescent="0.25">
      <c r="A66" s="51">
        <v>1300003024</v>
      </c>
      <c r="B66" s="51" t="s">
        <v>84</v>
      </c>
      <c r="C66" s="51" t="s">
        <v>140</v>
      </c>
      <c r="D66" s="51" t="s">
        <v>141</v>
      </c>
      <c r="E66" s="51" t="s">
        <v>132</v>
      </c>
      <c r="F66" s="52">
        <f>SUMIF('Customer Budget Per Category'!$A:$A,$A66,'Customer Budget Per Category'!$N:$N)</f>
        <v>584.25982531991269</v>
      </c>
      <c r="G66" s="52">
        <f>SUMIFS('Navision sales Dump'!$E:$E,'Navision sales Dump'!$K:$K,$E66,'Navision sales Dump'!$A:$A,$A66)</f>
        <v>272.33332000000001</v>
      </c>
      <c r="H66" s="62">
        <f>SUMIFS('Navision sales Dump'!$G:$G,'Navision sales Dump'!$K:$K,$E66,'Navision sales Dump'!$A:$A,$A66)</f>
        <v>594340.24</v>
      </c>
      <c r="I66" s="72">
        <f>IFERROR(IF(($G66/$F66)&gt;='Discount Scheme Target'!$F$4,_xlfn.XLOOKUP($E66,'Discount Scheme Target'!$B:$B,'Discount Scheme Target'!$F:$F,0,0),IF(($G66/$F66)&gt;='Discount Scheme Target'!$E$4,_xlfn.XLOOKUP($E66,'Discount Scheme Target'!$B:$B,'Discount Scheme Target'!$E:$E,0,0),IF(($G66/$F66)&gt;='Discount Scheme Target'!$D$4,_xlfn.XLOOKUP($E66,'Discount Scheme Target'!$B:$B,'Discount Scheme Target'!$D:$D,0,0),0))),0)</f>
        <v>0</v>
      </c>
      <c r="J66" s="72">
        <f>IF(SUMIF('Customer Num Distr.'!$A:$A,Workings!$A66,'Customer Num Distr.'!$E:$E)&gt;='Discount Scheme Target'!$G$4,_xlfn.XLOOKUP(Workings!$E66,'Discount Scheme Target'!$B:$B,'Discount Scheme Target'!$G:$G,0,0),0)</f>
        <v>0</v>
      </c>
      <c r="K66" s="72">
        <f>IF(SUMIF('Bouclage EG Cust Cons_Decons'!$A:$A,Workings!$A66,'Bouclage EG Cust Cons_Decons'!$F:$F)&gt;='Discount Scheme Target'!$H$4,_xlfn.XLOOKUP(Workings!$E66,'Discount Scheme Target'!$B:$B,'Discount Scheme Target'!$H:$H,0,0),0)</f>
        <v>0</v>
      </c>
      <c r="L66" s="72">
        <f>IF(INDEX('TT Around time'!$A$1:$F$46,MATCH($A66,'TT Around time'!$A:$A,0),6)&gt;='Discount Scheme Target'!$I$4,_xlfn.XLOOKUP(Workings!$E66,'Discount Scheme Target'!$B:$B,'Discount Scheme Target'!$I:$I,0,0),0)</f>
        <v>5.0000000000000001E-3</v>
      </c>
      <c r="M66" s="72">
        <f t="shared" si="0"/>
        <v>5.0000000000000001E-3</v>
      </c>
      <c r="N66" s="62">
        <f>IFERROR((H66/G66)*F66*M66,)</f>
        <v>6375.4432399787684</v>
      </c>
      <c r="T66" s="61">
        <f t="shared" si="2"/>
        <v>0</v>
      </c>
      <c r="U66" s="61">
        <f t="shared" si="3"/>
        <v>0</v>
      </c>
      <c r="V66" s="61">
        <f t="shared" si="4"/>
        <v>0</v>
      </c>
      <c r="W66" s="61">
        <f t="shared" si="5"/>
        <v>6375.4432399787684</v>
      </c>
      <c r="X66" s="61">
        <f t="shared" si="6"/>
        <v>6375.4432399787684</v>
      </c>
      <c r="Y66" s="61">
        <f t="shared" si="7"/>
        <v>0</v>
      </c>
    </row>
    <row r="67" spans="1:25" x14ac:dyDescent="0.25">
      <c r="A67" s="51">
        <v>1300003024</v>
      </c>
      <c r="B67" s="51" t="s">
        <v>84</v>
      </c>
      <c r="C67" s="51" t="s">
        <v>140</v>
      </c>
      <c r="D67" s="51" t="s">
        <v>141</v>
      </c>
      <c r="E67" s="51" t="s">
        <v>133</v>
      </c>
      <c r="F67" s="52">
        <f>SUMIF('Customer Budget Per Category'!$A:$A,$A67,'Customer Budget Per Category'!$O:$O)</f>
        <v>971.62514891418027</v>
      </c>
      <c r="G67" s="52">
        <f>SUMIFS('Navision sales Dump'!$E:$E,'Navision sales Dump'!$K:$K,$E67,'Navision sales Dump'!$A:$A,$A67)</f>
        <v>263.5</v>
      </c>
      <c r="H67" s="62">
        <f>SUMIFS('Navision sales Dump'!$G:$G,'Navision sales Dump'!$K:$K,$E67,'Navision sales Dump'!$A:$A,$A67)</f>
        <v>2491798.83</v>
      </c>
      <c r="I67" s="72">
        <f>IFERROR(IF(($G67/$F67)&gt;='Discount Scheme Target'!$F$4,_xlfn.XLOOKUP($E67,'Discount Scheme Target'!$B:$B,'Discount Scheme Target'!$F:$F,0,0),IF(($G67/$F67)&gt;='Discount Scheme Target'!$E$4,_xlfn.XLOOKUP($E67,'Discount Scheme Target'!$B:$B,'Discount Scheme Target'!$E:$E,0,0),IF(($G67/$F67)&gt;='Discount Scheme Target'!$D$4,_xlfn.XLOOKUP($E67,'Discount Scheme Target'!$B:$B,'Discount Scheme Target'!$D:$D,0,0),0))),0)</f>
        <v>0</v>
      </c>
      <c r="J67" s="72">
        <f>IF(SUMIF('Customer Num Distr.'!$A:$A,Workings!$A67,'Customer Num Distr.'!$E:$E)&gt;='Discount Scheme Target'!$G$4,_xlfn.XLOOKUP(Workings!$E67,'Discount Scheme Target'!$B:$B,'Discount Scheme Target'!$G:$G,0,0),0)</f>
        <v>0</v>
      </c>
      <c r="K67" s="72">
        <f>IF(SUMIF('Bouclage EG Cust Cons_Decons'!$A:$A,Workings!$A67,'Bouclage EG Cust Cons_Decons'!$F:$F)&gt;='Discount Scheme Target'!$H$4,_xlfn.XLOOKUP(Workings!$E67,'Discount Scheme Target'!$B:$B,'Discount Scheme Target'!$H:$H,0,0),0)</f>
        <v>0</v>
      </c>
      <c r="L67" s="72">
        <f>IF(INDEX('TT Around time'!$A$1:$F$46,MATCH($A67,'TT Around time'!$A:$A,0),6)&gt;='Discount Scheme Target'!$I$4,_xlfn.XLOOKUP(Workings!$E67,'Discount Scheme Target'!$B:$B,'Discount Scheme Target'!$I:$I,0,0),0)</f>
        <v>5.0000000000000001E-3</v>
      </c>
      <c r="M67" s="72">
        <f t="shared" ref="M67:M122" si="13">SUM($I67:$L67)</f>
        <v>5.0000000000000001E-3</v>
      </c>
      <c r="N67" s="62">
        <f>IFERROR((H67/G67)*F67*M67,)</f>
        <v>45941.070384495826</v>
      </c>
      <c r="T67" s="61">
        <f t="shared" ref="T67:T122" si="14">IFERROR(($H67/$G67)*$F67*$I67,)</f>
        <v>0</v>
      </c>
      <c r="U67" s="61">
        <f t="shared" ref="U67:U122" si="15">IFERROR(($H67/$G67)*$F67*$J67,)</f>
        <v>0</v>
      </c>
      <c r="V67" s="61">
        <f t="shared" ref="V67:V122" si="16">IFERROR(($H67/$G67)*$F67*$K67,)</f>
        <v>0</v>
      </c>
      <c r="W67" s="61">
        <f t="shared" ref="W67:W122" si="17">IFERROR(($H67/$G67)*$F67*$L67,)</f>
        <v>45941.070384495826</v>
      </c>
      <c r="X67" s="61">
        <f t="shared" ref="X67:X122" si="18">SUM(T67:W67)</f>
        <v>45941.070384495826</v>
      </c>
      <c r="Y67" s="61">
        <f t="shared" ref="Y67:Y122" si="19">N67-X67</f>
        <v>0</v>
      </c>
    </row>
    <row r="68" spans="1:25" x14ac:dyDescent="0.25">
      <c r="A68" s="51">
        <v>1210516003</v>
      </c>
      <c r="B68" s="51" t="s">
        <v>83</v>
      </c>
      <c r="C68" s="51" t="s">
        <v>140</v>
      </c>
      <c r="D68" s="51" t="s">
        <v>141</v>
      </c>
      <c r="E68" s="51" t="s">
        <v>417</v>
      </c>
      <c r="F68" s="52">
        <f>SUMIF('Customer Budget Per Category'!$A:$A,$A68,'Customer Budget Per Category'!$E:$E)</f>
        <v>14069.68230419019</v>
      </c>
      <c r="G68" s="52">
        <f>SUMIFS('Navision sales Dump'!$E:$E,'Navision sales Dump'!$K:$K,$E68,'Navision sales Dump'!$A:$A,$A68)</f>
        <v>8370</v>
      </c>
      <c r="H68" s="62">
        <f>SUMIFS('Navision sales Dump'!$G:$G,'Navision sales Dump'!$K:$K,$E68,'Navision sales Dump'!$A:$A,$A68)</f>
        <v>60489268.559999995</v>
      </c>
      <c r="I68" s="72">
        <f>IFERROR(IF(($G68/$F68)&gt;='Discount Scheme Target'!$F$4,_xlfn.XLOOKUP($E68,'Discount Scheme Target'!$B:$B,'Discount Scheme Target'!$F:$F,0,0),IF(($G68/$F68)&gt;='Discount Scheme Target'!$E$4,_xlfn.XLOOKUP($E68,'Discount Scheme Target'!$B:$B,'Discount Scheme Target'!$E:$E,0,0),IF(($G68/$F68)&gt;='Discount Scheme Target'!$D$4,_xlfn.XLOOKUP($E68,'Discount Scheme Target'!$B:$B,'Discount Scheme Target'!$D:$D,0,0),0))),0)</f>
        <v>0</v>
      </c>
      <c r="J68" s="72">
        <f>IF(SUMIF('Customer Num Distr.'!$A:$A,Workings!$A68,'Customer Num Distr.'!$E:$E)&gt;='Discount Scheme Target'!$G$4,_xlfn.XLOOKUP(Workings!$E68,'Discount Scheme Target'!$B:$B,'Discount Scheme Target'!$G:$G,0,0),0)</f>
        <v>0</v>
      </c>
      <c r="K68" s="72">
        <f>IF(SUMIF('Bouclage EG Cust Cons_Decons'!$A:$A,Workings!$A68,'Bouclage EG Cust Cons_Decons'!$F:$F)&gt;='Discount Scheme Target'!$H$4,_xlfn.XLOOKUP(Workings!$E68,'Discount Scheme Target'!$B:$B,'Discount Scheme Target'!$H:$H,0,0),0)</f>
        <v>0</v>
      </c>
      <c r="L68" s="72">
        <f>IF(INDEX('TT Around time'!$A$1:$F$46,MATCH($A68,'TT Around time'!$A:$A,0),6)&gt;='Discount Scheme Target'!$I$4,_xlfn.XLOOKUP(Workings!$E68,'Discount Scheme Target'!$B:$B,'Discount Scheme Target'!$I:$I,0,0),0)</f>
        <v>0.01</v>
      </c>
      <c r="M68" s="72">
        <f t="shared" si="13"/>
        <v>0.01</v>
      </c>
      <c r="N68" s="62">
        <f>IFERROR((H68/G68)*F68*M68,)</f>
        <v>1016803.8129654001</v>
      </c>
      <c r="T68" s="61">
        <f t="shared" si="14"/>
        <v>0</v>
      </c>
      <c r="U68" s="61">
        <f t="shared" si="15"/>
        <v>0</v>
      </c>
      <c r="V68" s="61">
        <f t="shared" si="16"/>
        <v>0</v>
      </c>
      <c r="W68" s="61">
        <f t="shared" si="17"/>
        <v>1016803.8129654001</v>
      </c>
      <c r="X68" s="61">
        <f t="shared" si="18"/>
        <v>1016803.8129654001</v>
      </c>
      <c r="Y68" s="61">
        <f t="shared" si="19"/>
        <v>0</v>
      </c>
    </row>
    <row r="69" spans="1:25" x14ac:dyDescent="0.25">
      <c r="A69" s="51">
        <v>1210516003</v>
      </c>
      <c r="B69" s="51" t="s">
        <v>83</v>
      </c>
      <c r="C69" s="51" t="s">
        <v>140</v>
      </c>
      <c r="D69" s="51" t="s">
        <v>141</v>
      </c>
      <c r="E69" s="51" t="s">
        <v>418</v>
      </c>
      <c r="F69" s="52">
        <f>SUMIF('Customer Budget Per Category'!$A:$A,$A69,'Customer Budget Per Category'!$F:$F)</f>
        <v>0</v>
      </c>
      <c r="G69" s="52">
        <f>SUMIFS('Navision sales Dump'!$E:$E,'Navision sales Dump'!$K:$K,$E69,'Navision sales Dump'!$A:$A,$A69)</f>
        <v>0</v>
      </c>
      <c r="H69" s="62">
        <f>SUMIFS('Navision sales Dump'!$G:$G,'Navision sales Dump'!$K:$K,$E69,'Navision sales Dump'!$A:$A,$A69)</f>
        <v>0</v>
      </c>
      <c r="I69" s="72">
        <f>IFERROR(IF(($G69/$F69)&gt;='Discount Scheme Target'!$F$4,_xlfn.XLOOKUP($E69,'Discount Scheme Target'!$B:$B,'Discount Scheme Target'!$F:$F,0,0),IF(($G69/$F69)&gt;='Discount Scheme Target'!$E$4,_xlfn.XLOOKUP($E69,'Discount Scheme Target'!$B:$B,'Discount Scheme Target'!$E:$E,0,0),IF(($G69/$F69)&gt;='Discount Scheme Target'!$D$4,_xlfn.XLOOKUP($E69,'Discount Scheme Target'!$B:$B,'Discount Scheme Target'!$D:$D,0,0),0))),0)</f>
        <v>0</v>
      </c>
      <c r="J69" s="72">
        <f>IF(SUMIF('Customer Num Distr.'!$A:$A,Workings!$A69,'Customer Num Distr.'!$E:$E)&gt;='Discount Scheme Target'!$G$4,_xlfn.XLOOKUP(Workings!$E69,'Discount Scheme Target'!$B:$B,'Discount Scheme Target'!$G:$G,0,0),0)</f>
        <v>0</v>
      </c>
      <c r="K69" s="72">
        <f>IF(SUMIF('Bouclage EG Cust Cons_Decons'!$A:$A,Workings!$A69,'Bouclage EG Cust Cons_Decons'!$F:$F)&gt;='Discount Scheme Target'!$H$4,_xlfn.XLOOKUP(Workings!$E69,'Discount Scheme Target'!$B:$B,'Discount Scheme Target'!$H:$H,0,0),0)</f>
        <v>0</v>
      </c>
      <c r="L69" s="72">
        <f>IF(INDEX('TT Around time'!$A$1:$F$46,MATCH($A69,'TT Around time'!$A:$A,0),6)&gt;='Discount Scheme Target'!$I$4,_xlfn.XLOOKUP(Workings!$E69,'Discount Scheme Target'!$B:$B,'Discount Scheme Target'!$I:$I,0,0),0)</f>
        <v>0</v>
      </c>
      <c r="M69" s="72">
        <f t="shared" si="13"/>
        <v>0</v>
      </c>
      <c r="N69" s="62">
        <f t="shared" ref="N69:N76" si="20">IFERROR((H69/G69)*F69*M69,)</f>
        <v>0</v>
      </c>
      <c r="T69" s="61">
        <f t="shared" si="14"/>
        <v>0</v>
      </c>
      <c r="U69" s="61">
        <f t="shared" si="15"/>
        <v>0</v>
      </c>
      <c r="V69" s="61">
        <f t="shared" si="16"/>
        <v>0</v>
      </c>
      <c r="W69" s="61">
        <f t="shared" si="17"/>
        <v>0</v>
      </c>
      <c r="X69" s="61">
        <f t="shared" si="18"/>
        <v>0</v>
      </c>
      <c r="Y69" s="61">
        <f t="shared" si="19"/>
        <v>0</v>
      </c>
    </row>
    <row r="70" spans="1:25" x14ac:dyDescent="0.25">
      <c r="A70" s="51">
        <v>1210516003</v>
      </c>
      <c r="B70" s="51" t="s">
        <v>83</v>
      </c>
      <c r="C70" s="51" t="s">
        <v>140</v>
      </c>
      <c r="D70" s="51" t="s">
        <v>141</v>
      </c>
      <c r="E70" s="51" t="s">
        <v>130</v>
      </c>
      <c r="F70" s="52">
        <f>SUMIF('Customer Budget Per Category'!$A:$A,$A70,'Customer Budget Per Category'!$G:$G)</f>
        <v>310.84567223184524</v>
      </c>
      <c r="G70" s="52">
        <f>SUMIFS('Navision sales Dump'!$E:$E,'Navision sales Dump'!$K:$K,$E70,'Navision sales Dump'!$A:$A,$A70)</f>
        <v>144</v>
      </c>
      <c r="H70" s="62">
        <f>SUMIFS('Navision sales Dump'!$G:$G,'Navision sales Dump'!$K:$K,$E70,'Navision sales Dump'!$A:$A,$A70)</f>
        <v>1112446.08</v>
      </c>
      <c r="I70" s="72">
        <f>IFERROR(IF(($G70/$F70)&gt;='Discount Scheme Target'!$F$4,_xlfn.XLOOKUP($E70,'Discount Scheme Target'!$B:$B,'Discount Scheme Target'!$F:$F,0,0),IF(($G70/$F70)&gt;='Discount Scheme Target'!$E$4,_xlfn.XLOOKUP($E70,'Discount Scheme Target'!$B:$B,'Discount Scheme Target'!$E:$E,0,0),IF(($G70/$F70)&gt;='Discount Scheme Target'!$D$4,_xlfn.XLOOKUP($E70,'Discount Scheme Target'!$B:$B,'Discount Scheme Target'!$D:$D,0,0),0))),0)</f>
        <v>0</v>
      </c>
      <c r="J70" s="72">
        <f>IF(SUMIF('Customer Num Distr.'!$A:$A,Workings!$A70,'Customer Num Distr.'!$E:$E)&gt;='Discount Scheme Target'!$G$4,_xlfn.XLOOKUP(Workings!$E70,'Discount Scheme Target'!$B:$B,'Discount Scheme Target'!$G:$G,0,0),0)</f>
        <v>0</v>
      </c>
      <c r="K70" s="72">
        <f>IF(SUMIF('Bouclage EG Cust Cons_Decons'!$A:$A,Workings!$A70,'Bouclage EG Cust Cons_Decons'!$F:$F)&gt;='Discount Scheme Target'!$H$4,_xlfn.XLOOKUP(Workings!$E70,'Discount Scheme Target'!$B:$B,'Discount Scheme Target'!$H:$H,0,0),0)</f>
        <v>0</v>
      </c>
      <c r="L70" s="72">
        <f>IF(INDEX('TT Around time'!$A$1:$F$46,MATCH($A70,'TT Around time'!$A:$A,0),6)&gt;='Discount Scheme Target'!$I$4,_xlfn.XLOOKUP(Workings!$E70,'Discount Scheme Target'!$B:$B,'Discount Scheme Target'!$I:$I,0,0),0)</f>
        <v>0.01</v>
      </c>
      <c r="M70" s="72">
        <f t="shared" si="13"/>
        <v>0.01</v>
      </c>
      <c r="N70" s="62">
        <f t="shared" si="20"/>
        <v>24013.822886061189</v>
      </c>
      <c r="T70" s="61">
        <f t="shared" si="14"/>
        <v>0</v>
      </c>
      <c r="U70" s="61">
        <f t="shared" si="15"/>
        <v>0</v>
      </c>
      <c r="V70" s="61">
        <f t="shared" si="16"/>
        <v>0</v>
      </c>
      <c r="W70" s="61">
        <f t="shared" si="17"/>
        <v>24013.822886061189</v>
      </c>
      <c r="X70" s="61">
        <f t="shared" si="18"/>
        <v>24013.822886061189</v>
      </c>
      <c r="Y70" s="61">
        <f t="shared" si="19"/>
        <v>0</v>
      </c>
    </row>
    <row r="71" spans="1:25" x14ac:dyDescent="0.25">
      <c r="A71" s="51">
        <v>1210516003</v>
      </c>
      <c r="B71" s="51" t="s">
        <v>83</v>
      </c>
      <c r="C71" s="51" t="s">
        <v>140</v>
      </c>
      <c r="D71" s="51" t="s">
        <v>141</v>
      </c>
      <c r="E71" s="51" t="s">
        <v>131</v>
      </c>
      <c r="F71" s="52">
        <f>SUMIF('Customer Budget Per Category'!$A:$A,$A71,'Customer Budget Per Category'!$H:$H)</f>
        <v>36.371838289291915</v>
      </c>
      <c r="G71" s="52">
        <f>SUMIFS('Navision sales Dump'!$E:$E,'Navision sales Dump'!$K:$K,$E71,'Navision sales Dump'!$A:$A,$A71)</f>
        <v>79</v>
      </c>
      <c r="H71" s="62">
        <f>SUMIFS('Navision sales Dump'!$G:$G,'Navision sales Dump'!$K:$K,$E71,'Navision sales Dump'!$A:$A,$A71)</f>
        <v>3152818.9099999997</v>
      </c>
      <c r="I71" s="72">
        <f>IFERROR(IF(($G71/$F71)&gt;='Discount Scheme Target'!$F$4,_xlfn.XLOOKUP($E71,'Discount Scheme Target'!$B:$B,'Discount Scheme Target'!$F:$F,0,0),IF(($G71/$F71)&gt;='Discount Scheme Target'!$E$4,_xlfn.XLOOKUP($E71,'Discount Scheme Target'!$B:$B,'Discount Scheme Target'!$E:$E,0,0),IF(($G71/$F71)&gt;='Discount Scheme Target'!$D$4,_xlfn.XLOOKUP($E71,'Discount Scheme Target'!$B:$B,'Discount Scheme Target'!$D:$D,0,0),0))),0)</f>
        <v>0.04</v>
      </c>
      <c r="J71" s="72">
        <f>IF(SUMIF('Customer Num Distr.'!$A:$A,Workings!$A71,'Customer Num Distr.'!$E:$E)&gt;='Discount Scheme Target'!$G$4,_xlfn.XLOOKUP(Workings!$E71,'Discount Scheme Target'!$B:$B,'Discount Scheme Target'!$G:$G,0,0),0)</f>
        <v>0</v>
      </c>
      <c r="K71" s="72">
        <f>IF(SUMIF('Bouclage EG Cust Cons_Decons'!$A:$A,Workings!$A71,'Bouclage EG Cust Cons_Decons'!$F:$F)&gt;='Discount Scheme Target'!$H$4,_xlfn.XLOOKUP(Workings!$E71,'Discount Scheme Target'!$B:$B,'Discount Scheme Target'!$H:$H,0,0),0)</f>
        <v>0</v>
      </c>
      <c r="L71" s="72">
        <f>IF(INDEX('TT Around time'!$A$1:$F$46,MATCH($A71,'TT Around time'!$A:$A,0),6)&gt;='Discount Scheme Target'!$I$4,_xlfn.XLOOKUP(Workings!$E71,'Discount Scheme Target'!$B:$B,'Discount Scheme Target'!$I:$I,0,0),0)</f>
        <v>5.0000000000000001E-3</v>
      </c>
      <c r="M71" s="72">
        <f t="shared" si="13"/>
        <v>4.4999999999999998E-2</v>
      </c>
      <c r="N71" s="62">
        <f t="shared" si="20"/>
        <v>65320.530123384451</v>
      </c>
      <c r="T71" s="61">
        <f t="shared" si="14"/>
        <v>58062.6934430084</v>
      </c>
      <c r="U71" s="61">
        <f t="shared" si="15"/>
        <v>0</v>
      </c>
      <c r="V71" s="61">
        <f t="shared" si="16"/>
        <v>0</v>
      </c>
      <c r="W71" s="61">
        <f t="shared" si="17"/>
        <v>7257.83668037605</v>
      </c>
      <c r="X71" s="61">
        <f t="shared" si="18"/>
        <v>65320.530123384451</v>
      </c>
      <c r="Y71" s="61">
        <f t="shared" si="19"/>
        <v>0</v>
      </c>
    </row>
    <row r="72" spans="1:25" x14ac:dyDescent="0.25">
      <c r="A72" s="51">
        <v>1210516003</v>
      </c>
      <c r="B72" s="51" t="s">
        <v>83</v>
      </c>
      <c r="C72" s="51" t="s">
        <v>140</v>
      </c>
      <c r="D72" s="51" t="s">
        <v>141</v>
      </c>
      <c r="E72" s="51" t="s">
        <v>514</v>
      </c>
      <c r="F72" s="52">
        <f>SUMIF('Customer Budget Per Category'!$A:$A,$A72,'Customer Budget Per Category'!$I:$I)</f>
        <v>5355.0302242034504</v>
      </c>
      <c r="G72" s="52">
        <f>SUMIFS('Navision sales Dump'!$E:$E,'Navision sales Dump'!$K:$K,$E72,'Navision sales Dump'!$A:$A,$A72)</f>
        <v>5616</v>
      </c>
      <c r="H72" s="62">
        <f>SUMIFS('Navision sales Dump'!$G:$G,'Navision sales Dump'!$K:$K,$E72,'Navision sales Dump'!$A:$A,$A72)</f>
        <v>22228296.48</v>
      </c>
      <c r="I72" s="72">
        <f>IFERROR(IF(($G72/$F72)&gt;='Discount Scheme Target'!$F$4,_xlfn.XLOOKUP($E72,'Discount Scheme Target'!$B:$B,'Discount Scheme Target'!$F:$F,0,0),IF(($G72/$F72)&gt;='Discount Scheme Target'!$E$4,_xlfn.XLOOKUP($E72,'Discount Scheme Target'!$B:$B,'Discount Scheme Target'!$E:$E,0,0),IF(($G72/$F72)&gt;='Discount Scheme Target'!$D$4,_xlfn.XLOOKUP($E72,'Discount Scheme Target'!$B:$B,'Discount Scheme Target'!$D:$D,0,0),0))),0)</f>
        <v>0.01</v>
      </c>
      <c r="J72" s="72">
        <f>IF(SUMIF('Customer Num Distr.'!$A:$A,Workings!$A72,'Customer Num Distr.'!$E:$E)&gt;='Discount Scheme Target'!$G$4,_xlfn.XLOOKUP(Workings!$E72,'Discount Scheme Target'!$B:$B,'Discount Scheme Target'!$G:$G,0,0),0)</f>
        <v>0</v>
      </c>
      <c r="K72" s="72">
        <f>IF(SUMIF('Bouclage EG Cust Cons_Decons'!$A:$A,Workings!$A72,'Bouclage EG Cust Cons_Decons'!$F:$F)&gt;='Discount Scheme Target'!$H$4,_xlfn.XLOOKUP(Workings!$E72,'Discount Scheme Target'!$B:$B,'Discount Scheme Target'!$H:$H,0,0),0)</f>
        <v>0</v>
      </c>
      <c r="L72" s="72">
        <f>IF(INDEX('TT Around time'!$A$1:$F$46,MATCH($A72,'TT Around time'!$A:$A,0),6)&gt;='Discount Scheme Target'!$I$4,_xlfn.XLOOKUP(Workings!$E72,'Discount Scheme Target'!$B:$B,'Discount Scheme Target'!$I:$I,0,0),0)</f>
        <v>5.0000000000000001E-3</v>
      </c>
      <c r="M72" s="72">
        <f t="shared" si="13"/>
        <v>1.4999999999999999E-2</v>
      </c>
      <c r="N72" s="62">
        <f t="shared" si="20"/>
        <v>317930.55417455977</v>
      </c>
      <c r="T72" s="61">
        <f t="shared" si="14"/>
        <v>211953.70278303986</v>
      </c>
      <c r="U72" s="61">
        <f t="shared" si="15"/>
        <v>0</v>
      </c>
      <c r="V72" s="61">
        <f t="shared" si="16"/>
        <v>0</v>
      </c>
      <c r="W72" s="61">
        <f t="shared" si="17"/>
        <v>105976.85139151993</v>
      </c>
      <c r="X72" s="61">
        <f t="shared" si="18"/>
        <v>317930.55417455977</v>
      </c>
      <c r="Y72" s="61">
        <f t="shared" si="19"/>
        <v>0</v>
      </c>
    </row>
    <row r="73" spans="1:25" x14ac:dyDescent="0.25">
      <c r="A73" s="51">
        <v>1210516003</v>
      </c>
      <c r="B73" s="51" t="s">
        <v>83</v>
      </c>
      <c r="C73" s="51" t="s">
        <v>140</v>
      </c>
      <c r="D73" s="51" t="s">
        <v>141</v>
      </c>
      <c r="E73" s="51" t="s">
        <v>515</v>
      </c>
      <c r="F73" s="52">
        <f>SUMIF('Customer Budget Per Category'!$A:$A,$A73,'Customer Budget Per Category'!$J:$J)</f>
        <v>458.87926892653076</v>
      </c>
      <c r="G73" s="52">
        <f>SUMIFS('Navision sales Dump'!$E:$E,'Navision sales Dump'!$K:$K,$E73,'Navision sales Dump'!$A:$A,$A73)</f>
        <v>432</v>
      </c>
      <c r="H73" s="62">
        <f>SUMIFS('Navision sales Dump'!$G:$G,'Navision sales Dump'!$K:$K,$E73,'Navision sales Dump'!$A:$A,$A73)</f>
        <v>1219492.7999999998</v>
      </c>
      <c r="I73" s="72">
        <f>IFERROR(IF(($G73/$F73)&gt;='Discount Scheme Target'!$F$4,_xlfn.XLOOKUP($E73,'Discount Scheme Target'!$B:$B,'Discount Scheme Target'!$F:$F,0,0),IF(($G73/$F73)&gt;='Discount Scheme Target'!$E$4,_xlfn.XLOOKUP($E73,'Discount Scheme Target'!$B:$B,'Discount Scheme Target'!$E:$E,0,0),IF(($G73/$F73)&gt;='Discount Scheme Target'!$D$4,_xlfn.XLOOKUP($E73,'Discount Scheme Target'!$B:$B,'Discount Scheme Target'!$D:$D,0,0),0))),0)</f>
        <v>0</v>
      </c>
      <c r="J73" s="72">
        <f>IF(SUMIF('Customer Num Distr.'!$A:$A,Workings!$A73,'Customer Num Distr.'!$E:$E)&gt;='Discount Scheme Target'!$G$4,_xlfn.XLOOKUP(Workings!$E73,'Discount Scheme Target'!$B:$B,'Discount Scheme Target'!$G:$G,0,0),0)</f>
        <v>0</v>
      </c>
      <c r="K73" s="72">
        <f>IF(SUMIF('Bouclage EG Cust Cons_Decons'!$A:$A,Workings!$A73,'Bouclage EG Cust Cons_Decons'!$F:$F)&gt;='Discount Scheme Target'!$H$4,_xlfn.XLOOKUP(Workings!$E73,'Discount Scheme Target'!$B:$B,'Discount Scheme Target'!$H:$H,0,0),0)</f>
        <v>0</v>
      </c>
      <c r="L73" s="72">
        <f>IF(INDEX('TT Around time'!$A$1:$F$46,MATCH($A73,'TT Around time'!$A:$A,0),6)&gt;='Discount Scheme Target'!$I$4,_xlfn.XLOOKUP(Workings!$E73,'Discount Scheme Target'!$B:$B,'Discount Scheme Target'!$I:$I,0,0),0)</f>
        <v>5.0000000000000001E-3</v>
      </c>
      <c r="M73" s="72">
        <f t="shared" si="13"/>
        <v>5.0000000000000001E-3</v>
      </c>
      <c r="N73" s="62">
        <f t="shared" si="20"/>
        <v>6476.8514412635186</v>
      </c>
      <c r="T73" s="61">
        <f t="shared" si="14"/>
        <v>0</v>
      </c>
      <c r="U73" s="61">
        <f t="shared" si="15"/>
        <v>0</v>
      </c>
      <c r="V73" s="61">
        <f t="shared" si="16"/>
        <v>0</v>
      </c>
      <c r="W73" s="61">
        <f t="shared" si="17"/>
        <v>6476.8514412635186</v>
      </c>
      <c r="X73" s="61">
        <f t="shared" si="18"/>
        <v>6476.8514412635186</v>
      </c>
      <c r="Y73" s="61">
        <f t="shared" si="19"/>
        <v>0</v>
      </c>
    </row>
    <row r="74" spans="1:25" x14ac:dyDescent="0.25">
      <c r="A74" s="51">
        <v>1210516003</v>
      </c>
      <c r="B74" s="51" t="s">
        <v>83</v>
      </c>
      <c r="C74" s="51" t="s">
        <v>140</v>
      </c>
      <c r="D74" s="51" t="s">
        <v>141</v>
      </c>
      <c r="E74" s="51" t="s">
        <v>161</v>
      </c>
      <c r="F74" s="52">
        <f>SUMIF('Customer Budget Per Category'!$A:$A,$A74,'Customer Budget Per Category'!$K:$K)</f>
        <v>0</v>
      </c>
      <c r="G74" s="52">
        <f>SUMIFS('Navision sales Dump'!$E:$E,'Navision sales Dump'!$K:$K,$E74,'Navision sales Dump'!$A:$A,$A74)</f>
        <v>0</v>
      </c>
      <c r="H74" s="62">
        <f>SUMIFS('Navision sales Dump'!$G:$G,'Navision sales Dump'!$K:$K,$E74,'Navision sales Dump'!$A:$A,$A74)</f>
        <v>0</v>
      </c>
      <c r="I74" s="72">
        <f>IFERROR(IF(($G74/$F74)&gt;='Discount Scheme Target'!$F$4,_xlfn.XLOOKUP($E74,'Discount Scheme Target'!$B:$B,'Discount Scheme Target'!$F:$F,0,0),IF(($G74/$F74)&gt;='Discount Scheme Target'!$E$4,_xlfn.XLOOKUP($E74,'Discount Scheme Target'!$B:$B,'Discount Scheme Target'!$E:$E,0,0),IF(($G74/$F74)&gt;='Discount Scheme Target'!$D$4,_xlfn.XLOOKUP($E74,'Discount Scheme Target'!$B:$B,'Discount Scheme Target'!$D:$D,0,0),0))),0)</f>
        <v>0</v>
      </c>
      <c r="J74" s="72">
        <f>IF(SUMIF('Customer Num Distr.'!$A:$A,Workings!$A74,'Customer Num Distr.'!$E:$E)&gt;='Discount Scheme Target'!$G$4,_xlfn.XLOOKUP(Workings!$E74,'Discount Scheme Target'!$B:$B,'Discount Scheme Target'!$G:$G,0,0),0)</f>
        <v>0</v>
      </c>
      <c r="K74" s="72">
        <f>IF(SUMIF('Bouclage EG Cust Cons_Decons'!$A:$A,Workings!$A74,'Bouclage EG Cust Cons_Decons'!$F:$F)&gt;='Discount Scheme Target'!$H$4,_xlfn.XLOOKUP(Workings!$E74,'Discount Scheme Target'!$B:$B,'Discount Scheme Target'!$H:$H,0,0),0)</f>
        <v>0</v>
      </c>
      <c r="L74" s="72">
        <f>IF(INDEX('TT Around time'!$A$1:$F$46,MATCH($A74,'TT Around time'!$A:$A,0),6)&gt;='Discount Scheme Target'!$I$4,_xlfn.XLOOKUP(Workings!$E74,'Discount Scheme Target'!$B:$B,'Discount Scheme Target'!$I:$I,0,0),0)</f>
        <v>0</v>
      </c>
      <c r="M74" s="72">
        <f t="shared" si="13"/>
        <v>0</v>
      </c>
      <c r="N74" s="62">
        <f t="shared" si="20"/>
        <v>0</v>
      </c>
      <c r="T74" s="61">
        <f t="shared" si="14"/>
        <v>0</v>
      </c>
      <c r="U74" s="61">
        <f t="shared" si="15"/>
        <v>0</v>
      </c>
      <c r="V74" s="61">
        <f t="shared" si="16"/>
        <v>0</v>
      </c>
      <c r="W74" s="61">
        <f t="shared" si="17"/>
        <v>0</v>
      </c>
      <c r="X74" s="61">
        <f t="shared" si="18"/>
        <v>0</v>
      </c>
      <c r="Y74" s="61">
        <f t="shared" si="19"/>
        <v>0</v>
      </c>
    </row>
    <row r="75" spans="1:25" x14ac:dyDescent="0.25">
      <c r="A75" s="51">
        <v>1210516003</v>
      </c>
      <c r="B75" s="51" t="s">
        <v>83</v>
      </c>
      <c r="C75" s="51" t="s">
        <v>140</v>
      </c>
      <c r="D75" s="51" t="s">
        <v>141</v>
      </c>
      <c r="E75" s="51" t="s">
        <v>354</v>
      </c>
      <c r="F75" s="52">
        <f>SUMIF('Customer Budget Per Category'!$A:$A,$A75,'Customer Budget Per Category'!$L:$L)</f>
        <v>1643.2036675278171</v>
      </c>
      <c r="G75" s="52">
        <f>SUMIFS('Navision sales Dump'!$E:$E,'Navision sales Dump'!$K:$K,$E75,'Navision sales Dump'!$A:$A,$A75)</f>
        <v>1368</v>
      </c>
      <c r="H75" s="62">
        <f>SUMIFS('Navision sales Dump'!$G:$G,'Navision sales Dump'!$K:$K,$E75,'Navision sales Dump'!$A:$A,$A75)</f>
        <v>4797133.92</v>
      </c>
      <c r="I75" s="72">
        <f>IFERROR(IF(($G75/$F75)&gt;='Discount Scheme Target'!$F$4,_xlfn.XLOOKUP($E75,'Discount Scheme Target'!$B:$B,'Discount Scheme Target'!$F:$F,0,0),IF(($G75/$F75)&gt;='Discount Scheme Target'!$E$4,_xlfn.XLOOKUP($E75,'Discount Scheme Target'!$B:$B,'Discount Scheme Target'!$E:$E,0,0),IF(($G75/$F75)&gt;='Discount Scheme Target'!$D$4,_xlfn.XLOOKUP($E75,'Discount Scheme Target'!$B:$B,'Discount Scheme Target'!$D:$D,0,0),0))),0)</f>
        <v>0</v>
      </c>
      <c r="J75" s="72">
        <f>IF(SUMIF('Customer Num Distr.'!$A:$A,Workings!$A75,'Customer Num Distr.'!$E:$E)&gt;='Discount Scheme Target'!$G$4,_xlfn.XLOOKUP(Workings!$E75,'Discount Scheme Target'!$B:$B,'Discount Scheme Target'!$G:$G,0,0),0)</f>
        <v>0</v>
      </c>
      <c r="K75" s="72">
        <f>IF(SUMIF('Bouclage EG Cust Cons_Decons'!$A:$A,Workings!$A75,'Bouclage EG Cust Cons_Decons'!$F:$F)&gt;='Discount Scheme Target'!$H$4,_xlfn.XLOOKUP(Workings!$E75,'Discount Scheme Target'!$B:$B,'Discount Scheme Target'!$H:$H,0,0),0)</f>
        <v>0</v>
      </c>
      <c r="L75" s="72">
        <f>IF(INDEX('TT Around time'!$A$1:$F$46,MATCH($A75,'TT Around time'!$A:$A,0),6)&gt;='Discount Scheme Target'!$I$4,_xlfn.XLOOKUP(Workings!$E75,'Discount Scheme Target'!$B:$B,'Discount Scheme Target'!$I:$I,0,0),0)</f>
        <v>5.0000000000000001E-3</v>
      </c>
      <c r="M75" s="72">
        <f t="shared" si="13"/>
        <v>5.0000000000000001E-3</v>
      </c>
      <c r="N75" s="62">
        <f t="shared" si="20"/>
        <v>28810.921238911164</v>
      </c>
      <c r="T75" s="61">
        <f t="shared" si="14"/>
        <v>0</v>
      </c>
      <c r="U75" s="61">
        <f t="shared" si="15"/>
        <v>0</v>
      </c>
      <c r="V75" s="61">
        <f t="shared" si="16"/>
        <v>0</v>
      </c>
      <c r="W75" s="61">
        <f t="shared" si="17"/>
        <v>28810.921238911164</v>
      </c>
      <c r="X75" s="61">
        <f t="shared" si="18"/>
        <v>28810.921238911164</v>
      </c>
      <c r="Y75" s="61">
        <f t="shared" si="19"/>
        <v>0</v>
      </c>
    </row>
    <row r="76" spans="1:25" x14ac:dyDescent="0.25">
      <c r="A76" s="51">
        <v>1210516003</v>
      </c>
      <c r="B76" s="51" t="s">
        <v>83</v>
      </c>
      <c r="C76" s="51" t="s">
        <v>140</v>
      </c>
      <c r="D76" s="51" t="s">
        <v>141</v>
      </c>
      <c r="E76" s="51" t="s">
        <v>355</v>
      </c>
      <c r="F76" s="52">
        <f>SUMIF('Customer Budget Per Category'!$A:$A,$A76,'Customer Budget Per Category'!$M:$M)</f>
        <v>911.69868856641938</v>
      </c>
      <c r="G76" s="52">
        <f>SUMIFS('Navision sales Dump'!$E:$E,'Navision sales Dump'!$K:$K,$E76,'Navision sales Dump'!$A:$A,$A76)</f>
        <v>288</v>
      </c>
      <c r="H76" s="62">
        <f>SUMIFS('Navision sales Dump'!$G:$G,'Navision sales Dump'!$K:$K,$E76,'Navision sales Dump'!$A:$A,$A76)</f>
        <v>754924.32</v>
      </c>
      <c r="I76" s="72">
        <f>IFERROR(IF(($G76/$F76)&gt;='Discount Scheme Target'!$F$4,_xlfn.XLOOKUP($E76,'Discount Scheme Target'!$B:$B,'Discount Scheme Target'!$F:$F,0,0),IF(($G76/$F76)&gt;='Discount Scheme Target'!$E$4,_xlfn.XLOOKUP($E76,'Discount Scheme Target'!$B:$B,'Discount Scheme Target'!$E:$E,0,0),IF(($G76/$F76)&gt;='Discount Scheme Target'!$D$4,_xlfn.XLOOKUP($E76,'Discount Scheme Target'!$B:$B,'Discount Scheme Target'!$D:$D,0,0),0))),0)</f>
        <v>0</v>
      </c>
      <c r="J76" s="72">
        <f>IF(SUMIF('Customer Num Distr.'!$A:$A,Workings!$A76,'Customer Num Distr.'!$E:$E)&gt;='Discount Scheme Target'!$G$4,_xlfn.XLOOKUP(Workings!$E76,'Discount Scheme Target'!$B:$B,'Discount Scheme Target'!$G:$G,0,0),0)</f>
        <v>0</v>
      </c>
      <c r="K76" s="72">
        <f>IF(SUMIF('Bouclage EG Cust Cons_Decons'!$A:$A,Workings!$A76,'Bouclage EG Cust Cons_Decons'!$F:$F)&gt;='Discount Scheme Target'!$H$4,_xlfn.XLOOKUP(Workings!$E76,'Discount Scheme Target'!$B:$B,'Discount Scheme Target'!$H:$H,0,0),0)</f>
        <v>0</v>
      </c>
      <c r="L76" s="72">
        <f>IF(INDEX('TT Around time'!$A$1:$F$46,MATCH($A76,'TT Around time'!$A:$A,0),6)&gt;='Discount Scheme Target'!$I$4,_xlfn.XLOOKUP(Workings!$E76,'Discount Scheme Target'!$B:$B,'Discount Scheme Target'!$I:$I,0,0),0)</f>
        <v>5.0000000000000001E-3</v>
      </c>
      <c r="M76" s="72">
        <f t="shared" si="13"/>
        <v>5.0000000000000001E-3</v>
      </c>
      <c r="N76" s="62">
        <f t="shared" si="20"/>
        <v>11949.019314425275</v>
      </c>
      <c r="T76" s="61">
        <f t="shared" si="14"/>
        <v>0</v>
      </c>
      <c r="U76" s="61">
        <f t="shared" si="15"/>
        <v>0</v>
      </c>
      <c r="V76" s="61">
        <f t="shared" si="16"/>
        <v>0</v>
      </c>
      <c r="W76" s="61">
        <f t="shared" si="17"/>
        <v>11949.019314425275</v>
      </c>
      <c r="X76" s="61">
        <f t="shared" si="18"/>
        <v>11949.019314425275</v>
      </c>
      <c r="Y76" s="61">
        <f t="shared" si="19"/>
        <v>0</v>
      </c>
    </row>
    <row r="77" spans="1:25" x14ac:dyDescent="0.25">
      <c r="A77" s="51">
        <v>1210516003</v>
      </c>
      <c r="B77" s="51" t="s">
        <v>83</v>
      </c>
      <c r="C77" s="51" t="s">
        <v>140</v>
      </c>
      <c r="D77" s="51" t="s">
        <v>141</v>
      </c>
      <c r="E77" s="51" t="s">
        <v>132</v>
      </c>
      <c r="F77" s="52">
        <f>SUMIF('Customer Budget Per Category'!$A:$A,$A77,'Customer Budget Per Category'!$N:$N)</f>
        <v>586.12569557165898</v>
      </c>
      <c r="G77" s="52">
        <f>SUMIFS('Navision sales Dump'!$E:$E,'Navision sales Dump'!$K:$K,$E77,'Navision sales Dump'!$A:$A,$A77)</f>
        <v>432</v>
      </c>
      <c r="H77" s="62">
        <f>SUMIFS('Navision sales Dump'!$G:$G,'Navision sales Dump'!$K:$K,$E77,'Navision sales Dump'!$A:$A,$A77)</f>
        <v>942796.80000000005</v>
      </c>
      <c r="I77" s="72">
        <f>IFERROR(IF(($G77/$F77)&gt;='Discount Scheme Target'!$F$4,_xlfn.XLOOKUP($E77,'Discount Scheme Target'!$B:$B,'Discount Scheme Target'!$F:$F,0,0),IF(($G77/$F77)&gt;='Discount Scheme Target'!$E$4,_xlfn.XLOOKUP($E77,'Discount Scheme Target'!$B:$B,'Discount Scheme Target'!$E:$E,0,0),IF(($G77/$F77)&gt;='Discount Scheme Target'!$D$4,_xlfn.XLOOKUP($E77,'Discount Scheme Target'!$B:$B,'Discount Scheme Target'!$D:$D,0,0),0))),0)</f>
        <v>0</v>
      </c>
      <c r="J77" s="72">
        <f>IF(SUMIF('Customer Num Distr.'!$A:$A,Workings!$A77,'Customer Num Distr.'!$E:$E)&gt;='Discount Scheme Target'!$G$4,_xlfn.XLOOKUP(Workings!$E77,'Discount Scheme Target'!$B:$B,'Discount Scheme Target'!$G:$G,0,0),0)</f>
        <v>0</v>
      </c>
      <c r="K77" s="72">
        <f>IF(SUMIF('Bouclage EG Cust Cons_Decons'!$A:$A,Workings!$A77,'Bouclage EG Cust Cons_Decons'!$F:$F)&gt;='Discount Scheme Target'!$H$4,_xlfn.XLOOKUP(Workings!$E77,'Discount Scheme Target'!$B:$B,'Discount Scheme Target'!$H:$H,0,0),0)</f>
        <v>0</v>
      </c>
      <c r="L77" s="72">
        <f>IF(INDEX('TT Around time'!$A$1:$F$46,MATCH($A77,'TT Around time'!$A:$A,0),6)&gt;='Discount Scheme Target'!$I$4,_xlfn.XLOOKUP(Workings!$E77,'Discount Scheme Target'!$B:$B,'Discount Scheme Target'!$I:$I,0,0),0)</f>
        <v>5.0000000000000001E-3</v>
      </c>
      <c r="M77" s="72">
        <f t="shared" si="13"/>
        <v>5.0000000000000001E-3</v>
      </c>
      <c r="N77" s="62">
        <f>IFERROR((H77/G77)*F77*M77,)</f>
        <v>6395.8035900779432</v>
      </c>
      <c r="T77" s="61">
        <f t="shared" si="14"/>
        <v>0</v>
      </c>
      <c r="U77" s="61">
        <f t="shared" si="15"/>
        <v>0</v>
      </c>
      <c r="V77" s="61">
        <f t="shared" si="16"/>
        <v>0</v>
      </c>
      <c r="W77" s="61">
        <f t="shared" si="17"/>
        <v>6395.8035900779432</v>
      </c>
      <c r="X77" s="61">
        <f t="shared" si="18"/>
        <v>6395.8035900779432</v>
      </c>
      <c r="Y77" s="61">
        <f t="shared" si="19"/>
        <v>0</v>
      </c>
    </row>
    <row r="78" spans="1:25" x14ac:dyDescent="0.25">
      <c r="A78" s="51">
        <v>1210516003</v>
      </c>
      <c r="B78" s="51" t="s">
        <v>83</v>
      </c>
      <c r="C78" s="51" t="s">
        <v>140</v>
      </c>
      <c r="D78" s="51" t="s">
        <v>141</v>
      </c>
      <c r="E78" s="51" t="s">
        <v>133</v>
      </c>
      <c r="F78" s="52">
        <f>SUMIF('Customer Budget Per Category'!$A:$A,$A78,'Customer Budget Per Category'!$O:$O)</f>
        <v>271.24050436121593</v>
      </c>
      <c r="G78" s="52">
        <f>SUMIFS('Navision sales Dump'!$E:$E,'Navision sales Dump'!$K:$K,$E78,'Navision sales Dump'!$A:$A,$A78)</f>
        <v>210</v>
      </c>
      <c r="H78" s="62">
        <f>SUMIFS('Navision sales Dump'!$G:$G,'Navision sales Dump'!$K:$K,$E78,'Navision sales Dump'!$A:$A,$A78)</f>
        <v>2105749.7999999998</v>
      </c>
      <c r="I78" s="72">
        <f>IFERROR(IF(($G78/$F78)&gt;='Discount Scheme Target'!$F$4,_xlfn.XLOOKUP($E78,'Discount Scheme Target'!$B:$B,'Discount Scheme Target'!$F:$F,0,0),IF(($G78/$F78)&gt;='Discount Scheme Target'!$E$4,_xlfn.XLOOKUP($E78,'Discount Scheme Target'!$B:$B,'Discount Scheme Target'!$E:$E,0,0),IF(($G78/$F78)&gt;='Discount Scheme Target'!$D$4,_xlfn.XLOOKUP($E78,'Discount Scheme Target'!$B:$B,'Discount Scheme Target'!$D:$D,0,0),0))),0)</f>
        <v>0</v>
      </c>
      <c r="J78" s="72">
        <f>IF(SUMIF('Customer Num Distr.'!$A:$A,Workings!$A78,'Customer Num Distr.'!$E:$E)&gt;='Discount Scheme Target'!$G$4,_xlfn.XLOOKUP(Workings!$E78,'Discount Scheme Target'!$B:$B,'Discount Scheme Target'!$G:$G,0,0),0)</f>
        <v>0</v>
      </c>
      <c r="K78" s="72">
        <f>IF(SUMIF('Bouclage EG Cust Cons_Decons'!$A:$A,Workings!$A78,'Bouclage EG Cust Cons_Decons'!$F:$F)&gt;='Discount Scheme Target'!$H$4,_xlfn.XLOOKUP(Workings!$E78,'Discount Scheme Target'!$B:$B,'Discount Scheme Target'!$H:$H,0,0),0)</f>
        <v>0</v>
      </c>
      <c r="L78" s="72">
        <f>IF(INDEX('TT Around time'!$A$1:$F$46,MATCH($A78,'TT Around time'!$A:$A,0),6)&gt;='Discount Scheme Target'!$I$4,_xlfn.XLOOKUP(Workings!$E78,'Discount Scheme Target'!$B:$B,'Discount Scheme Target'!$I:$I,0,0),0)</f>
        <v>5.0000000000000001E-3</v>
      </c>
      <c r="M78" s="72">
        <f t="shared" si="13"/>
        <v>5.0000000000000001E-3</v>
      </c>
      <c r="N78" s="62">
        <f>IFERROR((H78/G78)*F78*M78,)</f>
        <v>13599.158043107847</v>
      </c>
      <c r="T78" s="61">
        <f t="shared" si="14"/>
        <v>0</v>
      </c>
      <c r="U78" s="61">
        <f t="shared" si="15"/>
        <v>0</v>
      </c>
      <c r="V78" s="61">
        <f t="shared" si="16"/>
        <v>0</v>
      </c>
      <c r="W78" s="61">
        <f t="shared" si="17"/>
        <v>13599.158043107847</v>
      </c>
      <c r="X78" s="61">
        <f t="shared" si="18"/>
        <v>13599.158043107847</v>
      </c>
      <c r="Y78" s="61">
        <f t="shared" si="19"/>
        <v>0</v>
      </c>
    </row>
    <row r="79" spans="1:25" x14ac:dyDescent="0.25">
      <c r="A79" s="51">
        <v>1200505027</v>
      </c>
      <c r="B79" s="51" t="s">
        <v>82</v>
      </c>
      <c r="C79" s="51" t="s">
        <v>140</v>
      </c>
      <c r="D79" s="51" t="s">
        <v>141</v>
      </c>
      <c r="E79" s="51" t="s">
        <v>417</v>
      </c>
      <c r="F79" s="52">
        <f>SUMIF('Customer Budget Per Category'!$A:$A,$A79,'Customer Budget Per Category'!$E:$E)</f>
        <v>7057.8949123702787</v>
      </c>
      <c r="G79" s="52">
        <f>SUMIFS('Navision sales Dump'!$E:$E,'Navision sales Dump'!$K:$K,$E79,'Navision sales Dump'!$A:$A,$A79)</f>
        <v>3744</v>
      </c>
      <c r="H79" s="62">
        <f>SUMIFS('Navision sales Dump'!$G:$G,'Navision sales Dump'!$K:$K,$E79,'Navision sales Dump'!$A:$A,$A79)</f>
        <v>27288410.540000003</v>
      </c>
      <c r="I79" s="72">
        <f>IFERROR(IF(($G79/$F79)&gt;='Discount Scheme Target'!$F$4,_xlfn.XLOOKUP($E79,'Discount Scheme Target'!$B:$B,'Discount Scheme Target'!$F:$F,0,0),IF(($G79/$F79)&gt;='Discount Scheme Target'!$E$4,_xlfn.XLOOKUP($E79,'Discount Scheme Target'!$B:$B,'Discount Scheme Target'!$E:$E,0,0),IF(($G79/$F79)&gt;='Discount Scheme Target'!$D$4,_xlfn.XLOOKUP($E79,'Discount Scheme Target'!$B:$B,'Discount Scheme Target'!$D:$D,0,0),0))),0)</f>
        <v>0</v>
      </c>
      <c r="J79" s="72">
        <f>IF(SUMIF('Customer Num Distr.'!$A:$A,Workings!$A79,'Customer Num Distr.'!$E:$E)&gt;='Discount Scheme Target'!$G$4,_xlfn.XLOOKUP(Workings!$E79,'Discount Scheme Target'!$B:$B,'Discount Scheme Target'!$G:$G,0,0),0)</f>
        <v>0</v>
      </c>
      <c r="K79" s="72">
        <f>IF(SUMIF('Bouclage EG Cust Cons_Decons'!$A:$A,Workings!$A79,'Bouclage EG Cust Cons_Decons'!$F:$F)&gt;='Discount Scheme Target'!$H$4,_xlfn.XLOOKUP(Workings!$E79,'Discount Scheme Target'!$B:$B,'Discount Scheme Target'!$H:$H,0,0),0)</f>
        <v>0</v>
      </c>
      <c r="L79" s="72">
        <f>IF(INDEX('TT Around time'!$A$1:$F$46,MATCH($A79,'TT Around time'!$A:$A,0),6)&gt;='Discount Scheme Target'!$I$4,_xlfn.XLOOKUP(Workings!$E79,'Discount Scheme Target'!$B:$B,'Discount Scheme Target'!$I:$I,0,0),0)</f>
        <v>0.01</v>
      </c>
      <c r="M79" s="72">
        <f t="shared" si="13"/>
        <v>0.01</v>
      </c>
      <c r="N79" s="62">
        <f t="shared" ref="N79:N131" si="21">IFERROR((H79/G79)*F79*M79,)</f>
        <v>514419.69529096561</v>
      </c>
      <c r="T79" s="61">
        <f t="shared" si="14"/>
        <v>0</v>
      </c>
      <c r="U79" s="61">
        <f t="shared" si="15"/>
        <v>0</v>
      </c>
      <c r="V79" s="61">
        <f t="shared" si="16"/>
        <v>0</v>
      </c>
      <c r="W79" s="61">
        <f t="shared" si="17"/>
        <v>514419.69529096561</v>
      </c>
      <c r="X79" s="61">
        <f t="shared" si="18"/>
        <v>514419.69529096561</v>
      </c>
      <c r="Y79" s="61">
        <f t="shared" si="19"/>
        <v>0</v>
      </c>
    </row>
    <row r="80" spans="1:25" x14ac:dyDescent="0.25">
      <c r="A80" s="51">
        <v>1200505027</v>
      </c>
      <c r="B80" s="51" t="s">
        <v>82</v>
      </c>
      <c r="C80" s="51" t="s">
        <v>140</v>
      </c>
      <c r="D80" s="51" t="s">
        <v>141</v>
      </c>
      <c r="E80" s="51" t="s">
        <v>418</v>
      </c>
      <c r="F80" s="52">
        <f>SUMIF('Customer Budget Per Category'!$A:$A,$A80,'Customer Budget Per Category'!$F:$F)</f>
        <v>0</v>
      </c>
      <c r="G80" s="52">
        <f>SUMIFS('Navision sales Dump'!$E:$E,'Navision sales Dump'!$K:$K,$E80,'Navision sales Dump'!$A:$A,$A80)</f>
        <v>0</v>
      </c>
      <c r="H80" s="62">
        <f>SUMIFS('Navision sales Dump'!$G:$G,'Navision sales Dump'!$K:$K,$E80,'Navision sales Dump'!$A:$A,$A80)</f>
        <v>0</v>
      </c>
      <c r="I80" s="72">
        <f>IFERROR(IF(($G80/$F80)&gt;='Discount Scheme Target'!$F$4,_xlfn.XLOOKUP($E80,'Discount Scheme Target'!$B:$B,'Discount Scheme Target'!$F:$F,0,0),IF(($G80/$F80)&gt;='Discount Scheme Target'!$E$4,_xlfn.XLOOKUP($E80,'Discount Scheme Target'!$B:$B,'Discount Scheme Target'!$E:$E,0,0),IF(($G80/$F80)&gt;='Discount Scheme Target'!$D$4,_xlfn.XLOOKUP($E80,'Discount Scheme Target'!$B:$B,'Discount Scheme Target'!$D:$D,0,0),0))),0)</f>
        <v>0</v>
      </c>
      <c r="J80" s="72">
        <f>IF(SUMIF('Customer Num Distr.'!$A:$A,Workings!$A80,'Customer Num Distr.'!$E:$E)&gt;='Discount Scheme Target'!$G$4,_xlfn.XLOOKUP(Workings!$E80,'Discount Scheme Target'!$B:$B,'Discount Scheme Target'!$G:$G,0,0),0)</f>
        <v>0</v>
      </c>
      <c r="K80" s="72">
        <f>IF(SUMIF('Bouclage EG Cust Cons_Decons'!$A:$A,Workings!$A80,'Bouclage EG Cust Cons_Decons'!$F:$F)&gt;='Discount Scheme Target'!$H$4,_xlfn.XLOOKUP(Workings!$E80,'Discount Scheme Target'!$B:$B,'Discount Scheme Target'!$H:$H,0,0),0)</f>
        <v>0</v>
      </c>
      <c r="L80" s="72">
        <f>IF(INDEX('TT Around time'!$A$1:$F$46,MATCH($A80,'TT Around time'!$A:$A,0),6)&gt;='Discount Scheme Target'!$I$4,_xlfn.XLOOKUP(Workings!$E80,'Discount Scheme Target'!$B:$B,'Discount Scheme Target'!$I:$I,0,0),0)</f>
        <v>0</v>
      </c>
      <c r="M80" s="72">
        <f t="shared" si="13"/>
        <v>0</v>
      </c>
      <c r="N80" s="62">
        <f t="shared" si="21"/>
        <v>0</v>
      </c>
      <c r="T80" s="61">
        <f t="shared" si="14"/>
        <v>0</v>
      </c>
      <c r="U80" s="61">
        <f t="shared" si="15"/>
        <v>0</v>
      </c>
      <c r="V80" s="61">
        <f t="shared" si="16"/>
        <v>0</v>
      </c>
      <c r="W80" s="61">
        <f t="shared" si="17"/>
        <v>0</v>
      </c>
      <c r="X80" s="61">
        <f t="shared" si="18"/>
        <v>0</v>
      </c>
      <c r="Y80" s="61">
        <f t="shared" si="19"/>
        <v>0</v>
      </c>
    </row>
    <row r="81" spans="1:25" x14ac:dyDescent="0.25">
      <c r="A81" s="51">
        <v>1200505027</v>
      </c>
      <c r="B81" s="51" t="s">
        <v>82</v>
      </c>
      <c r="C81" s="51" t="s">
        <v>140</v>
      </c>
      <c r="D81" s="51" t="s">
        <v>141</v>
      </c>
      <c r="E81" s="51" t="s">
        <v>130</v>
      </c>
      <c r="F81" s="52">
        <f>SUMIF('Customer Budget Per Category'!$A:$A,$A81,'Customer Budget Per Category'!$G:$G)</f>
        <v>179.19174015678024</v>
      </c>
      <c r="G81" s="52">
        <f>SUMIFS('Navision sales Dump'!$E:$E,'Navision sales Dump'!$K:$K,$E81,'Navision sales Dump'!$A:$A,$A81)</f>
        <v>0</v>
      </c>
      <c r="H81" s="62">
        <f>SUMIFS('Navision sales Dump'!$G:$G,'Navision sales Dump'!$K:$K,$E81,'Navision sales Dump'!$A:$A,$A81)</f>
        <v>0</v>
      </c>
      <c r="I81" s="72">
        <f>IFERROR(IF(($G81/$F81)&gt;='Discount Scheme Target'!$F$4,_xlfn.XLOOKUP($E81,'Discount Scheme Target'!$B:$B,'Discount Scheme Target'!$F:$F,0,0),IF(($G81/$F81)&gt;='Discount Scheme Target'!$E$4,_xlfn.XLOOKUP($E81,'Discount Scheme Target'!$B:$B,'Discount Scheme Target'!$E:$E,0,0),IF(($G81/$F81)&gt;='Discount Scheme Target'!$D$4,_xlfn.XLOOKUP($E81,'Discount Scheme Target'!$B:$B,'Discount Scheme Target'!$D:$D,0,0),0))),0)</f>
        <v>0</v>
      </c>
      <c r="J81" s="72">
        <f>IF(SUMIF('Customer Num Distr.'!$A:$A,Workings!$A81,'Customer Num Distr.'!$E:$E)&gt;='Discount Scheme Target'!$G$4,_xlfn.XLOOKUP(Workings!$E81,'Discount Scheme Target'!$B:$B,'Discount Scheme Target'!$G:$G,0,0),0)</f>
        <v>0</v>
      </c>
      <c r="K81" s="72">
        <f>IF(SUMIF('Bouclage EG Cust Cons_Decons'!$A:$A,Workings!$A81,'Bouclage EG Cust Cons_Decons'!$F:$F)&gt;='Discount Scheme Target'!$H$4,_xlfn.XLOOKUP(Workings!$E81,'Discount Scheme Target'!$B:$B,'Discount Scheme Target'!$H:$H,0,0),0)</f>
        <v>0</v>
      </c>
      <c r="L81" s="72">
        <f>IF(INDEX('TT Around time'!$A$1:$F$46,MATCH($A81,'TT Around time'!$A:$A,0),6)&gt;='Discount Scheme Target'!$I$4,_xlfn.XLOOKUP(Workings!$E81,'Discount Scheme Target'!$B:$B,'Discount Scheme Target'!$I:$I,0,0),0)</f>
        <v>0.01</v>
      </c>
      <c r="M81" s="72">
        <f t="shared" si="13"/>
        <v>0.01</v>
      </c>
      <c r="N81" s="62">
        <f t="shared" si="21"/>
        <v>0</v>
      </c>
      <c r="T81" s="61">
        <f t="shared" si="14"/>
        <v>0</v>
      </c>
      <c r="U81" s="61">
        <f t="shared" si="15"/>
        <v>0</v>
      </c>
      <c r="V81" s="61">
        <f t="shared" si="16"/>
        <v>0</v>
      </c>
      <c r="W81" s="61">
        <f t="shared" si="17"/>
        <v>0</v>
      </c>
      <c r="X81" s="61">
        <f t="shared" si="18"/>
        <v>0</v>
      </c>
      <c r="Y81" s="61">
        <f t="shared" si="19"/>
        <v>0</v>
      </c>
    </row>
    <row r="82" spans="1:25" x14ac:dyDescent="0.25">
      <c r="A82" s="51">
        <v>1200505027</v>
      </c>
      <c r="B82" s="51" t="s">
        <v>82</v>
      </c>
      <c r="C82" s="51" t="s">
        <v>140</v>
      </c>
      <c r="D82" s="51" t="s">
        <v>141</v>
      </c>
      <c r="E82" s="51" t="s">
        <v>131</v>
      </c>
      <c r="F82" s="52">
        <f>SUMIF('Customer Budget Per Category'!$A:$A,$A82,'Customer Budget Per Category'!$H:$H)</f>
        <v>54.557757433937873</v>
      </c>
      <c r="G82" s="52">
        <f>SUMIFS('Navision sales Dump'!$E:$E,'Navision sales Dump'!$K:$K,$E82,'Navision sales Dump'!$A:$A,$A82)</f>
        <v>0</v>
      </c>
      <c r="H82" s="62">
        <f>SUMIFS('Navision sales Dump'!$G:$G,'Navision sales Dump'!$K:$K,$E82,'Navision sales Dump'!$A:$A,$A82)</f>
        <v>0</v>
      </c>
      <c r="I82" s="72">
        <f>IFERROR(IF(($G82/$F82)&gt;='Discount Scheme Target'!$F$4,_xlfn.XLOOKUP($E82,'Discount Scheme Target'!$B:$B,'Discount Scheme Target'!$F:$F,0,0),IF(($G82/$F82)&gt;='Discount Scheme Target'!$E$4,_xlfn.XLOOKUP($E82,'Discount Scheme Target'!$B:$B,'Discount Scheme Target'!$E:$E,0,0),IF(($G82/$F82)&gt;='Discount Scheme Target'!$D$4,_xlfn.XLOOKUP($E82,'Discount Scheme Target'!$B:$B,'Discount Scheme Target'!$D:$D,0,0),0))),0)</f>
        <v>0</v>
      </c>
      <c r="J82" s="72">
        <f>IF(SUMIF('Customer Num Distr.'!$A:$A,Workings!$A82,'Customer Num Distr.'!$E:$E)&gt;='Discount Scheme Target'!$G$4,_xlfn.XLOOKUP(Workings!$E82,'Discount Scheme Target'!$B:$B,'Discount Scheme Target'!$G:$G,0,0),0)</f>
        <v>0</v>
      </c>
      <c r="K82" s="72">
        <f>IF(SUMIF('Bouclage EG Cust Cons_Decons'!$A:$A,Workings!$A82,'Bouclage EG Cust Cons_Decons'!$F:$F)&gt;='Discount Scheme Target'!$H$4,_xlfn.XLOOKUP(Workings!$E82,'Discount Scheme Target'!$B:$B,'Discount Scheme Target'!$H:$H,0,0),0)</f>
        <v>0</v>
      </c>
      <c r="L82" s="72">
        <f>IF(INDEX('TT Around time'!$A$1:$F$46,MATCH($A82,'TT Around time'!$A:$A,0),6)&gt;='Discount Scheme Target'!$I$4,_xlfn.XLOOKUP(Workings!$E82,'Discount Scheme Target'!$B:$B,'Discount Scheme Target'!$I:$I,0,0),0)</f>
        <v>5.0000000000000001E-3</v>
      </c>
      <c r="M82" s="72">
        <f t="shared" si="13"/>
        <v>5.0000000000000001E-3</v>
      </c>
      <c r="N82" s="62">
        <f t="shared" si="21"/>
        <v>0</v>
      </c>
      <c r="T82" s="61">
        <f t="shared" si="14"/>
        <v>0</v>
      </c>
      <c r="U82" s="61">
        <f t="shared" si="15"/>
        <v>0</v>
      </c>
      <c r="V82" s="61">
        <f t="shared" si="16"/>
        <v>0</v>
      </c>
      <c r="W82" s="61">
        <f t="shared" si="17"/>
        <v>0</v>
      </c>
      <c r="X82" s="61">
        <f t="shared" si="18"/>
        <v>0</v>
      </c>
      <c r="Y82" s="61">
        <f t="shared" si="19"/>
        <v>0</v>
      </c>
    </row>
    <row r="83" spans="1:25" x14ac:dyDescent="0.25">
      <c r="A83" s="51">
        <v>1200505027</v>
      </c>
      <c r="B83" s="51" t="s">
        <v>82</v>
      </c>
      <c r="C83" s="51" t="s">
        <v>140</v>
      </c>
      <c r="D83" s="51" t="s">
        <v>141</v>
      </c>
      <c r="E83" s="51" t="s">
        <v>514</v>
      </c>
      <c r="F83" s="52">
        <f>SUMIF('Customer Budget Per Category'!$A:$A,$A83,'Customer Budget Per Category'!$I:$I)</f>
        <v>5951.8274809070335</v>
      </c>
      <c r="G83" s="52">
        <f>SUMIFS('Navision sales Dump'!$E:$E,'Navision sales Dump'!$K:$K,$E83,'Navision sales Dump'!$A:$A,$A83)</f>
        <v>4717</v>
      </c>
      <c r="H83" s="62">
        <f>SUMIFS('Navision sales Dump'!$G:$G,'Navision sales Dump'!$K:$K,$E83,'Navision sales Dump'!$A:$A,$A83)</f>
        <v>18670027.509999998</v>
      </c>
      <c r="I83" s="72">
        <f>IFERROR(IF(($G83/$F83)&gt;='Discount Scheme Target'!$F$4,_xlfn.XLOOKUP($E83,'Discount Scheme Target'!$B:$B,'Discount Scheme Target'!$F:$F,0,0),IF(($G83/$F83)&gt;='Discount Scheme Target'!$E$4,_xlfn.XLOOKUP($E83,'Discount Scheme Target'!$B:$B,'Discount Scheme Target'!$E:$E,0,0),IF(($G83/$F83)&gt;='Discount Scheme Target'!$D$4,_xlfn.XLOOKUP($E83,'Discount Scheme Target'!$B:$B,'Discount Scheme Target'!$D:$D,0,0),0))),0)</f>
        <v>0</v>
      </c>
      <c r="J83" s="72">
        <f>IF(SUMIF('Customer Num Distr.'!$A:$A,Workings!$A83,'Customer Num Distr.'!$E:$E)&gt;='Discount Scheme Target'!$G$4,_xlfn.XLOOKUP(Workings!$E83,'Discount Scheme Target'!$B:$B,'Discount Scheme Target'!$G:$G,0,0),0)</f>
        <v>0</v>
      </c>
      <c r="K83" s="72">
        <f>IF(SUMIF('Bouclage EG Cust Cons_Decons'!$A:$A,Workings!$A83,'Bouclage EG Cust Cons_Decons'!$F:$F)&gt;='Discount Scheme Target'!$H$4,_xlfn.XLOOKUP(Workings!$E83,'Discount Scheme Target'!$B:$B,'Discount Scheme Target'!$H:$H,0,0),0)</f>
        <v>0</v>
      </c>
      <c r="L83" s="72">
        <f>IF(INDEX('TT Around time'!$A$1:$F$46,MATCH($A83,'TT Around time'!$A:$A,0),6)&gt;='Discount Scheme Target'!$I$4,_xlfn.XLOOKUP(Workings!$E83,'Discount Scheme Target'!$B:$B,'Discount Scheme Target'!$I:$I,0,0),0)</f>
        <v>5.0000000000000001E-3</v>
      </c>
      <c r="M83" s="72">
        <f t="shared" si="13"/>
        <v>5.0000000000000001E-3</v>
      </c>
      <c r="N83" s="62">
        <f t="shared" si="21"/>
        <v>117787.55862127231</v>
      </c>
      <c r="T83" s="61">
        <f t="shared" si="14"/>
        <v>0</v>
      </c>
      <c r="U83" s="61">
        <f t="shared" si="15"/>
        <v>0</v>
      </c>
      <c r="V83" s="61">
        <f t="shared" si="16"/>
        <v>0</v>
      </c>
      <c r="W83" s="61">
        <f t="shared" si="17"/>
        <v>117787.55862127231</v>
      </c>
      <c r="X83" s="61">
        <f t="shared" si="18"/>
        <v>117787.55862127231</v>
      </c>
      <c r="Y83" s="61">
        <f t="shared" si="19"/>
        <v>0</v>
      </c>
    </row>
    <row r="84" spans="1:25" x14ac:dyDescent="0.25">
      <c r="A84" s="51">
        <v>1200505027</v>
      </c>
      <c r="B84" s="51" t="s">
        <v>82</v>
      </c>
      <c r="C84" s="51" t="s">
        <v>140</v>
      </c>
      <c r="D84" s="51" t="s">
        <v>141</v>
      </c>
      <c r="E84" s="51" t="s">
        <v>515</v>
      </c>
      <c r="F84" s="52">
        <f>SUMIF('Customer Budget Per Category'!$A:$A,$A84,'Customer Budget Per Category'!$J:$J)</f>
        <v>684.2820986695524</v>
      </c>
      <c r="G84" s="52">
        <f>SUMIFS('Navision sales Dump'!$E:$E,'Navision sales Dump'!$K:$K,$E84,'Navision sales Dump'!$A:$A,$A84)</f>
        <v>0</v>
      </c>
      <c r="H84" s="62">
        <f>SUMIFS('Navision sales Dump'!$G:$G,'Navision sales Dump'!$K:$K,$E84,'Navision sales Dump'!$A:$A,$A84)</f>
        <v>0</v>
      </c>
      <c r="I84" s="72">
        <f>IFERROR(IF(($G84/$F84)&gt;='Discount Scheme Target'!$F$4,_xlfn.XLOOKUP($E84,'Discount Scheme Target'!$B:$B,'Discount Scheme Target'!$F:$F,0,0),IF(($G84/$F84)&gt;='Discount Scheme Target'!$E$4,_xlfn.XLOOKUP($E84,'Discount Scheme Target'!$B:$B,'Discount Scheme Target'!$E:$E,0,0),IF(($G84/$F84)&gt;='Discount Scheme Target'!$D$4,_xlfn.XLOOKUP($E84,'Discount Scheme Target'!$B:$B,'Discount Scheme Target'!$D:$D,0,0),0))),0)</f>
        <v>0</v>
      </c>
      <c r="J84" s="72">
        <f>IF(SUMIF('Customer Num Distr.'!$A:$A,Workings!$A84,'Customer Num Distr.'!$E:$E)&gt;='Discount Scheme Target'!$G$4,_xlfn.XLOOKUP(Workings!$E84,'Discount Scheme Target'!$B:$B,'Discount Scheme Target'!$G:$G,0,0),0)</f>
        <v>0</v>
      </c>
      <c r="K84" s="72">
        <f>IF(SUMIF('Bouclage EG Cust Cons_Decons'!$A:$A,Workings!$A84,'Bouclage EG Cust Cons_Decons'!$F:$F)&gt;='Discount Scheme Target'!$H$4,_xlfn.XLOOKUP(Workings!$E84,'Discount Scheme Target'!$B:$B,'Discount Scheme Target'!$H:$H,0,0),0)</f>
        <v>0</v>
      </c>
      <c r="L84" s="72">
        <f>IF(INDEX('TT Around time'!$A$1:$F$46,MATCH($A84,'TT Around time'!$A:$A,0),6)&gt;='Discount Scheme Target'!$I$4,_xlfn.XLOOKUP(Workings!$E84,'Discount Scheme Target'!$B:$B,'Discount Scheme Target'!$I:$I,0,0),0)</f>
        <v>5.0000000000000001E-3</v>
      </c>
      <c r="M84" s="72">
        <f t="shared" si="13"/>
        <v>5.0000000000000001E-3</v>
      </c>
      <c r="N84" s="62">
        <f t="shared" si="21"/>
        <v>0</v>
      </c>
      <c r="T84" s="61">
        <f t="shared" si="14"/>
        <v>0</v>
      </c>
      <c r="U84" s="61">
        <f t="shared" si="15"/>
        <v>0</v>
      </c>
      <c r="V84" s="61">
        <f t="shared" si="16"/>
        <v>0</v>
      </c>
      <c r="W84" s="61">
        <f t="shared" si="17"/>
        <v>0</v>
      </c>
      <c r="X84" s="61">
        <f t="shared" si="18"/>
        <v>0</v>
      </c>
      <c r="Y84" s="61">
        <f t="shared" si="19"/>
        <v>0</v>
      </c>
    </row>
    <row r="85" spans="1:25" x14ac:dyDescent="0.25">
      <c r="A85" s="51">
        <v>1200505027</v>
      </c>
      <c r="B85" s="51" t="s">
        <v>82</v>
      </c>
      <c r="C85" s="51" t="s">
        <v>140</v>
      </c>
      <c r="D85" s="51" t="s">
        <v>141</v>
      </c>
      <c r="E85" s="51" t="s">
        <v>161</v>
      </c>
      <c r="F85" s="52">
        <f>SUMIF('Customer Budget Per Category'!$A:$A,$A85,'Customer Budget Per Category'!$K:$K)</f>
        <v>0</v>
      </c>
      <c r="G85" s="52">
        <f>SUMIFS('Navision sales Dump'!$E:$E,'Navision sales Dump'!$K:$K,$E85,'Navision sales Dump'!$A:$A,$A85)</f>
        <v>0</v>
      </c>
      <c r="H85" s="62">
        <f>SUMIFS('Navision sales Dump'!$G:$G,'Navision sales Dump'!$K:$K,$E85,'Navision sales Dump'!$A:$A,$A85)</f>
        <v>0</v>
      </c>
      <c r="I85" s="72">
        <f>IFERROR(IF(($G85/$F85)&gt;='Discount Scheme Target'!$F$4,_xlfn.XLOOKUP($E85,'Discount Scheme Target'!$B:$B,'Discount Scheme Target'!$F:$F,0,0),IF(($G85/$F85)&gt;='Discount Scheme Target'!$E$4,_xlfn.XLOOKUP($E85,'Discount Scheme Target'!$B:$B,'Discount Scheme Target'!$E:$E,0,0),IF(($G85/$F85)&gt;='Discount Scheme Target'!$D$4,_xlfn.XLOOKUP($E85,'Discount Scheme Target'!$B:$B,'Discount Scheme Target'!$D:$D,0,0),0))),0)</f>
        <v>0</v>
      </c>
      <c r="J85" s="72">
        <f>IF(SUMIF('Customer Num Distr.'!$A:$A,Workings!$A85,'Customer Num Distr.'!$E:$E)&gt;='Discount Scheme Target'!$G$4,_xlfn.XLOOKUP(Workings!$E85,'Discount Scheme Target'!$B:$B,'Discount Scheme Target'!$G:$G,0,0),0)</f>
        <v>0</v>
      </c>
      <c r="K85" s="72">
        <f>IF(SUMIF('Bouclage EG Cust Cons_Decons'!$A:$A,Workings!$A85,'Bouclage EG Cust Cons_Decons'!$F:$F)&gt;='Discount Scheme Target'!$H$4,_xlfn.XLOOKUP(Workings!$E85,'Discount Scheme Target'!$B:$B,'Discount Scheme Target'!$H:$H,0,0),0)</f>
        <v>0</v>
      </c>
      <c r="L85" s="72">
        <f>IF(INDEX('TT Around time'!$A$1:$F$46,MATCH($A85,'TT Around time'!$A:$A,0),6)&gt;='Discount Scheme Target'!$I$4,_xlfn.XLOOKUP(Workings!$E85,'Discount Scheme Target'!$B:$B,'Discount Scheme Target'!$I:$I,0,0),0)</f>
        <v>0</v>
      </c>
      <c r="M85" s="72">
        <f t="shared" si="13"/>
        <v>0</v>
      </c>
      <c r="N85" s="62">
        <f t="shared" si="21"/>
        <v>0</v>
      </c>
      <c r="T85" s="61">
        <f t="shared" si="14"/>
        <v>0</v>
      </c>
      <c r="U85" s="61">
        <f t="shared" si="15"/>
        <v>0</v>
      </c>
      <c r="V85" s="61">
        <f t="shared" si="16"/>
        <v>0</v>
      </c>
      <c r="W85" s="61">
        <f t="shared" si="17"/>
        <v>0</v>
      </c>
      <c r="X85" s="61">
        <f t="shared" si="18"/>
        <v>0</v>
      </c>
      <c r="Y85" s="61">
        <f t="shared" si="19"/>
        <v>0</v>
      </c>
    </row>
    <row r="86" spans="1:25" x14ac:dyDescent="0.25">
      <c r="A86" s="51">
        <v>1200505027</v>
      </c>
      <c r="B86" s="51" t="s">
        <v>82</v>
      </c>
      <c r="C86" s="51" t="s">
        <v>140</v>
      </c>
      <c r="D86" s="51" t="s">
        <v>141</v>
      </c>
      <c r="E86" s="51" t="s">
        <v>354</v>
      </c>
      <c r="F86" s="52">
        <f>SUMIF('Customer Budget Per Category'!$A:$A,$A86,'Customer Budget Per Category'!$L:$L)</f>
        <v>3109.130322211724</v>
      </c>
      <c r="G86" s="52">
        <f>SUMIFS('Navision sales Dump'!$E:$E,'Navision sales Dump'!$K:$K,$E86,'Navision sales Dump'!$A:$A,$A86)</f>
        <v>2294</v>
      </c>
      <c r="H86" s="62">
        <f>SUMIFS('Navision sales Dump'!$G:$G,'Navision sales Dump'!$K:$K,$E86,'Navision sales Dump'!$A:$A,$A86)</f>
        <v>7731355.3399999999</v>
      </c>
      <c r="I86" s="72">
        <f>IFERROR(IF(($G86/$F86)&gt;='Discount Scheme Target'!$F$4,_xlfn.XLOOKUP($E86,'Discount Scheme Target'!$B:$B,'Discount Scheme Target'!$F:$F,0,0),IF(($G86/$F86)&gt;='Discount Scheme Target'!$E$4,_xlfn.XLOOKUP($E86,'Discount Scheme Target'!$B:$B,'Discount Scheme Target'!$E:$E,0,0),IF(($G86/$F86)&gt;='Discount Scheme Target'!$D$4,_xlfn.XLOOKUP($E86,'Discount Scheme Target'!$B:$B,'Discount Scheme Target'!$D:$D,0,0),0))),0)</f>
        <v>0</v>
      </c>
      <c r="J86" s="72">
        <f>IF(SUMIF('Customer Num Distr.'!$A:$A,Workings!$A86,'Customer Num Distr.'!$E:$E)&gt;='Discount Scheme Target'!$G$4,_xlfn.XLOOKUP(Workings!$E86,'Discount Scheme Target'!$B:$B,'Discount Scheme Target'!$G:$G,0,0),0)</f>
        <v>0</v>
      </c>
      <c r="K86" s="72">
        <f>IF(SUMIF('Bouclage EG Cust Cons_Decons'!$A:$A,Workings!$A86,'Bouclage EG Cust Cons_Decons'!$F:$F)&gt;='Discount Scheme Target'!$H$4,_xlfn.XLOOKUP(Workings!$E86,'Discount Scheme Target'!$B:$B,'Discount Scheme Target'!$H:$H,0,0),0)</f>
        <v>0</v>
      </c>
      <c r="L86" s="72">
        <f>IF(INDEX('TT Around time'!$A$1:$F$46,MATCH($A86,'TT Around time'!$A:$A,0),6)&gt;='Discount Scheme Target'!$I$4,_xlfn.XLOOKUP(Workings!$E86,'Discount Scheme Target'!$B:$B,'Discount Scheme Target'!$I:$I,0,0),0)</f>
        <v>5.0000000000000001E-3</v>
      </c>
      <c r="M86" s="72">
        <f t="shared" si="13"/>
        <v>5.0000000000000001E-3</v>
      </c>
      <c r="N86" s="62">
        <f t="shared" si="21"/>
        <v>52392.744811219563</v>
      </c>
      <c r="T86" s="61">
        <f t="shared" si="14"/>
        <v>0</v>
      </c>
      <c r="U86" s="61">
        <f t="shared" si="15"/>
        <v>0</v>
      </c>
      <c r="V86" s="61">
        <f t="shared" si="16"/>
        <v>0</v>
      </c>
      <c r="W86" s="61">
        <f t="shared" si="17"/>
        <v>52392.744811219563</v>
      </c>
      <c r="X86" s="61">
        <f t="shared" si="18"/>
        <v>52392.744811219563</v>
      </c>
      <c r="Y86" s="61">
        <f t="shared" si="19"/>
        <v>0</v>
      </c>
    </row>
    <row r="87" spans="1:25" x14ac:dyDescent="0.25">
      <c r="A87" s="51">
        <v>1200505027</v>
      </c>
      <c r="B87" s="51" t="s">
        <v>82</v>
      </c>
      <c r="C87" s="51" t="s">
        <v>140</v>
      </c>
      <c r="D87" s="51" t="s">
        <v>141</v>
      </c>
      <c r="E87" s="51" t="s">
        <v>355</v>
      </c>
      <c r="F87" s="52">
        <f>SUMIF('Customer Budget Per Category'!$A:$A,$A87,'Customer Budget Per Category'!$M:$M)</f>
        <v>1359.5277324816159</v>
      </c>
      <c r="G87" s="52">
        <f>SUMIFS('Navision sales Dump'!$E:$E,'Navision sales Dump'!$K:$K,$E87,'Navision sales Dump'!$A:$A,$A87)</f>
        <v>0</v>
      </c>
      <c r="H87" s="62">
        <f>SUMIFS('Navision sales Dump'!$G:$G,'Navision sales Dump'!$K:$K,$E87,'Navision sales Dump'!$A:$A,$A87)</f>
        <v>0</v>
      </c>
      <c r="I87" s="72">
        <f>IFERROR(IF(($G87/$F87)&gt;='Discount Scheme Target'!$F$4,_xlfn.XLOOKUP($E87,'Discount Scheme Target'!$B:$B,'Discount Scheme Target'!$F:$F,0,0),IF(($G87/$F87)&gt;='Discount Scheme Target'!$E$4,_xlfn.XLOOKUP($E87,'Discount Scheme Target'!$B:$B,'Discount Scheme Target'!$E:$E,0,0),IF(($G87/$F87)&gt;='Discount Scheme Target'!$D$4,_xlfn.XLOOKUP($E87,'Discount Scheme Target'!$B:$B,'Discount Scheme Target'!$D:$D,0,0),0))),0)</f>
        <v>0</v>
      </c>
      <c r="J87" s="72">
        <f>IF(SUMIF('Customer Num Distr.'!$A:$A,Workings!$A87,'Customer Num Distr.'!$E:$E)&gt;='Discount Scheme Target'!$G$4,_xlfn.XLOOKUP(Workings!$E87,'Discount Scheme Target'!$B:$B,'Discount Scheme Target'!$G:$G,0,0),0)</f>
        <v>0</v>
      </c>
      <c r="K87" s="72">
        <f>IF(SUMIF('Bouclage EG Cust Cons_Decons'!$A:$A,Workings!$A87,'Bouclage EG Cust Cons_Decons'!$F:$F)&gt;='Discount Scheme Target'!$H$4,_xlfn.XLOOKUP(Workings!$E87,'Discount Scheme Target'!$B:$B,'Discount Scheme Target'!$H:$H,0,0),0)</f>
        <v>0</v>
      </c>
      <c r="L87" s="72">
        <f>IF(INDEX('TT Around time'!$A$1:$F$46,MATCH($A87,'TT Around time'!$A:$A,0),6)&gt;='Discount Scheme Target'!$I$4,_xlfn.XLOOKUP(Workings!$E87,'Discount Scheme Target'!$B:$B,'Discount Scheme Target'!$I:$I,0,0),0)</f>
        <v>5.0000000000000001E-3</v>
      </c>
      <c r="M87" s="72">
        <f t="shared" si="13"/>
        <v>5.0000000000000001E-3</v>
      </c>
      <c r="N87" s="62">
        <f t="shared" si="21"/>
        <v>0</v>
      </c>
      <c r="T87" s="61">
        <f t="shared" si="14"/>
        <v>0</v>
      </c>
      <c r="U87" s="61">
        <f t="shared" si="15"/>
        <v>0</v>
      </c>
      <c r="V87" s="61">
        <f t="shared" si="16"/>
        <v>0</v>
      </c>
      <c r="W87" s="61">
        <f t="shared" si="17"/>
        <v>0</v>
      </c>
      <c r="X87" s="61">
        <f t="shared" si="18"/>
        <v>0</v>
      </c>
      <c r="Y87" s="61">
        <f t="shared" si="19"/>
        <v>0</v>
      </c>
    </row>
    <row r="88" spans="1:25" x14ac:dyDescent="0.25">
      <c r="A88" s="51">
        <v>1200505027</v>
      </c>
      <c r="B88" s="51" t="s">
        <v>82</v>
      </c>
      <c r="C88" s="51" t="s">
        <v>140</v>
      </c>
      <c r="D88" s="51" t="s">
        <v>141</v>
      </c>
      <c r="E88" s="51" t="s">
        <v>132</v>
      </c>
      <c r="F88" s="52">
        <f>SUMIF('Customer Budget Per Category'!$A:$A,$A88,'Customer Budget Per Category'!$N:$N)</f>
        <v>53.382193064944111</v>
      </c>
      <c r="G88" s="52">
        <f>SUMIFS('Navision sales Dump'!$E:$E,'Navision sales Dump'!$K:$K,$E88,'Navision sales Dump'!$A:$A,$A88)</f>
        <v>144</v>
      </c>
      <c r="H88" s="62">
        <f>SUMIFS('Navision sales Dump'!$G:$G,'Navision sales Dump'!$K:$K,$E88,'Navision sales Dump'!$A:$A,$A88)</f>
        <v>314265.59999999998</v>
      </c>
      <c r="I88" s="72">
        <f>IFERROR(IF(($G88/$F88)&gt;='Discount Scheme Target'!$F$4,_xlfn.XLOOKUP($E88,'Discount Scheme Target'!$B:$B,'Discount Scheme Target'!$F:$F,0,0),IF(($G88/$F88)&gt;='Discount Scheme Target'!$E$4,_xlfn.XLOOKUP($E88,'Discount Scheme Target'!$B:$B,'Discount Scheme Target'!$E:$E,0,0),IF(($G88/$F88)&gt;='Discount Scheme Target'!$D$4,_xlfn.XLOOKUP($E88,'Discount Scheme Target'!$B:$B,'Discount Scheme Target'!$D:$D,0,0),0))),0)</f>
        <v>0.04</v>
      </c>
      <c r="J88" s="72">
        <f>IF(SUMIF('Customer Num Distr.'!$A:$A,Workings!$A88,'Customer Num Distr.'!$E:$E)&gt;='Discount Scheme Target'!$G$4,_xlfn.XLOOKUP(Workings!$E88,'Discount Scheme Target'!$B:$B,'Discount Scheme Target'!$G:$G,0,0),0)</f>
        <v>0</v>
      </c>
      <c r="K88" s="72">
        <f>IF(SUMIF('Bouclage EG Cust Cons_Decons'!$A:$A,Workings!$A88,'Bouclage EG Cust Cons_Decons'!$F:$F)&gt;='Discount Scheme Target'!$H$4,_xlfn.XLOOKUP(Workings!$E88,'Discount Scheme Target'!$B:$B,'Discount Scheme Target'!$H:$H,0,0),0)</f>
        <v>0</v>
      </c>
      <c r="L88" s="72">
        <f>IF(INDEX('TT Around time'!$A$1:$F$46,MATCH($A88,'TT Around time'!$A:$A,0),6)&gt;='Discount Scheme Target'!$I$4,_xlfn.XLOOKUP(Workings!$E88,'Discount Scheme Target'!$B:$B,'Discount Scheme Target'!$I:$I,0,0),0)</f>
        <v>5.0000000000000001E-3</v>
      </c>
      <c r="M88" s="72">
        <f t="shared" si="13"/>
        <v>4.4999999999999998E-2</v>
      </c>
      <c r="N88" s="62">
        <f t="shared" si="21"/>
        <v>5242.5584165220307</v>
      </c>
      <c r="T88" s="61">
        <f t="shared" si="14"/>
        <v>4660.051925797361</v>
      </c>
      <c r="U88" s="61">
        <f t="shared" si="15"/>
        <v>0</v>
      </c>
      <c r="V88" s="61">
        <f t="shared" si="16"/>
        <v>0</v>
      </c>
      <c r="W88" s="61">
        <f t="shared" si="17"/>
        <v>582.50649072467013</v>
      </c>
      <c r="X88" s="61">
        <f t="shared" si="18"/>
        <v>5242.5584165220316</v>
      </c>
      <c r="Y88" s="61">
        <f t="shared" si="19"/>
        <v>0</v>
      </c>
    </row>
    <row r="89" spans="1:25" x14ac:dyDescent="0.25">
      <c r="A89" s="51">
        <v>1200505027</v>
      </c>
      <c r="B89" s="51" t="s">
        <v>82</v>
      </c>
      <c r="C89" s="51" t="s">
        <v>140</v>
      </c>
      <c r="D89" s="51" t="s">
        <v>141</v>
      </c>
      <c r="E89" s="51" t="s">
        <v>133</v>
      </c>
      <c r="F89" s="52">
        <f>SUMIF('Customer Budget Per Category'!$A:$A,$A89,'Customer Budget Per Category'!$O:$O)</f>
        <v>334.78234459049116</v>
      </c>
      <c r="G89" s="52">
        <f>SUMIFS('Navision sales Dump'!$E:$E,'Navision sales Dump'!$K:$K,$E89,'Navision sales Dump'!$A:$A,$A89)</f>
        <v>216</v>
      </c>
      <c r="H89" s="62">
        <f>SUMIFS('Navision sales Dump'!$G:$G,'Navision sales Dump'!$K:$K,$E89,'Navision sales Dump'!$A:$A,$A89)</f>
        <v>2165914.08</v>
      </c>
      <c r="I89" s="72">
        <f>IFERROR(IF(($G89/$F89)&gt;='Discount Scheme Target'!$F$4,_xlfn.XLOOKUP($E89,'Discount Scheme Target'!$B:$B,'Discount Scheme Target'!$F:$F,0,0),IF(($G89/$F89)&gt;='Discount Scheme Target'!$E$4,_xlfn.XLOOKUP($E89,'Discount Scheme Target'!$B:$B,'Discount Scheme Target'!$E:$E,0,0),IF(($G89/$F89)&gt;='Discount Scheme Target'!$D$4,_xlfn.XLOOKUP($E89,'Discount Scheme Target'!$B:$B,'Discount Scheme Target'!$D:$D,0,0),0))),0)</f>
        <v>0</v>
      </c>
      <c r="J89" s="72">
        <f>IF(SUMIF('Customer Num Distr.'!$A:$A,Workings!$A89,'Customer Num Distr.'!$E:$E)&gt;='Discount Scheme Target'!$G$4,_xlfn.XLOOKUP(Workings!$E89,'Discount Scheme Target'!$B:$B,'Discount Scheme Target'!$G:$G,0,0),0)</f>
        <v>0</v>
      </c>
      <c r="K89" s="72">
        <f>IF(SUMIF('Bouclage EG Cust Cons_Decons'!$A:$A,Workings!$A89,'Bouclage EG Cust Cons_Decons'!$F:$F)&gt;='Discount Scheme Target'!$H$4,_xlfn.XLOOKUP(Workings!$E89,'Discount Scheme Target'!$B:$B,'Discount Scheme Target'!$H:$H,0,0),0)</f>
        <v>0</v>
      </c>
      <c r="L89" s="72">
        <f>IF(INDEX('TT Around time'!$A$1:$F$46,MATCH($A89,'TT Around time'!$A:$A,0),6)&gt;='Discount Scheme Target'!$I$4,_xlfn.XLOOKUP(Workings!$E89,'Discount Scheme Target'!$B:$B,'Discount Scheme Target'!$I:$I,0,0),0)</f>
        <v>5.0000000000000001E-3</v>
      </c>
      <c r="M89" s="72">
        <f t="shared" si="13"/>
        <v>5.0000000000000001E-3</v>
      </c>
      <c r="N89" s="62">
        <f t="shared" si="21"/>
        <v>16784.948932498999</v>
      </c>
      <c r="T89" s="61">
        <f t="shared" si="14"/>
        <v>0</v>
      </c>
      <c r="U89" s="61">
        <f t="shared" si="15"/>
        <v>0</v>
      </c>
      <c r="V89" s="61">
        <f t="shared" si="16"/>
        <v>0</v>
      </c>
      <c r="W89" s="61">
        <f t="shared" si="17"/>
        <v>16784.948932498999</v>
      </c>
      <c r="X89" s="61">
        <f t="shared" si="18"/>
        <v>16784.948932498999</v>
      </c>
      <c r="Y89" s="61">
        <f t="shared" si="19"/>
        <v>0</v>
      </c>
    </row>
    <row r="90" spans="1:25" x14ac:dyDescent="0.25">
      <c r="A90" s="51">
        <v>1300006450</v>
      </c>
      <c r="B90" s="51" t="s">
        <v>142</v>
      </c>
      <c r="C90" s="51" t="s">
        <v>140</v>
      </c>
      <c r="D90" s="51" t="s">
        <v>141</v>
      </c>
      <c r="E90" s="51" t="s">
        <v>417</v>
      </c>
      <c r="F90" s="52">
        <f>SUMIF('Customer Budget Per Category'!$A:$A,$A90,'Customer Budget Per Category'!$E:$E)</f>
        <v>6539.3264079978881</v>
      </c>
      <c r="G90" s="52">
        <f>SUMIFS('Navision sales Dump'!$E:$E,'Navision sales Dump'!$K:$K,$E90,'Navision sales Dump'!$A:$A,$A90)</f>
        <v>4462</v>
      </c>
      <c r="H90" s="62">
        <f>SUMIFS('Navision sales Dump'!$G:$G,'Navision sales Dump'!$K:$K,$E90,'Navision sales Dump'!$A:$A,$A90)</f>
        <v>32988410.670000002</v>
      </c>
      <c r="I90" s="72">
        <f>IFERROR(IF(($G90/$F90)&gt;='Discount Scheme Target'!$F$4,_xlfn.XLOOKUP($E90,'Discount Scheme Target'!$B:$B,'Discount Scheme Target'!$F:$F,0,0),IF(($G90/$F90)&gt;='Discount Scheme Target'!$E$4,_xlfn.XLOOKUP($E90,'Discount Scheme Target'!$B:$B,'Discount Scheme Target'!$E:$E,0,0),IF(($G90/$F90)&gt;='Discount Scheme Target'!$D$4,_xlfn.XLOOKUP($E90,'Discount Scheme Target'!$B:$B,'Discount Scheme Target'!$D:$D,0,0),0))),0)</f>
        <v>0</v>
      </c>
      <c r="J90" s="72">
        <f>IF(SUMIF('Customer Num Distr.'!$A:$A,Workings!$A90,'Customer Num Distr.'!$E:$E)&gt;='Discount Scheme Target'!$G$4,_xlfn.XLOOKUP(Workings!$E90,'Discount Scheme Target'!$B:$B,'Discount Scheme Target'!$G:$G,0,0),0)</f>
        <v>0</v>
      </c>
      <c r="K90" s="72">
        <f>IF(SUMIF('Bouclage EG Cust Cons_Decons'!$A:$A,Workings!$A90,'Bouclage EG Cust Cons_Decons'!$F:$F)&gt;='Discount Scheme Target'!$H$4,_xlfn.XLOOKUP(Workings!$E90,'Discount Scheme Target'!$B:$B,'Discount Scheme Target'!$H:$H,0,0),0)</f>
        <v>0</v>
      </c>
      <c r="L90" s="72">
        <f>IF(INDEX('TT Around time'!$A$1:$F$46,MATCH($A90,'TT Around time'!$A:$A,0),6)&gt;='Discount Scheme Target'!$I$4,_xlfn.XLOOKUP(Workings!$E90,'Discount Scheme Target'!$B:$B,'Discount Scheme Target'!$I:$I,0,0),0)</f>
        <v>0.01</v>
      </c>
      <c r="M90" s="72">
        <f t="shared" si="13"/>
        <v>0.01</v>
      </c>
      <c r="N90" s="62">
        <f t="shared" si="21"/>
        <v>483464.78048455919</v>
      </c>
      <c r="T90" s="61">
        <f t="shared" si="14"/>
        <v>0</v>
      </c>
      <c r="U90" s="61">
        <f t="shared" si="15"/>
        <v>0</v>
      </c>
      <c r="V90" s="61">
        <f t="shared" si="16"/>
        <v>0</v>
      </c>
      <c r="W90" s="61">
        <f t="shared" si="17"/>
        <v>483464.78048455919</v>
      </c>
      <c r="X90" s="61">
        <f t="shared" si="18"/>
        <v>483464.78048455919</v>
      </c>
      <c r="Y90" s="61">
        <f t="shared" si="19"/>
        <v>0</v>
      </c>
    </row>
    <row r="91" spans="1:25" x14ac:dyDescent="0.25">
      <c r="A91" s="51">
        <v>1300006450</v>
      </c>
      <c r="B91" s="51" t="s">
        <v>142</v>
      </c>
      <c r="C91" s="51" t="s">
        <v>140</v>
      </c>
      <c r="D91" s="51" t="s">
        <v>141</v>
      </c>
      <c r="E91" s="51" t="s">
        <v>418</v>
      </c>
      <c r="F91" s="52">
        <f>SUMIF('Customer Budget Per Category'!$A:$A,$A91,'Customer Budget Per Category'!$F:$F)</f>
        <v>0</v>
      </c>
      <c r="G91" s="52">
        <f>SUMIFS('Navision sales Dump'!$E:$E,'Navision sales Dump'!$K:$K,$E91,'Navision sales Dump'!$A:$A,$A91)</f>
        <v>0</v>
      </c>
      <c r="H91" s="62">
        <f>SUMIFS('Navision sales Dump'!$G:$G,'Navision sales Dump'!$K:$K,$E91,'Navision sales Dump'!$A:$A,$A91)</f>
        <v>0</v>
      </c>
      <c r="I91" s="72">
        <f>IFERROR(IF(($G91/$F91)&gt;='Discount Scheme Target'!$F$4,_xlfn.XLOOKUP($E91,'Discount Scheme Target'!$B:$B,'Discount Scheme Target'!$F:$F,0,0),IF(($G91/$F91)&gt;='Discount Scheme Target'!$E$4,_xlfn.XLOOKUP($E91,'Discount Scheme Target'!$B:$B,'Discount Scheme Target'!$E:$E,0,0),IF(($G91/$F91)&gt;='Discount Scheme Target'!$D$4,_xlfn.XLOOKUP($E91,'Discount Scheme Target'!$B:$B,'Discount Scheme Target'!$D:$D,0,0),0))),0)</f>
        <v>0</v>
      </c>
      <c r="J91" s="72">
        <f>IF(SUMIF('Customer Num Distr.'!$A:$A,Workings!$A91,'Customer Num Distr.'!$E:$E)&gt;='Discount Scheme Target'!$G$4,_xlfn.XLOOKUP(Workings!$E91,'Discount Scheme Target'!$B:$B,'Discount Scheme Target'!$G:$G,0,0),0)</f>
        <v>0</v>
      </c>
      <c r="K91" s="72">
        <f>IF(SUMIF('Bouclage EG Cust Cons_Decons'!$A:$A,Workings!$A91,'Bouclage EG Cust Cons_Decons'!$F:$F)&gt;='Discount Scheme Target'!$H$4,_xlfn.XLOOKUP(Workings!$E91,'Discount Scheme Target'!$B:$B,'Discount Scheme Target'!$H:$H,0,0),0)</f>
        <v>0</v>
      </c>
      <c r="L91" s="72">
        <f>IF(INDEX('TT Around time'!$A$1:$F$46,MATCH($A91,'TT Around time'!$A:$A,0),6)&gt;='Discount Scheme Target'!$I$4,_xlfn.XLOOKUP(Workings!$E91,'Discount Scheme Target'!$B:$B,'Discount Scheme Target'!$I:$I,0,0),0)</f>
        <v>0</v>
      </c>
      <c r="M91" s="72">
        <f t="shared" si="13"/>
        <v>0</v>
      </c>
      <c r="N91" s="62">
        <f t="shared" si="21"/>
        <v>0</v>
      </c>
      <c r="T91" s="61">
        <f t="shared" si="14"/>
        <v>0</v>
      </c>
      <c r="U91" s="61">
        <f t="shared" si="15"/>
        <v>0</v>
      </c>
      <c r="V91" s="61">
        <f t="shared" si="16"/>
        <v>0</v>
      </c>
      <c r="W91" s="61">
        <f t="shared" si="17"/>
        <v>0</v>
      </c>
      <c r="X91" s="61">
        <f t="shared" si="18"/>
        <v>0</v>
      </c>
      <c r="Y91" s="61">
        <f t="shared" si="19"/>
        <v>0</v>
      </c>
    </row>
    <row r="92" spans="1:25" x14ac:dyDescent="0.25">
      <c r="A92" s="51">
        <v>1300006450</v>
      </c>
      <c r="B92" s="51" t="s">
        <v>142</v>
      </c>
      <c r="C92" s="51" t="s">
        <v>140</v>
      </c>
      <c r="D92" s="51" t="s">
        <v>141</v>
      </c>
      <c r="E92" s="51" t="s">
        <v>130</v>
      </c>
      <c r="F92" s="52">
        <f>SUMIF('Customer Budget Per Category'!$A:$A,$A92,'Customer Budget Per Category'!$G:$G)</f>
        <v>156.6836765961142</v>
      </c>
      <c r="G92" s="52">
        <f>SUMIFS('Navision sales Dump'!$E:$E,'Navision sales Dump'!$K:$K,$E92,'Navision sales Dump'!$A:$A,$A92)</f>
        <v>72</v>
      </c>
      <c r="H92" s="62">
        <f>SUMIFS('Navision sales Dump'!$G:$G,'Navision sales Dump'!$K:$K,$E92,'Navision sales Dump'!$A:$A,$A92)</f>
        <v>556223.04</v>
      </c>
      <c r="I92" s="72">
        <f>IFERROR(IF(($G92/$F92)&gt;='Discount Scheme Target'!$F$4,_xlfn.XLOOKUP($E92,'Discount Scheme Target'!$B:$B,'Discount Scheme Target'!$F:$F,0,0),IF(($G92/$F92)&gt;='Discount Scheme Target'!$E$4,_xlfn.XLOOKUP($E92,'Discount Scheme Target'!$B:$B,'Discount Scheme Target'!$E:$E,0,0),IF(($G92/$F92)&gt;='Discount Scheme Target'!$D$4,_xlfn.XLOOKUP($E92,'Discount Scheme Target'!$B:$B,'Discount Scheme Target'!$D:$D,0,0),0))),0)</f>
        <v>0</v>
      </c>
      <c r="J92" s="72">
        <f>IF(SUMIF('Customer Num Distr.'!$A:$A,Workings!$A92,'Customer Num Distr.'!$E:$E)&gt;='Discount Scheme Target'!$G$4,_xlfn.XLOOKUP(Workings!$E92,'Discount Scheme Target'!$B:$B,'Discount Scheme Target'!$G:$G,0,0),0)</f>
        <v>0</v>
      </c>
      <c r="K92" s="72">
        <f>IF(SUMIF('Bouclage EG Cust Cons_Decons'!$A:$A,Workings!$A92,'Bouclage EG Cust Cons_Decons'!$F:$F)&gt;='Discount Scheme Target'!$H$4,_xlfn.XLOOKUP(Workings!$E92,'Discount Scheme Target'!$B:$B,'Discount Scheme Target'!$H:$H,0,0),0)</f>
        <v>0</v>
      </c>
      <c r="L92" s="72">
        <f>IF(INDEX('TT Around time'!$A$1:$F$46,MATCH($A92,'TT Around time'!$A:$A,0),6)&gt;='Discount Scheme Target'!$I$4,_xlfn.XLOOKUP(Workings!$E92,'Discount Scheme Target'!$B:$B,'Discount Scheme Target'!$I:$I,0,0),0)</f>
        <v>0.01</v>
      </c>
      <c r="M92" s="72">
        <f t="shared" si="13"/>
        <v>0.01</v>
      </c>
      <c r="N92" s="62">
        <f t="shared" si="21"/>
        <v>12104.315404814932</v>
      </c>
      <c r="T92" s="61">
        <f t="shared" si="14"/>
        <v>0</v>
      </c>
      <c r="U92" s="61">
        <f t="shared" si="15"/>
        <v>0</v>
      </c>
      <c r="V92" s="61">
        <f t="shared" si="16"/>
        <v>0</v>
      </c>
      <c r="W92" s="61">
        <f t="shared" si="17"/>
        <v>12104.315404814932</v>
      </c>
      <c r="X92" s="61">
        <f t="shared" si="18"/>
        <v>12104.315404814932</v>
      </c>
      <c r="Y92" s="61">
        <f t="shared" si="19"/>
        <v>0</v>
      </c>
    </row>
    <row r="93" spans="1:25" x14ac:dyDescent="0.25">
      <c r="A93" s="51">
        <v>1300006450</v>
      </c>
      <c r="B93" s="51" t="s">
        <v>142</v>
      </c>
      <c r="C93" s="51" t="s">
        <v>140</v>
      </c>
      <c r="D93" s="51" t="s">
        <v>141</v>
      </c>
      <c r="E93" s="51" t="s">
        <v>131</v>
      </c>
      <c r="F93" s="52">
        <f>SUMIF('Customer Budget Per Category'!$A:$A,$A93,'Customer Budget Per Category'!$H:$H)</f>
        <v>55.077355123784898</v>
      </c>
      <c r="G93" s="52">
        <f>SUMIFS('Navision sales Dump'!$E:$E,'Navision sales Dump'!$K:$K,$E93,'Navision sales Dump'!$A:$A,$A93)</f>
        <v>107</v>
      </c>
      <c r="H93" s="62">
        <f>SUMIFS('Navision sales Dump'!$G:$G,'Navision sales Dump'!$K:$K,$E93,'Navision sales Dump'!$A:$A,$A93)</f>
        <v>4178264.66</v>
      </c>
      <c r="I93" s="72">
        <f>IFERROR(IF(($G93/$F93)&gt;='Discount Scheme Target'!$F$4,_xlfn.XLOOKUP($E93,'Discount Scheme Target'!$B:$B,'Discount Scheme Target'!$F:$F,0,0),IF(($G93/$F93)&gt;='Discount Scheme Target'!$E$4,_xlfn.XLOOKUP($E93,'Discount Scheme Target'!$B:$B,'Discount Scheme Target'!$E:$E,0,0),IF(($G93/$F93)&gt;='Discount Scheme Target'!$D$4,_xlfn.XLOOKUP($E93,'Discount Scheme Target'!$B:$B,'Discount Scheme Target'!$D:$D,0,0),0))),0)</f>
        <v>0.04</v>
      </c>
      <c r="J93" s="72">
        <f>IF(SUMIF('Customer Num Distr.'!$A:$A,Workings!$A93,'Customer Num Distr.'!$E:$E)&gt;='Discount Scheme Target'!$G$4,_xlfn.XLOOKUP(Workings!$E93,'Discount Scheme Target'!$B:$B,'Discount Scheme Target'!$G:$G,0,0),0)</f>
        <v>0</v>
      </c>
      <c r="K93" s="72">
        <f>IF(SUMIF('Bouclage EG Cust Cons_Decons'!$A:$A,Workings!$A93,'Bouclage EG Cust Cons_Decons'!$F:$F)&gt;='Discount Scheme Target'!$H$4,_xlfn.XLOOKUP(Workings!$E93,'Discount Scheme Target'!$B:$B,'Discount Scheme Target'!$H:$H,0,0),0)</f>
        <v>0</v>
      </c>
      <c r="L93" s="72">
        <f>IF(INDEX('TT Around time'!$A$1:$F$46,MATCH($A93,'TT Around time'!$A:$A,0),6)&gt;='Discount Scheme Target'!$I$4,_xlfn.XLOOKUP(Workings!$E93,'Discount Scheme Target'!$B:$B,'Discount Scheme Target'!$I:$I,0,0),0)</f>
        <v>5.0000000000000001E-3</v>
      </c>
      <c r="M93" s="72">
        <f t="shared" si="13"/>
        <v>4.4999999999999998E-2</v>
      </c>
      <c r="N93" s="62">
        <f t="shared" si="21"/>
        <v>96782.705528963706</v>
      </c>
      <c r="T93" s="61">
        <f t="shared" si="14"/>
        <v>86029.071581301076</v>
      </c>
      <c r="U93" s="61">
        <f t="shared" si="15"/>
        <v>0</v>
      </c>
      <c r="V93" s="61">
        <f t="shared" si="16"/>
        <v>0</v>
      </c>
      <c r="W93" s="61">
        <f t="shared" si="17"/>
        <v>10753.633947662634</v>
      </c>
      <c r="X93" s="61">
        <f t="shared" si="18"/>
        <v>96782.705528963706</v>
      </c>
      <c r="Y93" s="61">
        <f t="shared" si="19"/>
        <v>0</v>
      </c>
    </row>
    <row r="94" spans="1:25" x14ac:dyDescent="0.25">
      <c r="A94" s="51">
        <v>1300006450</v>
      </c>
      <c r="B94" s="51" t="s">
        <v>142</v>
      </c>
      <c r="C94" s="51" t="s">
        <v>140</v>
      </c>
      <c r="D94" s="51" t="s">
        <v>141</v>
      </c>
      <c r="E94" s="51" t="s">
        <v>514</v>
      </c>
      <c r="F94" s="52">
        <f>SUMIF('Customer Budget Per Category'!$A:$A,$A94,'Customer Budget Per Category'!$I:$I)</f>
        <v>3173.1798513896588</v>
      </c>
      <c r="G94" s="52">
        <f>SUMIFS('Navision sales Dump'!$E:$E,'Navision sales Dump'!$K:$K,$E94,'Navision sales Dump'!$A:$A,$A94)</f>
        <v>3309</v>
      </c>
      <c r="H94" s="62">
        <f>SUMIFS('Navision sales Dump'!$G:$G,'Navision sales Dump'!$K:$K,$E94,'Navision sales Dump'!$A:$A,$A94)</f>
        <v>13097121.27</v>
      </c>
      <c r="I94" s="72">
        <f>IFERROR(IF(($G94/$F94)&gt;='Discount Scheme Target'!$F$4,_xlfn.XLOOKUP($E94,'Discount Scheme Target'!$B:$B,'Discount Scheme Target'!$F:$F,0,0),IF(($G94/$F94)&gt;='Discount Scheme Target'!$E$4,_xlfn.XLOOKUP($E94,'Discount Scheme Target'!$B:$B,'Discount Scheme Target'!$E:$E,0,0),IF(($G94/$F94)&gt;='Discount Scheme Target'!$D$4,_xlfn.XLOOKUP($E94,'Discount Scheme Target'!$B:$B,'Discount Scheme Target'!$D:$D,0,0),0))),0)</f>
        <v>0.01</v>
      </c>
      <c r="J94" s="72">
        <f>IF(SUMIF('Customer Num Distr.'!$A:$A,Workings!$A94,'Customer Num Distr.'!$E:$E)&gt;='Discount Scheme Target'!$G$4,_xlfn.XLOOKUP(Workings!$E94,'Discount Scheme Target'!$B:$B,'Discount Scheme Target'!$G:$G,0,0),0)</f>
        <v>0</v>
      </c>
      <c r="K94" s="72">
        <f>IF(SUMIF('Bouclage EG Cust Cons_Decons'!$A:$A,Workings!$A94,'Bouclage EG Cust Cons_Decons'!$F:$F)&gt;='Discount Scheme Target'!$H$4,_xlfn.XLOOKUP(Workings!$E94,'Discount Scheme Target'!$B:$B,'Discount Scheme Target'!$H:$H,0,0),0)</f>
        <v>0</v>
      </c>
      <c r="L94" s="72">
        <f>IF(INDEX('TT Around time'!$A$1:$F$46,MATCH($A94,'TT Around time'!$A:$A,0),6)&gt;='Discount Scheme Target'!$I$4,_xlfn.XLOOKUP(Workings!$E94,'Discount Scheme Target'!$B:$B,'Discount Scheme Target'!$I:$I,0,0),0)</f>
        <v>5.0000000000000001E-3</v>
      </c>
      <c r="M94" s="72">
        <f t="shared" si="13"/>
        <v>1.4999999999999999E-2</v>
      </c>
      <c r="N94" s="62">
        <f t="shared" si="21"/>
        <v>188393.11570793716</v>
      </c>
      <c r="T94" s="61">
        <f t="shared" si="14"/>
        <v>125595.41047195811</v>
      </c>
      <c r="U94" s="61">
        <f t="shared" si="15"/>
        <v>0</v>
      </c>
      <c r="V94" s="61">
        <f t="shared" si="16"/>
        <v>0</v>
      </c>
      <c r="W94" s="61">
        <f t="shared" si="17"/>
        <v>62797.705235979054</v>
      </c>
      <c r="X94" s="61">
        <f t="shared" si="18"/>
        <v>188393.11570793716</v>
      </c>
      <c r="Y94" s="61">
        <f t="shared" si="19"/>
        <v>0</v>
      </c>
    </row>
    <row r="95" spans="1:25" x14ac:dyDescent="0.25">
      <c r="A95" s="51">
        <v>1300006450</v>
      </c>
      <c r="B95" s="51" t="s">
        <v>142</v>
      </c>
      <c r="C95" s="51" t="s">
        <v>140</v>
      </c>
      <c r="D95" s="51" t="s">
        <v>141</v>
      </c>
      <c r="E95" s="51" t="s">
        <v>515</v>
      </c>
      <c r="F95" s="52">
        <f>SUMIF('Customer Budget Per Category'!$A:$A,$A95,'Customer Budget Per Category'!$J:$J)</f>
        <v>302.49847743353575</v>
      </c>
      <c r="G95" s="52">
        <f>SUMIFS('Navision sales Dump'!$E:$E,'Navision sales Dump'!$K:$K,$E95,'Navision sales Dump'!$A:$A,$A95)</f>
        <v>286</v>
      </c>
      <c r="H95" s="62">
        <f>SUMIFS('Navision sales Dump'!$G:$G,'Navision sales Dump'!$K:$K,$E95,'Navision sales Dump'!$A:$A,$A95)</f>
        <v>807349.39999999991</v>
      </c>
      <c r="I95" s="72">
        <f>IFERROR(IF(($G95/$F95)&gt;='Discount Scheme Target'!$F$4,_xlfn.XLOOKUP($E95,'Discount Scheme Target'!$B:$B,'Discount Scheme Target'!$F:$F,0,0),IF(($G95/$F95)&gt;='Discount Scheme Target'!$E$4,_xlfn.XLOOKUP($E95,'Discount Scheme Target'!$B:$B,'Discount Scheme Target'!$E:$E,0,0),IF(($G95/$F95)&gt;='Discount Scheme Target'!$D$4,_xlfn.XLOOKUP($E95,'Discount Scheme Target'!$B:$B,'Discount Scheme Target'!$D:$D,0,0),0))),0)</f>
        <v>0</v>
      </c>
      <c r="J95" s="72">
        <f>IF(SUMIF('Customer Num Distr.'!$A:$A,Workings!$A95,'Customer Num Distr.'!$E:$E)&gt;='Discount Scheme Target'!$G$4,_xlfn.XLOOKUP(Workings!$E95,'Discount Scheme Target'!$B:$B,'Discount Scheme Target'!$G:$G,0,0),0)</f>
        <v>0</v>
      </c>
      <c r="K95" s="72">
        <f>IF(SUMIF('Bouclage EG Cust Cons_Decons'!$A:$A,Workings!$A95,'Bouclage EG Cust Cons_Decons'!$F:$F)&gt;='Discount Scheme Target'!$H$4,_xlfn.XLOOKUP(Workings!$E95,'Discount Scheme Target'!$B:$B,'Discount Scheme Target'!$H:$H,0,0),0)</f>
        <v>0</v>
      </c>
      <c r="L95" s="72">
        <f>IF(INDEX('TT Around time'!$A$1:$F$46,MATCH($A95,'TT Around time'!$A:$A,0),6)&gt;='Discount Scheme Target'!$I$4,_xlfn.XLOOKUP(Workings!$E95,'Discount Scheme Target'!$B:$B,'Discount Scheme Target'!$I:$I,0,0),0)</f>
        <v>5.0000000000000001E-3</v>
      </c>
      <c r="M95" s="72">
        <f t="shared" si="13"/>
        <v>5.0000000000000001E-3</v>
      </c>
      <c r="N95" s="62">
        <f t="shared" si="21"/>
        <v>4269.6147597356394</v>
      </c>
      <c r="T95" s="61">
        <f t="shared" si="14"/>
        <v>0</v>
      </c>
      <c r="U95" s="61">
        <f t="shared" si="15"/>
        <v>0</v>
      </c>
      <c r="V95" s="61">
        <f t="shared" si="16"/>
        <v>0</v>
      </c>
      <c r="W95" s="61">
        <f t="shared" si="17"/>
        <v>4269.6147597356394</v>
      </c>
      <c r="X95" s="61">
        <f t="shared" si="18"/>
        <v>4269.6147597356394</v>
      </c>
      <c r="Y95" s="61">
        <f t="shared" si="19"/>
        <v>0</v>
      </c>
    </row>
    <row r="96" spans="1:25" x14ac:dyDescent="0.25">
      <c r="A96" s="51">
        <v>1300006450</v>
      </c>
      <c r="B96" s="51" t="s">
        <v>142</v>
      </c>
      <c r="C96" s="51" t="s">
        <v>140</v>
      </c>
      <c r="D96" s="51" t="s">
        <v>141</v>
      </c>
      <c r="E96" s="51" t="s">
        <v>161</v>
      </c>
      <c r="F96" s="52">
        <f>SUMIF('Customer Budget Per Category'!$A:$A,$A96,'Customer Budget Per Category'!$K:$K)</f>
        <v>0</v>
      </c>
      <c r="G96" s="52">
        <f>SUMIFS('Navision sales Dump'!$E:$E,'Navision sales Dump'!$K:$K,$E96,'Navision sales Dump'!$A:$A,$A96)</f>
        <v>0</v>
      </c>
      <c r="H96" s="62">
        <f>SUMIFS('Navision sales Dump'!$G:$G,'Navision sales Dump'!$K:$K,$E96,'Navision sales Dump'!$A:$A,$A96)</f>
        <v>0</v>
      </c>
      <c r="I96" s="72">
        <f>IFERROR(IF(($G96/$F96)&gt;='Discount Scheme Target'!$F$4,_xlfn.XLOOKUP($E96,'Discount Scheme Target'!$B:$B,'Discount Scheme Target'!$F:$F,0,0),IF(($G96/$F96)&gt;='Discount Scheme Target'!$E$4,_xlfn.XLOOKUP($E96,'Discount Scheme Target'!$B:$B,'Discount Scheme Target'!$E:$E,0,0),IF(($G96/$F96)&gt;='Discount Scheme Target'!$D$4,_xlfn.XLOOKUP($E96,'Discount Scheme Target'!$B:$B,'Discount Scheme Target'!$D:$D,0,0),0))),0)</f>
        <v>0</v>
      </c>
      <c r="J96" s="72">
        <f>IF(SUMIF('Customer Num Distr.'!$A:$A,Workings!$A96,'Customer Num Distr.'!$E:$E)&gt;='Discount Scheme Target'!$G$4,_xlfn.XLOOKUP(Workings!$E96,'Discount Scheme Target'!$B:$B,'Discount Scheme Target'!$G:$G,0,0),0)</f>
        <v>0</v>
      </c>
      <c r="K96" s="72">
        <f>IF(SUMIF('Bouclage EG Cust Cons_Decons'!$A:$A,Workings!$A96,'Bouclage EG Cust Cons_Decons'!$F:$F)&gt;='Discount Scheme Target'!$H$4,_xlfn.XLOOKUP(Workings!$E96,'Discount Scheme Target'!$B:$B,'Discount Scheme Target'!$H:$H,0,0),0)</f>
        <v>0</v>
      </c>
      <c r="L96" s="72">
        <f>IF(INDEX('TT Around time'!$A$1:$F$46,MATCH($A96,'TT Around time'!$A:$A,0),6)&gt;='Discount Scheme Target'!$I$4,_xlfn.XLOOKUP(Workings!$E96,'Discount Scheme Target'!$B:$B,'Discount Scheme Target'!$I:$I,0,0),0)</f>
        <v>0</v>
      </c>
      <c r="M96" s="72">
        <f t="shared" si="13"/>
        <v>0</v>
      </c>
      <c r="N96" s="62">
        <f t="shared" si="21"/>
        <v>0</v>
      </c>
      <c r="T96" s="61">
        <f t="shared" si="14"/>
        <v>0</v>
      </c>
      <c r="U96" s="61">
        <f t="shared" si="15"/>
        <v>0</v>
      </c>
      <c r="V96" s="61">
        <f t="shared" si="16"/>
        <v>0</v>
      </c>
      <c r="W96" s="61">
        <f t="shared" si="17"/>
        <v>0</v>
      </c>
      <c r="X96" s="61">
        <f t="shared" si="18"/>
        <v>0</v>
      </c>
      <c r="Y96" s="61">
        <f t="shared" si="19"/>
        <v>0</v>
      </c>
    </row>
    <row r="97" spans="1:25" x14ac:dyDescent="0.25">
      <c r="A97" s="51">
        <v>1300006450</v>
      </c>
      <c r="B97" s="51" t="s">
        <v>142</v>
      </c>
      <c r="C97" s="51" t="s">
        <v>140</v>
      </c>
      <c r="D97" s="51" t="s">
        <v>141</v>
      </c>
      <c r="E97" s="51" t="s">
        <v>354</v>
      </c>
      <c r="F97" s="52">
        <f>SUMIF('Customer Budget Per Category'!$A:$A,$A97,'Customer Budget Per Category'!$L:$L)</f>
        <v>1083.2187052232032</v>
      </c>
      <c r="G97" s="52">
        <f>SUMIFS('Navision sales Dump'!$E:$E,'Navision sales Dump'!$K:$K,$E97,'Navision sales Dump'!$A:$A,$A97)</f>
        <v>576</v>
      </c>
      <c r="H97" s="62">
        <f>SUMIFS('Navision sales Dump'!$G:$G,'Navision sales Dump'!$K:$K,$E97,'Navision sales Dump'!$A:$A,$A97)</f>
        <v>1899855.36</v>
      </c>
      <c r="I97" s="72">
        <f>IFERROR(IF(($G97/$F97)&gt;='Discount Scheme Target'!$F$4,_xlfn.XLOOKUP($E97,'Discount Scheme Target'!$B:$B,'Discount Scheme Target'!$F:$F,0,0),IF(($G97/$F97)&gt;='Discount Scheme Target'!$E$4,_xlfn.XLOOKUP($E97,'Discount Scheme Target'!$B:$B,'Discount Scheme Target'!$E:$E,0,0),IF(($G97/$F97)&gt;='Discount Scheme Target'!$D$4,_xlfn.XLOOKUP($E97,'Discount Scheme Target'!$B:$B,'Discount Scheme Target'!$D:$D,0,0),0))),0)</f>
        <v>0</v>
      </c>
      <c r="J97" s="72">
        <f>IF(SUMIF('Customer Num Distr.'!$A:$A,Workings!$A97,'Customer Num Distr.'!$E:$E)&gt;='Discount Scheme Target'!$G$4,_xlfn.XLOOKUP(Workings!$E97,'Discount Scheme Target'!$B:$B,'Discount Scheme Target'!$G:$G,0,0),0)</f>
        <v>0</v>
      </c>
      <c r="K97" s="72">
        <f>IF(SUMIF('Bouclage EG Cust Cons_Decons'!$A:$A,Workings!$A97,'Bouclage EG Cust Cons_Decons'!$F:$F)&gt;='Discount Scheme Target'!$H$4,_xlfn.XLOOKUP(Workings!$E97,'Discount Scheme Target'!$B:$B,'Discount Scheme Target'!$H:$H,0,0),0)</f>
        <v>0</v>
      </c>
      <c r="L97" s="72">
        <f>IF(INDEX('TT Around time'!$A$1:$F$46,MATCH($A97,'TT Around time'!$A:$A,0),6)&gt;='Discount Scheme Target'!$I$4,_xlfn.XLOOKUP(Workings!$E97,'Discount Scheme Target'!$B:$B,'Discount Scheme Target'!$I:$I,0,0),0)</f>
        <v>5.0000000000000001E-3</v>
      </c>
      <c r="M97" s="72">
        <f t="shared" si="13"/>
        <v>5.0000000000000001E-3</v>
      </c>
      <c r="N97" s="62">
        <f t="shared" si="21"/>
        <v>17864.226242800021</v>
      </c>
      <c r="T97" s="61">
        <f t="shared" si="14"/>
        <v>0</v>
      </c>
      <c r="U97" s="61">
        <f t="shared" si="15"/>
        <v>0</v>
      </c>
      <c r="V97" s="61">
        <f t="shared" si="16"/>
        <v>0</v>
      </c>
      <c r="W97" s="61">
        <f t="shared" si="17"/>
        <v>17864.226242800021</v>
      </c>
      <c r="X97" s="61">
        <f t="shared" si="18"/>
        <v>17864.226242800021</v>
      </c>
      <c r="Y97" s="61">
        <f t="shared" si="19"/>
        <v>0</v>
      </c>
    </row>
    <row r="98" spans="1:25" x14ac:dyDescent="0.25">
      <c r="A98" s="51">
        <v>1300006450</v>
      </c>
      <c r="B98" s="51" t="s">
        <v>142</v>
      </c>
      <c r="C98" s="51" t="s">
        <v>140</v>
      </c>
      <c r="D98" s="51" t="s">
        <v>141</v>
      </c>
      <c r="E98" s="51" t="s">
        <v>355</v>
      </c>
      <c r="F98" s="52">
        <f>SUMIF('Customer Budget Per Category'!$A:$A,$A98,'Customer Budget Per Category'!$M:$M)</f>
        <v>601.00223271068785</v>
      </c>
      <c r="G98" s="52">
        <f>SUMIFS('Navision sales Dump'!$E:$E,'Navision sales Dump'!$K:$K,$E98,'Navision sales Dump'!$A:$A,$A98)</f>
        <v>0</v>
      </c>
      <c r="H98" s="62">
        <f>SUMIFS('Navision sales Dump'!$G:$G,'Navision sales Dump'!$K:$K,$E98,'Navision sales Dump'!$A:$A,$A98)</f>
        <v>0</v>
      </c>
      <c r="I98" s="72">
        <f>IFERROR(IF(($G98/$F98)&gt;='Discount Scheme Target'!$F$4,_xlfn.XLOOKUP($E98,'Discount Scheme Target'!$B:$B,'Discount Scheme Target'!$F:$F,0,0),IF(($G98/$F98)&gt;='Discount Scheme Target'!$E$4,_xlfn.XLOOKUP($E98,'Discount Scheme Target'!$B:$B,'Discount Scheme Target'!$E:$E,0,0),IF(($G98/$F98)&gt;='Discount Scheme Target'!$D$4,_xlfn.XLOOKUP($E98,'Discount Scheme Target'!$B:$B,'Discount Scheme Target'!$D:$D,0,0),0))),0)</f>
        <v>0</v>
      </c>
      <c r="J98" s="72">
        <f>IF(SUMIF('Customer Num Distr.'!$A:$A,Workings!$A98,'Customer Num Distr.'!$E:$E)&gt;='Discount Scheme Target'!$G$4,_xlfn.XLOOKUP(Workings!$E98,'Discount Scheme Target'!$B:$B,'Discount Scheme Target'!$G:$G,0,0),0)</f>
        <v>0</v>
      </c>
      <c r="K98" s="72">
        <f>IF(SUMIF('Bouclage EG Cust Cons_Decons'!$A:$A,Workings!$A98,'Bouclage EG Cust Cons_Decons'!$F:$F)&gt;='Discount Scheme Target'!$H$4,_xlfn.XLOOKUP(Workings!$E98,'Discount Scheme Target'!$B:$B,'Discount Scheme Target'!$H:$H,0,0),0)</f>
        <v>0</v>
      </c>
      <c r="L98" s="72">
        <f>IF(INDEX('TT Around time'!$A$1:$F$46,MATCH($A98,'TT Around time'!$A:$A,0),6)&gt;='Discount Scheme Target'!$I$4,_xlfn.XLOOKUP(Workings!$E98,'Discount Scheme Target'!$B:$B,'Discount Scheme Target'!$I:$I,0,0),0)</f>
        <v>5.0000000000000001E-3</v>
      </c>
      <c r="M98" s="72">
        <f t="shared" si="13"/>
        <v>5.0000000000000001E-3</v>
      </c>
      <c r="N98" s="62">
        <f t="shared" si="21"/>
        <v>0</v>
      </c>
      <c r="T98" s="61">
        <f t="shared" si="14"/>
        <v>0</v>
      </c>
      <c r="U98" s="61">
        <f t="shared" si="15"/>
        <v>0</v>
      </c>
      <c r="V98" s="61">
        <f t="shared" si="16"/>
        <v>0</v>
      </c>
      <c r="W98" s="61">
        <f t="shared" si="17"/>
        <v>0</v>
      </c>
      <c r="X98" s="61">
        <f t="shared" si="18"/>
        <v>0</v>
      </c>
      <c r="Y98" s="61">
        <f t="shared" si="19"/>
        <v>0</v>
      </c>
    </row>
    <row r="99" spans="1:25" x14ac:dyDescent="0.25">
      <c r="A99" s="51">
        <v>1300006450</v>
      </c>
      <c r="B99" s="51" t="s">
        <v>142</v>
      </c>
      <c r="C99" s="51" t="s">
        <v>140</v>
      </c>
      <c r="D99" s="51" t="s">
        <v>141</v>
      </c>
      <c r="E99" s="51" t="s">
        <v>132</v>
      </c>
      <c r="F99" s="52">
        <f>SUMIF('Customer Budget Per Category'!$A:$A,$A99,'Customer Budget Per Category'!$N:$N)</f>
        <v>163.92107769437388</v>
      </c>
      <c r="G99" s="52">
        <f>SUMIFS('Navision sales Dump'!$E:$E,'Navision sales Dump'!$K:$K,$E99,'Navision sales Dump'!$A:$A,$A99)</f>
        <v>0</v>
      </c>
      <c r="H99" s="62">
        <f>SUMIFS('Navision sales Dump'!$G:$G,'Navision sales Dump'!$K:$K,$E99,'Navision sales Dump'!$A:$A,$A99)</f>
        <v>0</v>
      </c>
      <c r="I99" s="72">
        <f>IFERROR(IF(($G99/$F99)&gt;='Discount Scheme Target'!$F$4,_xlfn.XLOOKUP($E99,'Discount Scheme Target'!$B:$B,'Discount Scheme Target'!$F:$F,0,0),IF(($G99/$F99)&gt;='Discount Scheme Target'!$E$4,_xlfn.XLOOKUP($E99,'Discount Scheme Target'!$B:$B,'Discount Scheme Target'!$E:$E,0,0),IF(($G99/$F99)&gt;='Discount Scheme Target'!$D$4,_xlfn.XLOOKUP($E99,'Discount Scheme Target'!$B:$B,'Discount Scheme Target'!$D:$D,0,0),0))),0)</f>
        <v>0</v>
      </c>
      <c r="J99" s="72">
        <f>IF(SUMIF('Customer Num Distr.'!$A:$A,Workings!$A99,'Customer Num Distr.'!$E:$E)&gt;='Discount Scheme Target'!$G$4,_xlfn.XLOOKUP(Workings!$E99,'Discount Scheme Target'!$B:$B,'Discount Scheme Target'!$G:$G,0,0),0)</f>
        <v>0</v>
      </c>
      <c r="K99" s="72">
        <f>IF(SUMIF('Bouclage EG Cust Cons_Decons'!$A:$A,Workings!$A99,'Bouclage EG Cust Cons_Decons'!$F:$F)&gt;='Discount Scheme Target'!$H$4,_xlfn.XLOOKUP(Workings!$E99,'Discount Scheme Target'!$B:$B,'Discount Scheme Target'!$H:$H,0,0),0)</f>
        <v>0</v>
      </c>
      <c r="L99" s="72">
        <f>IF(INDEX('TT Around time'!$A$1:$F$46,MATCH($A99,'TT Around time'!$A:$A,0),6)&gt;='Discount Scheme Target'!$I$4,_xlfn.XLOOKUP(Workings!$E99,'Discount Scheme Target'!$B:$B,'Discount Scheme Target'!$I:$I,0,0),0)</f>
        <v>5.0000000000000001E-3</v>
      </c>
      <c r="M99" s="72">
        <f t="shared" si="13"/>
        <v>5.0000000000000001E-3</v>
      </c>
      <c r="N99" s="62">
        <f t="shared" si="21"/>
        <v>0</v>
      </c>
      <c r="T99" s="61">
        <f t="shared" si="14"/>
        <v>0</v>
      </c>
      <c r="U99" s="61">
        <f t="shared" si="15"/>
        <v>0</v>
      </c>
      <c r="V99" s="61">
        <f t="shared" si="16"/>
        <v>0</v>
      </c>
      <c r="W99" s="61">
        <f t="shared" si="17"/>
        <v>0</v>
      </c>
      <c r="X99" s="61">
        <f t="shared" si="18"/>
        <v>0</v>
      </c>
      <c r="Y99" s="61">
        <f t="shared" si="19"/>
        <v>0</v>
      </c>
    </row>
    <row r="100" spans="1:25" x14ac:dyDescent="0.25">
      <c r="A100" s="51">
        <v>1300006450</v>
      </c>
      <c r="B100" s="51" t="s">
        <v>142</v>
      </c>
      <c r="C100" s="51" t="s">
        <v>140</v>
      </c>
      <c r="D100" s="51" t="s">
        <v>141</v>
      </c>
      <c r="E100" s="51" t="s">
        <v>133</v>
      </c>
      <c r="F100" s="52">
        <f>SUMIF('Customer Budget Per Category'!$A:$A,$A100,'Customer Budget Per Category'!$O:$O)</f>
        <v>299.25096167433492</v>
      </c>
      <c r="G100" s="52">
        <f>SUMIFS('Navision sales Dump'!$E:$E,'Navision sales Dump'!$K:$K,$E100,'Navision sales Dump'!$A:$A,$A100)</f>
        <v>72</v>
      </c>
      <c r="H100" s="62">
        <f>SUMIFS('Navision sales Dump'!$G:$G,'Navision sales Dump'!$K:$K,$E100,'Navision sales Dump'!$A:$A,$A100)</f>
        <v>721971.36</v>
      </c>
      <c r="I100" s="72">
        <f>IFERROR(IF(($G100/$F100)&gt;='Discount Scheme Target'!$F$4,_xlfn.XLOOKUP($E100,'Discount Scheme Target'!$B:$B,'Discount Scheme Target'!$F:$F,0,0),IF(($G100/$F100)&gt;='Discount Scheme Target'!$E$4,_xlfn.XLOOKUP($E100,'Discount Scheme Target'!$B:$B,'Discount Scheme Target'!$E:$E,0,0),IF(($G100/$F100)&gt;='Discount Scheme Target'!$D$4,_xlfn.XLOOKUP($E100,'Discount Scheme Target'!$B:$B,'Discount Scheme Target'!$D:$D,0,0),0))),0)</f>
        <v>0</v>
      </c>
      <c r="J100" s="72">
        <f>IF(SUMIF('Customer Num Distr.'!$A:$A,Workings!$A100,'Customer Num Distr.'!$E:$E)&gt;='Discount Scheme Target'!$G$4,_xlfn.XLOOKUP(Workings!$E100,'Discount Scheme Target'!$B:$B,'Discount Scheme Target'!$G:$G,0,0),0)</f>
        <v>0</v>
      </c>
      <c r="K100" s="72">
        <f>IF(SUMIF('Bouclage EG Cust Cons_Decons'!$A:$A,Workings!$A100,'Bouclage EG Cust Cons_Decons'!$F:$F)&gt;='Discount Scheme Target'!$H$4,_xlfn.XLOOKUP(Workings!$E100,'Discount Scheme Target'!$B:$B,'Discount Scheme Target'!$H:$H,0,0),0)</f>
        <v>0</v>
      </c>
      <c r="L100" s="72">
        <f>IF(INDEX('TT Around time'!$A$1:$F$46,MATCH($A100,'TT Around time'!$A:$A,0),6)&gt;='Discount Scheme Target'!$I$4,_xlfn.XLOOKUP(Workings!$E100,'Discount Scheme Target'!$B:$B,'Discount Scheme Target'!$I:$I,0,0),0)</f>
        <v>5.0000000000000001E-3</v>
      </c>
      <c r="M100" s="72">
        <f t="shared" si="13"/>
        <v>5.0000000000000001E-3</v>
      </c>
      <c r="N100" s="62">
        <f t="shared" si="21"/>
        <v>15003.515540369961</v>
      </c>
      <c r="T100" s="61">
        <f t="shared" si="14"/>
        <v>0</v>
      </c>
      <c r="U100" s="61">
        <f t="shared" si="15"/>
        <v>0</v>
      </c>
      <c r="V100" s="61">
        <f t="shared" si="16"/>
        <v>0</v>
      </c>
      <c r="W100" s="61">
        <f t="shared" si="17"/>
        <v>15003.515540369961</v>
      </c>
      <c r="X100" s="61">
        <f t="shared" si="18"/>
        <v>15003.515540369961</v>
      </c>
      <c r="Y100" s="61">
        <f t="shared" si="19"/>
        <v>0</v>
      </c>
    </row>
    <row r="101" spans="1:25" x14ac:dyDescent="0.25">
      <c r="A101" s="51">
        <v>1120501001</v>
      </c>
      <c r="B101" s="51" t="s">
        <v>81</v>
      </c>
      <c r="C101" s="51" t="s">
        <v>140</v>
      </c>
      <c r="D101" s="51" t="s">
        <v>141</v>
      </c>
      <c r="E101" s="51" t="s">
        <v>417</v>
      </c>
      <c r="F101" s="52">
        <f>SUMIF('Customer Budget Per Category'!$A:$A,$A101,'Customer Budget Per Category'!$E:$E)</f>
        <v>9608.8583230343756</v>
      </c>
      <c r="G101" s="52">
        <f>SUMIFS('Navision sales Dump'!$E:$E,'Navision sales Dump'!$K:$K,$E101,'Navision sales Dump'!$A:$A,$A101)</f>
        <v>5038</v>
      </c>
      <c r="H101" s="62">
        <f>SUMIFS('Navision sales Dump'!$G:$G,'Navision sales Dump'!$K:$K,$E101,'Navision sales Dump'!$A:$A,$A101)</f>
        <v>39921882.460000001</v>
      </c>
      <c r="I101" s="72">
        <f>IFERROR(IF(($G101/$F101)&gt;='Discount Scheme Target'!$F$4,_xlfn.XLOOKUP($E101,'Discount Scheme Target'!$B:$B,'Discount Scheme Target'!$F:$F,0,0),IF(($G101/$F101)&gt;='Discount Scheme Target'!$E$4,_xlfn.XLOOKUP($E101,'Discount Scheme Target'!$B:$B,'Discount Scheme Target'!$E:$E,0,0),IF(($G101/$F101)&gt;='Discount Scheme Target'!$D$4,_xlfn.XLOOKUP($E101,'Discount Scheme Target'!$B:$B,'Discount Scheme Target'!$D:$D,0,0),0))),0)</f>
        <v>0</v>
      </c>
      <c r="J101" s="72">
        <f>IF(SUMIF('Customer Num Distr.'!$A:$A,Workings!$A101,'Customer Num Distr.'!$E:$E)&gt;='Discount Scheme Target'!$G$4,_xlfn.XLOOKUP(Workings!$E101,'Discount Scheme Target'!$B:$B,'Discount Scheme Target'!$G:$G,0,0),0)</f>
        <v>0</v>
      </c>
      <c r="K101" s="72">
        <f>IF(SUMIF('Bouclage EG Cust Cons_Decons'!$A:$A,Workings!$A101,'Bouclage EG Cust Cons_Decons'!$F:$F)&gt;='Discount Scheme Target'!$H$4,_xlfn.XLOOKUP(Workings!$E101,'Discount Scheme Target'!$B:$B,'Discount Scheme Target'!$H:$H,0,0),0)</f>
        <v>5.0000000000000001E-3</v>
      </c>
      <c r="L101" s="72">
        <f>IF(INDEX('TT Around time'!$A$1:$F$46,MATCH($A101,'TT Around time'!$A:$A,0),6)&gt;='Discount Scheme Target'!$I$4,_xlfn.XLOOKUP(Workings!$E101,'Discount Scheme Target'!$B:$B,'Discount Scheme Target'!$I:$I,0,0),0)</f>
        <v>0</v>
      </c>
      <c r="M101" s="72">
        <f t="shared" si="13"/>
        <v>5.0000000000000001E-3</v>
      </c>
      <c r="N101" s="62">
        <f t="shared" si="21"/>
        <v>380710.31415935996</v>
      </c>
      <c r="T101" s="61">
        <f t="shared" si="14"/>
        <v>0</v>
      </c>
      <c r="U101" s="61">
        <f t="shared" si="15"/>
        <v>0</v>
      </c>
      <c r="V101" s="61">
        <f t="shared" si="16"/>
        <v>380710.31415935996</v>
      </c>
      <c r="W101" s="61">
        <f t="shared" si="17"/>
        <v>0</v>
      </c>
      <c r="X101" s="61">
        <f t="shared" si="18"/>
        <v>380710.31415935996</v>
      </c>
      <c r="Y101" s="61">
        <f t="shared" si="19"/>
        <v>0</v>
      </c>
    </row>
    <row r="102" spans="1:25" x14ac:dyDescent="0.25">
      <c r="A102" s="51">
        <v>1120501001</v>
      </c>
      <c r="B102" s="51" t="s">
        <v>81</v>
      </c>
      <c r="C102" s="51" t="s">
        <v>140</v>
      </c>
      <c r="D102" s="51" t="s">
        <v>141</v>
      </c>
      <c r="E102" s="51" t="s">
        <v>418</v>
      </c>
      <c r="F102" s="52">
        <f>SUMIF('Customer Budget Per Category'!$A:$A,$A102,'Customer Budget Per Category'!$F:$F)</f>
        <v>0</v>
      </c>
      <c r="G102" s="52">
        <f>SUMIFS('Navision sales Dump'!$E:$E,'Navision sales Dump'!$K:$K,$E102,'Navision sales Dump'!$A:$A,$A102)</f>
        <v>0</v>
      </c>
      <c r="H102" s="62">
        <f>SUMIFS('Navision sales Dump'!$G:$G,'Navision sales Dump'!$K:$K,$E102,'Navision sales Dump'!$A:$A,$A102)</f>
        <v>0</v>
      </c>
      <c r="I102" s="72">
        <f>IFERROR(IF(($G102/$F102)&gt;='Discount Scheme Target'!$F$4,_xlfn.XLOOKUP($E102,'Discount Scheme Target'!$B:$B,'Discount Scheme Target'!$F:$F,0,0),IF(($G102/$F102)&gt;='Discount Scheme Target'!$E$4,_xlfn.XLOOKUP($E102,'Discount Scheme Target'!$B:$B,'Discount Scheme Target'!$E:$E,0,0),IF(($G102/$F102)&gt;='Discount Scheme Target'!$D$4,_xlfn.XLOOKUP($E102,'Discount Scheme Target'!$B:$B,'Discount Scheme Target'!$D:$D,0,0),0))),0)</f>
        <v>0</v>
      </c>
      <c r="J102" s="72">
        <f>IF(SUMIF('Customer Num Distr.'!$A:$A,Workings!$A102,'Customer Num Distr.'!$E:$E)&gt;='Discount Scheme Target'!$G$4,_xlfn.XLOOKUP(Workings!$E102,'Discount Scheme Target'!$B:$B,'Discount Scheme Target'!$G:$G,0,0),0)</f>
        <v>0</v>
      </c>
      <c r="K102" s="72">
        <f>IF(SUMIF('Bouclage EG Cust Cons_Decons'!$A:$A,Workings!$A102,'Bouclage EG Cust Cons_Decons'!$F:$F)&gt;='Discount Scheme Target'!$H$4,_xlfn.XLOOKUP(Workings!$E102,'Discount Scheme Target'!$B:$B,'Discount Scheme Target'!$H:$H,0,0),0)</f>
        <v>0</v>
      </c>
      <c r="L102" s="72">
        <f>IF(INDEX('TT Around time'!$A$1:$F$46,MATCH($A102,'TT Around time'!$A:$A,0),6)&gt;='Discount Scheme Target'!$I$4,_xlfn.XLOOKUP(Workings!$E102,'Discount Scheme Target'!$B:$B,'Discount Scheme Target'!$I:$I,0,0),0)</f>
        <v>0</v>
      </c>
      <c r="M102" s="72">
        <f t="shared" si="13"/>
        <v>0</v>
      </c>
      <c r="N102" s="62">
        <f t="shared" si="21"/>
        <v>0</v>
      </c>
      <c r="T102" s="61">
        <f t="shared" si="14"/>
        <v>0</v>
      </c>
      <c r="U102" s="61">
        <f t="shared" si="15"/>
        <v>0</v>
      </c>
      <c r="V102" s="61">
        <f t="shared" si="16"/>
        <v>0</v>
      </c>
      <c r="W102" s="61">
        <f t="shared" si="17"/>
        <v>0</v>
      </c>
      <c r="X102" s="61">
        <f t="shared" si="18"/>
        <v>0</v>
      </c>
      <c r="Y102" s="61">
        <f t="shared" si="19"/>
        <v>0</v>
      </c>
    </row>
    <row r="103" spans="1:25" x14ac:dyDescent="0.25">
      <c r="A103" s="51">
        <v>1120501001</v>
      </c>
      <c r="B103" s="51" t="s">
        <v>81</v>
      </c>
      <c r="C103" s="51" t="s">
        <v>140</v>
      </c>
      <c r="D103" s="51" t="s">
        <v>141</v>
      </c>
      <c r="E103" s="51" t="s">
        <v>130</v>
      </c>
      <c r="F103" s="52">
        <f>SUMIF('Customer Budget Per Category'!$A:$A,$A103,'Customer Budget Per Category'!$G:$G)</f>
        <v>243.9577331771639</v>
      </c>
      <c r="G103" s="52">
        <f>SUMIFS('Navision sales Dump'!$E:$E,'Navision sales Dump'!$K:$K,$E103,'Navision sales Dump'!$A:$A,$A103)</f>
        <v>250</v>
      </c>
      <c r="H103" s="62">
        <f>SUMIFS('Navision sales Dump'!$G:$G,'Navision sales Dump'!$K:$K,$E103,'Navision sales Dump'!$A:$A,$A103)</f>
        <v>1931330</v>
      </c>
      <c r="I103" s="72">
        <f>IFERROR(IF(($G103/$F103)&gt;='Discount Scheme Target'!$F$4,_xlfn.XLOOKUP($E103,'Discount Scheme Target'!$B:$B,'Discount Scheme Target'!$F:$F,0,0),IF(($G103/$F103)&gt;='Discount Scheme Target'!$E$4,_xlfn.XLOOKUP($E103,'Discount Scheme Target'!$B:$B,'Discount Scheme Target'!$E:$E,0,0),IF(($G103/$F103)&gt;='Discount Scheme Target'!$D$4,_xlfn.XLOOKUP($E103,'Discount Scheme Target'!$B:$B,'Discount Scheme Target'!$D:$D,0,0),0))),0)</f>
        <v>1.4999999999999999E-2</v>
      </c>
      <c r="J103" s="72">
        <f>IF(SUMIF('Customer Num Distr.'!$A:$A,Workings!$A103,'Customer Num Distr.'!$E:$E)&gt;='Discount Scheme Target'!$G$4,_xlfn.XLOOKUP(Workings!$E103,'Discount Scheme Target'!$B:$B,'Discount Scheme Target'!$G:$G,0,0),0)</f>
        <v>0</v>
      </c>
      <c r="K103" s="72">
        <f>IF(SUMIF('Bouclage EG Cust Cons_Decons'!$A:$A,Workings!$A103,'Bouclage EG Cust Cons_Decons'!$F:$F)&gt;='Discount Scheme Target'!$H$4,_xlfn.XLOOKUP(Workings!$E103,'Discount Scheme Target'!$B:$B,'Discount Scheme Target'!$H:$H,0,0),0)</f>
        <v>5.0000000000000001E-3</v>
      </c>
      <c r="L103" s="72">
        <f>IF(INDEX('TT Around time'!$A$1:$F$46,MATCH($A103,'TT Around time'!$A:$A,0),6)&gt;='Discount Scheme Target'!$I$4,_xlfn.XLOOKUP(Workings!$E103,'Discount Scheme Target'!$B:$B,'Discount Scheme Target'!$I:$I,0,0),0)</f>
        <v>0</v>
      </c>
      <c r="M103" s="72">
        <f t="shared" si="13"/>
        <v>0.02</v>
      </c>
      <c r="N103" s="62">
        <f t="shared" si="21"/>
        <v>37693.031105364156</v>
      </c>
      <c r="T103" s="61">
        <f t="shared" si="14"/>
        <v>28269.773329023115</v>
      </c>
      <c r="U103" s="61">
        <f t="shared" si="15"/>
        <v>0</v>
      </c>
      <c r="V103" s="61">
        <f t="shared" si="16"/>
        <v>9423.2577763410391</v>
      </c>
      <c r="W103" s="61">
        <f t="shared" si="17"/>
        <v>0</v>
      </c>
      <c r="X103" s="61">
        <f t="shared" si="18"/>
        <v>37693.031105364156</v>
      </c>
      <c r="Y103" s="61">
        <f t="shared" si="19"/>
        <v>0</v>
      </c>
    </row>
    <row r="104" spans="1:25" x14ac:dyDescent="0.25">
      <c r="A104" s="51">
        <v>1120501001</v>
      </c>
      <c r="B104" s="51" t="s">
        <v>81</v>
      </c>
      <c r="C104" s="51" t="s">
        <v>140</v>
      </c>
      <c r="D104" s="51" t="s">
        <v>141</v>
      </c>
      <c r="E104" s="51" t="s">
        <v>131</v>
      </c>
      <c r="F104" s="52">
        <f>SUMIF('Customer Budget Per Category'!$A:$A,$A104,'Customer Budget Per Category'!$H:$H)</f>
        <v>58.714538952714094</v>
      </c>
      <c r="G104" s="52">
        <f>SUMIFS('Navision sales Dump'!$E:$E,'Navision sales Dump'!$K:$K,$E104,'Navision sales Dump'!$A:$A,$A104)</f>
        <v>70</v>
      </c>
      <c r="H104" s="62">
        <f>SUMIFS('Navision sales Dump'!$G:$G,'Navision sales Dump'!$K:$K,$E104,'Navision sales Dump'!$A:$A,$A104)</f>
        <v>2535769.25</v>
      </c>
      <c r="I104" s="72">
        <f>IFERROR(IF(($G104/$F104)&gt;='Discount Scheme Target'!$F$4,_xlfn.XLOOKUP($E104,'Discount Scheme Target'!$B:$B,'Discount Scheme Target'!$F:$F,0,0),IF(($G104/$F104)&gt;='Discount Scheme Target'!$E$4,_xlfn.XLOOKUP($E104,'Discount Scheme Target'!$B:$B,'Discount Scheme Target'!$E:$E,0,0),IF(($G104/$F104)&gt;='Discount Scheme Target'!$D$4,_xlfn.XLOOKUP($E104,'Discount Scheme Target'!$B:$B,'Discount Scheme Target'!$D:$D,0,0),0))),0)</f>
        <v>0.04</v>
      </c>
      <c r="J104" s="72">
        <f>IF(SUMIF('Customer Num Distr.'!$A:$A,Workings!$A104,'Customer Num Distr.'!$E:$E)&gt;='Discount Scheme Target'!$G$4,_xlfn.XLOOKUP(Workings!$E104,'Discount Scheme Target'!$B:$B,'Discount Scheme Target'!$G:$G,0,0),0)</f>
        <v>0</v>
      </c>
      <c r="K104" s="72">
        <f>IF(SUMIF('Bouclage EG Cust Cons_Decons'!$A:$A,Workings!$A104,'Bouclage EG Cust Cons_Decons'!$F:$F)&gt;='Discount Scheme Target'!$H$4,_xlfn.XLOOKUP(Workings!$E104,'Discount Scheme Target'!$B:$B,'Discount Scheme Target'!$H:$H,0,0),0)</f>
        <v>5.0000000000000001E-3</v>
      </c>
      <c r="L104" s="72">
        <f>IF(INDEX('TT Around time'!$A$1:$F$46,MATCH($A104,'TT Around time'!$A:$A,0),6)&gt;='Discount Scheme Target'!$I$4,_xlfn.XLOOKUP(Workings!$E104,'Discount Scheme Target'!$B:$B,'Discount Scheme Target'!$I:$I,0,0),0)</f>
        <v>0</v>
      </c>
      <c r="M104" s="72">
        <f t="shared" si="13"/>
        <v>4.4999999999999998E-2</v>
      </c>
      <c r="N104" s="62">
        <f t="shared" si="21"/>
        <v>95712.764402712608</v>
      </c>
      <c r="T104" s="61">
        <f t="shared" si="14"/>
        <v>85078.012802411205</v>
      </c>
      <c r="U104" s="61">
        <f t="shared" si="15"/>
        <v>0</v>
      </c>
      <c r="V104" s="61">
        <f t="shared" si="16"/>
        <v>10634.751600301401</v>
      </c>
      <c r="W104" s="61">
        <f t="shared" si="17"/>
        <v>0</v>
      </c>
      <c r="X104" s="61">
        <f t="shared" si="18"/>
        <v>95712.764402712608</v>
      </c>
      <c r="Y104" s="61">
        <f t="shared" si="19"/>
        <v>0</v>
      </c>
    </row>
    <row r="105" spans="1:25" x14ac:dyDescent="0.25">
      <c r="A105" s="51">
        <v>1120501001</v>
      </c>
      <c r="B105" s="51" t="s">
        <v>81</v>
      </c>
      <c r="C105" s="51" t="s">
        <v>140</v>
      </c>
      <c r="D105" s="51" t="s">
        <v>141</v>
      </c>
      <c r="E105" s="51" t="s">
        <v>514</v>
      </c>
      <c r="F105" s="52">
        <f>SUMIF('Customer Budget Per Category'!$A:$A,$A105,'Customer Budget Per Category'!$I:$I)</f>
        <v>3981.0835356145162</v>
      </c>
      <c r="G105" s="52">
        <f>SUMIFS('Navision sales Dump'!$E:$E,'Navision sales Dump'!$K:$K,$E105,'Navision sales Dump'!$A:$A,$A105)</f>
        <v>3983</v>
      </c>
      <c r="H105" s="62">
        <f>SUMIFS('Navision sales Dump'!$G:$G,'Navision sales Dump'!$K:$K,$E105,'Navision sales Dump'!$A:$A,$A105)</f>
        <v>15764833.49</v>
      </c>
      <c r="I105" s="72">
        <f>IFERROR(IF(($G105/$F105)&gt;='Discount Scheme Target'!$F$4,_xlfn.XLOOKUP($E105,'Discount Scheme Target'!$B:$B,'Discount Scheme Target'!$F:$F,0,0),IF(($G105/$F105)&gt;='Discount Scheme Target'!$E$4,_xlfn.XLOOKUP($E105,'Discount Scheme Target'!$B:$B,'Discount Scheme Target'!$E:$E,0,0),IF(($G105/$F105)&gt;='Discount Scheme Target'!$D$4,_xlfn.XLOOKUP($E105,'Discount Scheme Target'!$B:$B,'Discount Scheme Target'!$D:$D,0,0),0))),0)</f>
        <v>0.01</v>
      </c>
      <c r="J105" s="72">
        <f>IF(SUMIF('Customer Num Distr.'!$A:$A,Workings!$A105,'Customer Num Distr.'!$E:$E)&gt;='Discount Scheme Target'!$G$4,_xlfn.XLOOKUP(Workings!$E105,'Discount Scheme Target'!$B:$B,'Discount Scheme Target'!$G:$G,0,0),0)</f>
        <v>0</v>
      </c>
      <c r="K105" s="72">
        <f>IF(SUMIF('Bouclage EG Cust Cons_Decons'!$A:$A,Workings!$A105,'Bouclage EG Cust Cons_Decons'!$F:$F)&gt;='Discount Scheme Target'!$H$4,_xlfn.XLOOKUP(Workings!$E105,'Discount Scheme Target'!$B:$B,'Discount Scheme Target'!$H:$H,0,0),0)</f>
        <v>5.0000000000000001E-3</v>
      </c>
      <c r="L105" s="72">
        <f>IF(INDEX('TT Around time'!$A$1:$F$46,MATCH($A105,'TT Around time'!$A:$A,0),6)&gt;='Discount Scheme Target'!$I$4,_xlfn.XLOOKUP(Workings!$E105,'Discount Scheme Target'!$B:$B,'Discount Scheme Target'!$I:$I,0,0),0)</f>
        <v>0</v>
      </c>
      <c r="M105" s="72">
        <f t="shared" si="13"/>
        <v>1.4999999999999999E-2</v>
      </c>
      <c r="N105" s="62">
        <f t="shared" si="21"/>
        <v>236358.72099702485</v>
      </c>
      <c r="T105" s="61">
        <f t="shared" si="14"/>
        <v>157572.48066468324</v>
      </c>
      <c r="U105" s="61">
        <f t="shared" si="15"/>
        <v>0</v>
      </c>
      <c r="V105" s="61">
        <f t="shared" si="16"/>
        <v>78786.240332341622</v>
      </c>
      <c r="W105" s="61">
        <f t="shared" si="17"/>
        <v>0</v>
      </c>
      <c r="X105" s="61">
        <f t="shared" si="18"/>
        <v>236358.72099702485</v>
      </c>
      <c r="Y105" s="61">
        <f t="shared" si="19"/>
        <v>0</v>
      </c>
    </row>
    <row r="106" spans="1:25" x14ac:dyDescent="0.25">
      <c r="A106" s="51">
        <v>1120501001</v>
      </c>
      <c r="B106" s="51" t="s">
        <v>81</v>
      </c>
      <c r="C106" s="51" t="s">
        <v>140</v>
      </c>
      <c r="D106" s="51" t="s">
        <v>141</v>
      </c>
      <c r="E106" s="51" t="s">
        <v>515</v>
      </c>
      <c r="F106" s="52">
        <f>SUMIF('Customer Budget Per Category'!$A:$A,$A106,'Customer Budget Per Category'!$J:$J)</f>
        <v>460.7445293872791</v>
      </c>
      <c r="G106" s="52">
        <f>SUMIFS('Navision sales Dump'!$E:$E,'Navision sales Dump'!$K:$K,$E106,'Navision sales Dump'!$A:$A,$A106)</f>
        <v>430</v>
      </c>
      <c r="H106" s="62">
        <f>SUMIFS('Navision sales Dump'!$G:$G,'Navision sales Dump'!$K:$K,$E106,'Navision sales Dump'!$A:$A,$A106)</f>
        <v>1213847</v>
      </c>
      <c r="I106" s="72">
        <f>IFERROR(IF(($G106/$F106)&gt;='Discount Scheme Target'!$F$4,_xlfn.XLOOKUP($E106,'Discount Scheme Target'!$B:$B,'Discount Scheme Target'!$F:$F,0,0),IF(($G106/$F106)&gt;='Discount Scheme Target'!$E$4,_xlfn.XLOOKUP($E106,'Discount Scheme Target'!$B:$B,'Discount Scheme Target'!$E:$E,0,0),IF(($G106/$F106)&gt;='Discount Scheme Target'!$D$4,_xlfn.XLOOKUP($E106,'Discount Scheme Target'!$B:$B,'Discount Scheme Target'!$D:$D,0,0),0))),0)</f>
        <v>0</v>
      </c>
      <c r="J106" s="72">
        <f>IF(SUMIF('Customer Num Distr.'!$A:$A,Workings!$A106,'Customer Num Distr.'!$E:$E)&gt;='Discount Scheme Target'!$G$4,_xlfn.XLOOKUP(Workings!$E106,'Discount Scheme Target'!$B:$B,'Discount Scheme Target'!$G:$G,0,0),0)</f>
        <v>0</v>
      </c>
      <c r="K106" s="72">
        <f>IF(SUMIF('Bouclage EG Cust Cons_Decons'!$A:$A,Workings!$A106,'Bouclage EG Cust Cons_Decons'!$F:$F)&gt;='Discount Scheme Target'!$H$4,_xlfn.XLOOKUP(Workings!$E106,'Discount Scheme Target'!$B:$B,'Discount Scheme Target'!$H:$H,0,0),0)</f>
        <v>5.0000000000000001E-3</v>
      </c>
      <c r="L106" s="72">
        <f>IF(INDEX('TT Around time'!$A$1:$F$46,MATCH($A106,'TT Around time'!$A:$A,0),6)&gt;='Discount Scheme Target'!$I$4,_xlfn.XLOOKUP(Workings!$E106,'Discount Scheme Target'!$B:$B,'Discount Scheme Target'!$I:$I,0,0),0)</f>
        <v>0</v>
      </c>
      <c r="M106" s="72">
        <f t="shared" si="13"/>
        <v>5.0000000000000001E-3</v>
      </c>
      <c r="N106" s="62">
        <f t="shared" si="21"/>
        <v>6503.1786600367514</v>
      </c>
      <c r="T106" s="61">
        <f t="shared" si="14"/>
        <v>0</v>
      </c>
      <c r="U106" s="61">
        <f t="shared" si="15"/>
        <v>0</v>
      </c>
      <c r="V106" s="61">
        <f t="shared" si="16"/>
        <v>6503.1786600367514</v>
      </c>
      <c r="W106" s="61">
        <f t="shared" si="17"/>
        <v>0</v>
      </c>
      <c r="X106" s="61">
        <f t="shared" si="18"/>
        <v>6503.1786600367514</v>
      </c>
      <c r="Y106" s="61">
        <f t="shared" si="19"/>
        <v>0</v>
      </c>
    </row>
    <row r="107" spans="1:25" ht="15.75" customHeight="1" x14ac:dyDescent="0.25">
      <c r="A107" s="51">
        <v>1120501001</v>
      </c>
      <c r="B107" s="51" t="s">
        <v>81</v>
      </c>
      <c r="C107" s="51" t="s">
        <v>140</v>
      </c>
      <c r="D107" s="51" t="s">
        <v>141</v>
      </c>
      <c r="E107" s="51" t="s">
        <v>161</v>
      </c>
      <c r="F107" s="52">
        <f>SUMIF('Customer Budget Per Category'!$A:$A,$A107,'Customer Budget Per Category'!$K:$K)</f>
        <v>0</v>
      </c>
      <c r="G107" s="52">
        <f>SUMIFS('Navision sales Dump'!$E:$E,'Navision sales Dump'!$K:$K,$E107,'Navision sales Dump'!$A:$A,$A107)</f>
        <v>0</v>
      </c>
      <c r="H107" s="62">
        <f>SUMIFS('Navision sales Dump'!$G:$G,'Navision sales Dump'!$K:$K,$E107,'Navision sales Dump'!$A:$A,$A107)</f>
        <v>0</v>
      </c>
      <c r="I107" s="72">
        <f>IFERROR(IF(($G107/$F107)&gt;='Discount Scheme Target'!$F$4,_xlfn.XLOOKUP($E107,'Discount Scheme Target'!$B:$B,'Discount Scheme Target'!$F:$F,0,0),IF(($G107/$F107)&gt;='Discount Scheme Target'!$E$4,_xlfn.XLOOKUP($E107,'Discount Scheme Target'!$B:$B,'Discount Scheme Target'!$E:$E,0,0),IF(($G107/$F107)&gt;='Discount Scheme Target'!$D$4,_xlfn.XLOOKUP($E107,'Discount Scheme Target'!$B:$B,'Discount Scheme Target'!$D:$D,0,0),0))),0)</f>
        <v>0</v>
      </c>
      <c r="J107" s="72">
        <f>IF(SUMIF('Customer Num Distr.'!$A:$A,Workings!$A107,'Customer Num Distr.'!$E:$E)&gt;='Discount Scheme Target'!$G$4,_xlfn.XLOOKUP(Workings!$E107,'Discount Scheme Target'!$B:$B,'Discount Scheme Target'!$G:$G,0,0),0)</f>
        <v>0</v>
      </c>
      <c r="K107" s="72">
        <f>IF(SUMIF('Bouclage EG Cust Cons_Decons'!$A:$A,Workings!$A107,'Bouclage EG Cust Cons_Decons'!$F:$F)&gt;='Discount Scheme Target'!$H$4,_xlfn.XLOOKUP(Workings!$E107,'Discount Scheme Target'!$B:$B,'Discount Scheme Target'!$H:$H,0,0),0)</f>
        <v>0</v>
      </c>
      <c r="L107" s="72">
        <f>IF(INDEX('TT Around time'!$A$1:$F$46,MATCH($A107,'TT Around time'!$A:$A,0),6)&gt;='Discount Scheme Target'!$I$4,_xlfn.XLOOKUP(Workings!$E107,'Discount Scheme Target'!$B:$B,'Discount Scheme Target'!$I:$I,0,0),0)</f>
        <v>0</v>
      </c>
      <c r="M107" s="72">
        <f t="shared" si="13"/>
        <v>0</v>
      </c>
      <c r="N107" s="62">
        <f t="shared" si="21"/>
        <v>0</v>
      </c>
      <c r="T107" s="61">
        <f t="shared" si="14"/>
        <v>0</v>
      </c>
      <c r="U107" s="61">
        <f t="shared" si="15"/>
        <v>0</v>
      </c>
      <c r="V107" s="61">
        <f t="shared" si="16"/>
        <v>0</v>
      </c>
      <c r="W107" s="61">
        <f t="shared" si="17"/>
        <v>0</v>
      </c>
      <c r="X107" s="61">
        <f t="shared" si="18"/>
        <v>0</v>
      </c>
      <c r="Y107" s="61">
        <f t="shared" si="19"/>
        <v>0</v>
      </c>
    </row>
    <row r="108" spans="1:25" x14ac:dyDescent="0.25">
      <c r="A108" s="51">
        <v>1120501001</v>
      </c>
      <c r="B108" s="51" t="s">
        <v>81</v>
      </c>
      <c r="C108" s="51" t="s">
        <v>140</v>
      </c>
      <c r="D108" s="51" t="s">
        <v>141</v>
      </c>
      <c r="E108" s="51" t="s">
        <v>354</v>
      </c>
      <c r="F108" s="52">
        <f>SUMIF('Customer Budget Per Category'!$A:$A,$A108,'Customer Budget Per Category'!$L:$L)</f>
        <v>1649.8829904729707</v>
      </c>
      <c r="G108" s="52">
        <f>SUMIFS('Navision sales Dump'!$E:$E,'Navision sales Dump'!$K:$K,$E108,'Navision sales Dump'!$A:$A,$A108)</f>
        <v>1364</v>
      </c>
      <c r="H108" s="62">
        <f>SUMIFS('Navision sales Dump'!$G:$G,'Navision sales Dump'!$K:$K,$E108,'Navision sales Dump'!$A:$A,$A108)</f>
        <v>4665199.8800000008</v>
      </c>
      <c r="I108" s="72">
        <f>IFERROR(IF(($G108/$F108)&gt;='Discount Scheme Target'!$F$4,_xlfn.XLOOKUP($E108,'Discount Scheme Target'!$B:$B,'Discount Scheme Target'!$F:$F,0,0),IF(($G108/$F108)&gt;='Discount Scheme Target'!$E$4,_xlfn.XLOOKUP($E108,'Discount Scheme Target'!$B:$B,'Discount Scheme Target'!$E:$E,0,0),IF(($G108/$F108)&gt;='Discount Scheme Target'!$D$4,_xlfn.XLOOKUP($E108,'Discount Scheme Target'!$B:$B,'Discount Scheme Target'!$D:$D,0,0),0))),0)</f>
        <v>0</v>
      </c>
      <c r="J108" s="72">
        <f>IF(SUMIF('Customer Num Distr.'!$A:$A,Workings!$A108,'Customer Num Distr.'!$E:$E)&gt;='Discount Scheme Target'!$G$4,_xlfn.XLOOKUP(Workings!$E108,'Discount Scheme Target'!$B:$B,'Discount Scheme Target'!$G:$G,0,0),0)</f>
        <v>0</v>
      </c>
      <c r="K108" s="72">
        <f>IF(SUMIF('Bouclage EG Cust Cons_Decons'!$A:$A,Workings!$A108,'Bouclage EG Cust Cons_Decons'!$F:$F)&gt;='Discount Scheme Target'!$H$4,_xlfn.XLOOKUP(Workings!$E108,'Discount Scheme Target'!$B:$B,'Discount Scheme Target'!$H:$H,0,0),0)</f>
        <v>5.0000000000000001E-3</v>
      </c>
      <c r="L108" s="72">
        <f>IF(INDEX('TT Around time'!$A$1:$F$46,MATCH($A108,'TT Around time'!$A:$A,0),6)&gt;='Discount Scheme Target'!$I$4,_xlfn.XLOOKUP(Workings!$E108,'Discount Scheme Target'!$B:$B,'Discount Scheme Target'!$I:$I,0,0),0)</f>
        <v>0</v>
      </c>
      <c r="M108" s="72">
        <f t="shared" si="13"/>
        <v>5.0000000000000001E-3</v>
      </c>
      <c r="N108" s="62">
        <f t="shared" si="21"/>
        <v>28214.933757949213</v>
      </c>
      <c r="T108" s="61">
        <f t="shared" si="14"/>
        <v>0</v>
      </c>
      <c r="U108" s="61">
        <f t="shared" si="15"/>
        <v>0</v>
      </c>
      <c r="V108" s="61">
        <f t="shared" si="16"/>
        <v>28214.933757949213</v>
      </c>
      <c r="W108" s="61">
        <f t="shared" si="17"/>
        <v>0</v>
      </c>
      <c r="X108" s="61">
        <f t="shared" si="18"/>
        <v>28214.933757949213</v>
      </c>
      <c r="Y108" s="61">
        <f t="shared" si="19"/>
        <v>0</v>
      </c>
    </row>
    <row r="109" spans="1:25" x14ac:dyDescent="0.25">
      <c r="A109" s="51">
        <v>1120501001</v>
      </c>
      <c r="B109" s="51" t="s">
        <v>81</v>
      </c>
      <c r="C109" s="51" t="s">
        <v>140</v>
      </c>
      <c r="D109" s="51" t="s">
        <v>141</v>
      </c>
      <c r="E109" s="51" t="s">
        <v>355</v>
      </c>
      <c r="F109" s="52">
        <f>SUMIF('Customer Budget Per Category'!$A:$A,$A109,'Customer Budget Per Category'!$M:$M)</f>
        <v>915.40457730677838</v>
      </c>
      <c r="G109" s="52">
        <f>SUMIFS('Navision sales Dump'!$E:$E,'Navision sales Dump'!$K:$K,$E109,'Navision sales Dump'!$A:$A,$A109)</f>
        <v>864</v>
      </c>
      <c r="H109" s="62">
        <f>SUMIFS('Navision sales Dump'!$G:$G,'Navision sales Dump'!$K:$K,$E109,'Navision sales Dump'!$A:$A,$A109)</f>
        <v>2206702.08</v>
      </c>
      <c r="I109" s="72">
        <f>IFERROR(IF(($G109/$F109)&gt;='Discount Scheme Target'!$F$4,_xlfn.XLOOKUP($E109,'Discount Scheme Target'!$B:$B,'Discount Scheme Target'!$F:$F,0,0),IF(($G109/$F109)&gt;='Discount Scheme Target'!$E$4,_xlfn.XLOOKUP($E109,'Discount Scheme Target'!$B:$B,'Discount Scheme Target'!$E:$E,0,0),IF(($G109/$F109)&gt;='Discount Scheme Target'!$D$4,_xlfn.XLOOKUP($E109,'Discount Scheme Target'!$B:$B,'Discount Scheme Target'!$D:$D,0,0),0))),0)</f>
        <v>0</v>
      </c>
      <c r="J109" s="72">
        <f>IF(SUMIF('Customer Num Distr.'!$A:$A,Workings!$A109,'Customer Num Distr.'!$E:$E)&gt;='Discount Scheme Target'!$G$4,_xlfn.XLOOKUP(Workings!$E109,'Discount Scheme Target'!$B:$B,'Discount Scheme Target'!$G:$G,0,0),0)</f>
        <v>0</v>
      </c>
      <c r="K109" s="72">
        <f>IF(SUMIF('Bouclage EG Cust Cons_Decons'!$A:$A,Workings!$A109,'Bouclage EG Cust Cons_Decons'!$F:$F)&gt;='Discount Scheme Target'!$H$4,_xlfn.XLOOKUP(Workings!$E109,'Discount Scheme Target'!$B:$B,'Discount Scheme Target'!$H:$H,0,0),0)</f>
        <v>5.0000000000000001E-3</v>
      </c>
      <c r="L109" s="72">
        <f>IF(INDEX('TT Around time'!$A$1:$F$46,MATCH($A109,'TT Around time'!$A:$A,0),6)&gt;='Discount Scheme Target'!$I$4,_xlfn.XLOOKUP(Workings!$E109,'Discount Scheme Target'!$B:$B,'Discount Scheme Target'!$I:$I,0,0),0)</f>
        <v>0</v>
      </c>
      <c r="M109" s="72">
        <f t="shared" si="13"/>
        <v>5.0000000000000001E-3</v>
      </c>
      <c r="N109" s="62">
        <f t="shared" si="21"/>
        <v>11689.960560094842</v>
      </c>
      <c r="T109" s="61">
        <f t="shared" si="14"/>
        <v>0</v>
      </c>
      <c r="U109" s="61">
        <f t="shared" si="15"/>
        <v>0</v>
      </c>
      <c r="V109" s="61">
        <f t="shared" si="16"/>
        <v>11689.960560094842</v>
      </c>
      <c r="W109" s="61">
        <f t="shared" si="17"/>
        <v>0</v>
      </c>
      <c r="X109" s="61">
        <f t="shared" si="18"/>
        <v>11689.960560094842</v>
      </c>
      <c r="Y109" s="61">
        <f t="shared" si="19"/>
        <v>0</v>
      </c>
    </row>
    <row r="110" spans="1:25" x14ac:dyDescent="0.25">
      <c r="A110" s="51">
        <v>1120501001</v>
      </c>
      <c r="B110" s="51" t="s">
        <v>81</v>
      </c>
      <c r="C110" s="51" t="s">
        <v>140</v>
      </c>
      <c r="D110" s="51" t="s">
        <v>141</v>
      </c>
      <c r="E110" s="51" t="s">
        <v>132</v>
      </c>
      <c r="F110" s="52">
        <f>SUMIF('Customer Budget Per Category'!$A:$A,$A110,'Customer Budget Per Category'!$N:$N)</f>
        <v>522.76804218649818</v>
      </c>
      <c r="G110" s="52">
        <f>SUMIFS('Navision sales Dump'!$E:$E,'Navision sales Dump'!$K:$K,$E110,'Navision sales Dump'!$A:$A,$A110)</f>
        <v>574</v>
      </c>
      <c r="H110" s="62">
        <f>SUMIFS('Navision sales Dump'!$G:$G,'Navision sales Dump'!$K:$K,$E110,'Navision sales Dump'!$A:$A,$A110)</f>
        <v>1252697.6000000001</v>
      </c>
      <c r="I110" s="72">
        <f>IFERROR(IF(($G110/$F110)&gt;='Discount Scheme Target'!$F$4,_xlfn.XLOOKUP($E110,'Discount Scheme Target'!$B:$B,'Discount Scheme Target'!$F:$F,0,0),IF(($G110/$F110)&gt;='Discount Scheme Target'!$E$4,_xlfn.XLOOKUP($E110,'Discount Scheme Target'!$B:$B,'Discount Scheme Target'!$E:$E,0,0),IF(($G110/$F110)&gt;='Discount Scheme Target'!$D$4,_xlfn.XLOOKUP($E110,'Discount Scheme Target'!$B:$B,'Discount Scheme Target'!$D:$D,0,0),0))),0)</f>
        <v>0.03</v>
      </c>
      <c r="J110" s="72">
        <f>IF(SUMIF('Customer Num Distr.'!$A:$A,Workings!$A110,'Customer Num Distr.'!$E:$E)&gt;='Discount Scheme Target'!$G$4,_xlfn.XLOOKUP(Workings!$E110,'Discount Scheme Target'!$B:$B,'Discount Scheme Target'!$G:$G,0,0),0)</f>
        <v>0</v>
      </c>
      <c r="K110" s="72">
        <f>IF(SUMIF('Bouclage EG Cust Cons_Decons'!$A:$A,Workings!$A110,'Bouclage EG Cust Cons_Decons'!$F:$F)&gt;='Discount Scheme Target'!$H$4,_xlfn.XLOOKUP(Workings!$E110,'Discount Scheme Target'!$B:$B,'Discount Scheme Target'!$H:$H,0,0),0)</f>
        <v>5.0000000000000001E-3</v>
      </c>
      <c r="L110" s="72">
        <f>IF(INDEX('TT Around time'!$A$1:$F$46,MATCH($A110,'TT Around time'!$A:$A,0),6)&gt;='Discount Scheme Target'!$I$4,_xlfn.XLOOKUP(Workings!$E110,'Discount Scheme Target'!$B:$B,'Discount Scheme Target'!$I:$I,0,0),0)</f>
        <v>0</v>
      </c>
      <c r="M110" s="72">
        <f t="shared" si="13"/>
        <v>3.4999999999999996E-2</v>
      </c>
      <c r="N110" s="62">
        <f t="shared" si="21"/>
        <v>39931.114134373478</v>
      </c>
      <c r="T110" s="61">
        <f t="shared" si="14"/>
        <v>34226.66925803441</v>
      </c>
      <c r="U110" s="61">
        <f t="shared" si="15"/>
        <v>0</v>
      </c>
      <c r="V110" s="61">
        <f t="shared" si="16"/>
        <v>5704.4448763390692</v>
      </c>
      <c r="W110" s="61">
        <f t="shared" si="17"/>
        <v>0</v>
      </c>
      <c r="X110" s="61">
        <f t="shared" si="18"/>
        <v>39931.114134373478</v>
      </c>
      <c r="Y110" s="61">
        <f t="shared" si="19"/>
        <v>0</v>
      </c>
    </row>
    <row r="111" spans="1:25" x14ac:dyDescent="0.25">
      <c r="A111" s="51">
        <v>1120501001</v>
      </c>
      <c r="B111" s="51" t="s">
        <v>81</v>
      </c>
      <c r="C111" s="51" t="s">
        <v>140</v>
      </c>
      <c r="D111" s="51" t="s">
        <v>141</v>
      </c>
      <c r="E111" s="51" t="s">
        <v>133</v>
      </c>
      <c r="F111" s="52">
        <f>SUMIF('Customer Budget Per Category'!$A:$A,$A111,'Customer Budget Per Category'!$O:$O)</f>
        <v>613.74658374764965</v>
      </c>
      <c r="G111" s="52">
        <f>SUMIFS('Navision sales Dump'!$E:$E,'Navision sales Dump'!$K:$K,$E111,'Navision sales Dump'!$A:$A,$A111)</f>
        <v>1511</v>
      </c>
      <c r="H111" s="62">
        <f>SUMIFS('Navision sales Dump'!$G:$G,'Navision sales Dump'!$K:$K,$E111,'Navision sales Dump'!$A:$A,$A111)</f>
        <v>15151371.18</v>
      </c>
      <c r="I111" s="72">
        <f>IFERROR(IF(($G111/$F111)&gt;='Discount Scheme Target'!$F$4,_xlfn.XLOOKUP($E111,'Discount Scheme Target'!$B:$B,'Discount Scheme Target'!$F:$F,0,0),IF(($G111/$F111)&gt;='Discount Scheme Target'!$E$4,_xlfn.XLOOKUP($E111,'Discount Scheme Target'!$B:$B,'Discount Scheme Target'!$E:$E,0,0),IF(($G111/$F111)&gt;='Discount Scheme Target'!$D$4,_xlfn.XLOOKUP($E111,'Discount Scheme Target'!$B:$B,'Discount Scheme Target'!$D:$D,0,0),0))),0)</f>
        <v>0.04</v>
      </c>
      <c r="J111" s="72">
        <f>IF(SUMIF('Customer Num Distr.'!$A:$A,Workings!$A111,'Customer Num Distr.'!$E:$E)&gt;='Discount Scheme Target'!$G$4,_xlfn.XLOOKUP(Workings!$E111,'Discount Scheme Target'!$B:$B,'Discount Scheme Target'!$G:$G,0,0),0)</f>
        <v>0</v>
      </c>
      <c r="K111" s="72">
        <f>IF(SUMIF('Bouclage EG Cust Cons_Decons'!$A:$A,Workings!$A111,'Bouclage EG Cust Cons_Decons'!$F:$F)&gt;='Discount Scheme Target'!$H$4,_xlfn.XLOOKUP(Workings!$E111,'Discount Scheme Target'!$B:$B,'Discount Scheme Target'!$H:$H,0,0),0)</f>
        <v>5.0000000000000001E-3</v>
      </c>
      <c r="L111" s="72">
        <f>IF(INDEX('TT Around time'!$A$1:$F$46,MATCH($A111,'TT Around time'!$A:$A,0),6)&gt;='Discount Scheme Target'!$I$4,_xlfn.XLOOKUP(Workings!$E111,'Discount Scheme Target'!$B:$B,'Discount Scheme Target'!$I:$I,0,0),0)</f>
        <v>0</v>
      </c>
      <c r="M111" s="72">
        <f t="shared" si="13"/>
        <v>4.4999999999999998E-2</v>
      </c>
      <c r="N111" s="62">
        <f t="shared" si="21"/>
        <v>276942.15985227778</v>
      </c>
      <c r="T111" s="61">
        <f t="shared" si="14"/>
        <v>246170.80875758026</v>
      </c>
      <c r="U111" s="61">
        <f t="shared" si="15"/>
        <v>0</v>
      </c>
      <c r="V111" s="61">
        <f t="shared" si="16"/>
        <v>30771.351094697533</v>
      </c>
      <c r="W111" s="61">
        <f t="shared" si="17"/>
        <v>0</v>
      </c>
      <c r="X111" s="61">
        <f t="shared" si="18"/>
        <v>276942.15985227778</v>
      </c>
      <c r="Y111" s="61">
        <f t="shared" si="19"/>
        <v>0</v>
      </c>
    </row>
    <row r="112" spans="1:25" x14ac:dyDescent="0.25">
      <c r="A112" s="51">
        <v>1300006451</v>
      </c>
      <c r="B112" s="51" t="s">
        <v>143</v>
      </c>
      <c r="C112" s="51" t="s">
        <v>140</v>
      </c>
      <c r="D112" s="51" t="s">
        <v>141</v>
      </c>
      <c r="E112" s="51" t="s">
        <v>417</v>
      </c>
      <c r="F112" s="52">
        <f>SUMIF('Customer Budget Per Category'!$A:$A,$A112,'Customer Budget Per Category'!$E:$E)</f>
        <v>4348.5027890200781</v>
      </c>
      <c r="G112" s="52">
        <f>SUMIFS('Navision sales Dump'!$E:$E,'Navision sales Dump'!$K:$K,$E112,'Navision sales Dump'!$A:$A,$A112)</f>
        <v>3017</v>
      </c>
      <c r="H112" s="62">
        <f>SUMIFS('Navision sales Dump'!$G:$G,'Navision sales Dump'!$K:$K,$E112,'Navision sales Dump'!$A:$A,$A112)</f>
        <v>21825321.829999998</v>
      </c>
      <c r="I112" s="72">
        <f>IFERROR(IF(($G112/$F112)&gt;='Discount Scheme Target'!$F$4,_xlfn.XLOOKUP($E112,'Discount Scheme Target'!$B:$B,'Discount Scheme Target'!$F:$F,0,0),IF(($G112/$F112)&gt;='Discount Scheme Target'!$E$4,_xlfn.XLOOKUP($E112,'Discount Scheme Target'!$B:$B,'Discount Scheme Target'!$E:$E,0,0),IF(($G112/$F112)&gt;='Discount Scheme Target'!$D$4,_xlfn.XLOOKUP($E112,'Discount Scheme Target'!$B:$B,'Discount Scheme Target'!$D:$D,0,0),0))),0)</f>
        <v>0</v>
      </c>
      <c r="J112" s="72">
        <f>IF(SUMIF('Customer Num Distr.'!$A:$A,Workings!$A112,'Customer Num Distr.'!$E:$E)&gt;='Discount Scheme Target'!$G$4,_xlfn.XLOOKUP(Workings!$E112,'Discount Scheme Target'!$B:$B,'Discount Scheme Target'!$G:$G,0,0),0)</f>
        <v>0</v>
      </c>
      <c r="K112" s="72">
        <f>IF(SUMIF('Bouclage EG Cust Cons_Decons'!$A:$A,Workings!$A112,'Bouclage EG Cust Cons_Decons'!$F:$F)&gt;='Discount Scheme Target'!$H$4,_xlfn.XLOOKUP(Workings!$E112,'Discount Scheme Target'!$B:$B,'Discount Scheme Target'!$H:$H,0,0),0)</f>
        <v>0</v>
      </c>
      <c r="L112" s="72">
        <f>IF(INDEX('TT Around time'!$A$1:$F$46,MATCH($A112,'TT Around time'!$A:$A,0),6)&gt;='Discount Scheme Target'!$I$4,_xlfn.XLOOKUP(Workings!$E112,'Discount Scheme Target'!$B:$B,'Discount Scheme Target'!$I:$I,0,0),0)</f>
        <v>0.01</v>
      </c>
      <c r="M112" s="72">
        <f t="shared" si="13"/>
        <v>0.01</v>
      </c>
      <c r="N112" s="62">
        <f t="shared" si="21"/>
        <v>314575.6474942519</v>
      </c>
      <c r="T112" s="61">
        <f t="shared" si="14"/>
        <v>0</v>
      </c>
      <c r="U112" s="61">
        <f t="shared" si="15"/>
        <v>0</v>
      </c>
      <c r="V112" s="61">
        <f t="shared" si="16"/>
        <v>0</v>
      </c>
      <c r="W112" s="61">
        <f t="shared" si="17"/>
        <v>314575.6474942519</v>
      </c>
      <c r="X112" s="61">
        <f t="shared" si="18"/>
        <v>314575.6474942519</v>
      </c>
      <c r="Y112" s="61">
        <f t="shared" si="19"/>
        <v>0</v>
      </c>
    </row>
    <row r="113" spans="1:25" x14ac:dyDescent="0.25">
      <c r="A113" s="51">
        <v>1300006451</v>
      </c>
      <c r="B113" s="51" t="s">
        <v>143</v>
      </c>
      <c r="C113" s="51" t="s">
        <v>140</v>
      </c>
      <c r="D113" s="51" t="s">
        <v>141</v>
      </c>
      <c r="E113" s="51" t="s">
        <v>418</v>
      </c>
      <c r="F113" s="52">
        <f>SUMIF('Customer Budget Per Category'!$A:$A,$A113,'Customer Budget Per Category'!$F:$F)</f>
        <v>0</v>
      </c>
      <c r="G113" s="52">
        <f>SUMIFS('Navision sales Dump'!$E:$E,'Navision sales Dump'!$K:$K,$E113,'Navision sales Dump'!$A:$A,$A113)</f>
        <v>0</v>
      </c>
      <c r="H113" s="62">
        <f>SUMIFS('Navision sales Dump'!$G:$G,'Navision sales Dump'!$K:$K,$E113,'Navision sales Dump'!$A:$A,$A113)</f>
        <v>0</v>
      </c>
      <c r="I113" s="72">
        <f>IFERROR(IF(($G113/$F113)&gt;='Discount Scheme Target'!$F$4,_xlfn.XLOOKUP($E113,'Discount Scheme Target'!$B:$B,'Discount Scheme Target'!$F:$F,0,0),IF(($G113/$F113)&gt;='Discount Scheme Target'!$E$4,_xlfn.XLOOKUP($E113,'Discount Scheme Target'!$B:$B,'Discount Scheme Target'!$E:$E,0,0),IF(($G113/$F113)&gt;='Discount Scheme Target'!$D$4,_xlfn.XLOOKUP($E113,'Discount Scheme Target'!$B:$B,'Discount Scheme Target'!$D:$D,0,0),0))),0)</f>
        <v>0</v>
      </c>
      <c r="J113" s="72">
        <f>IF(SUMIF('Customer Num Distr.'!$A:$A,Workings!$A113,'Customer Num Distr.'!$E:$E)&gt;='Discount Scheme Target'!$G$4,_xlfn.XLOOKUP(Workings!$E113,'Discount Scheme Target'!$B:$B,'Discount Scheme Target'!$G:$G,0,0),0)</f>
        <v>0</v>
      </c>
      <c r="K113" s="72">
        <f>IF(SUMIF('Bouclage EG Cust Cons_Decons'!$A:$A,Workings!$A113,'Bouclage EG Cust Cons_Decons'!$F:$F)&gt;='Discount Scheme Target'!$H$4,_xlfn.XLOOKUP(Workings!$E113,'Discount Scheme Target'!$B:$B,'Discount Scheme Target'!$H:$H,0,0),0)</f>
        <v>0</v>
      </c>
      <c r="L113" s="72">
        <f>IF(INDEX('TT Around time'!$A$1:$F$46,MATCH($A113,'TT Around time'!$A:$A,0),6)&gt;='Discount Scheme Target'!$I$4,_xlfn.XLOOKUP(Workings!$E113,'Discount Scheme Target'!$B:$B,'Discount Scheme Target'!$I:$I,0,0),0)</f>
        <v>0</v>
      </c>
      <c r="M113" s="72">
        <f t="shared" si="13"/>
        <v>0</v>
      </c>
      <c r="N113" s="62">
        <f t="shared" si="21"/>
        <v>0</v>
      </c>
      <c r="T113" s="61">
        <f t="shared" si="14"/>
        <v>0</v>
      </c>
      <c r="U113" s="61">
        <f t="shared" si="15"/>
        <v>0</v>
      </c>
      <c r="V113" s="61">
        <f t="shared" si="16"/>
        <v>0</v>
      </c>
      <c r="W113" s="61">
        <f t="shared" si="17"/>
        <v>0</v>
      </c>
      <c r="X113" s="61">
        <f t="shared" si="18"/>
        <v>0</v>
      </c>
      <c r="Y113" s="61">
        <f t="shared" si="19"/>
        <v>0</v>
      </c>
    </row>
    <row r="114" spans="1:25" x14ac:dyDescent="0.25">
      <c r="A114" s="51">
        <v>1300006451</v>
      </c>
      <c r="B114" s="51" t="s">
        <v>143</v>
      </c>
      <c r="C114" s="51" t="s">
        <v>140</v>
      </c>
      <c r="D114" s="51" t="s">
        <v>141</v>
      </c>
      <c r="E114" s="51" t="s">
        <v>130</v>
      </c>
      <c r="F114" s="52">
        <f>SUMIF('Customer Budget Per Category'!$A:$A,$A114,'Customer Budget Per Category'!$G:$G)</f>
        <v>101.06121387381677</v>
      </c>
      <c r="G114" s="52">
        <f>SUMIFS('Navision sales Dump'!$E:$E,'Navision sales Dump'!$K:$K,$E114,'Navision sales Dump'!$A:$A,$A114)</f>
        <v>275</v>
      </c>
      <c r="H114" s="62">
        <f>SUMIFS('Navision sales Dump'!$G:$G,'Navision sales Dump'!$K:$K,$E114,'Navision sales Dump'!$A:$A,$A114)</f>
        <v>2124463</v>
      </c>
      <c r="I114" s="72">
        <f>IFERROR(IF(($G114/$F114)&gt;='Discount Scheme Target'!$F$4,_xlfn.XLOOKUP($E114,'Discount Scheme Target'!$B:$B,'Discount Scheme Target'!$F:$F,0,0),IF(($G114/$F114)&gt;='Discount Scheme Target'!$E$4,_xlfn.XLOOKUP($E114,'Discount Scheme Target'!$B:$B,'Discount Scheme Target'!$E:$E,0,0),IF(($G114/$F114)&gt;='Discount Scheme Target'!$D$4,_xlfn.XLOOKUP($E114,'Discount Scheme Target'!$B:$B,'Discount Scheme Target'!$D:$D,0,0),0))),0)</f>
        <v>4.5000000000000005E-2</v>
      </c>
      <c r="J114" s="72">
        <f>IF(SUMIF('Customer Num Distr.'!$A:$A,Workings!$A114,'Customer Num Distr.'!$E:$E)&gt;='Discount Scheme Target'!$G$4,_xlfn.XLOOKUP(Workings!$E114,'Discount Scheme Target'!$B:$B,'Discount Scheme Target'!$G:$G,0,0),0)</f>
        <v>0</v>
      </c>
      <c r="K114" s="72">
        <f>IF(SUMIF('Bouclage EG Cust Cons_Decons'!$A:$A,Workings!$A114,'Bouclage EG Cust Cons_Decons'!$F:$F)&gt;='Discount Scheme Target'!$H$4,_xlfn.XLOOKUP(Workings!$E114,'Discount Scheme Target'!$B:$B,'Discount Scheme Target'!$H:$H,0,0),0)</f>
        <v>0</v>
      </c>
      <c r="L114" s="72">
        <f>IF(INDEX('TT Around time'!$A$1:$F$46,MATCH($A114,'TT Around time'!$A:$A,0),6)&gt;='Discount Scheme Target'!$I$4,_xlfn.XLOOKUP(Workings!$E114,'Discount Scheme Target'!$B:$B,'Discount Scheme Target'!$I:$I,0,0),0)</f>
        <v>0.01</v>
      </c>
      <c r="M114" s="72">
        <f t="shared" si="13"/>
        <v>5.5000000000000007E-2</v>
      </c>
      <c r="N114" s="62">
        <f t="shared" si="21"/>
        <v>42940.161922002088</v>
      </c>
      <c r="T114" s="61">
        <f t="shared" si="14"/>
        <v>35132.859754365345</v>
      </c>
      <c r="U114" s="61">
        <f t="shared" si="15"/>
        <v>0</v>
      </c>
      <c r="V114" s="61">
        <f t="shared" si="16"/>
        <v>0</v>
      </c>
      <c r="W114" s="61">
        <f t="shared" si="17"/>
        <v>7807.3021676367416</v>
      </c>
      <c r="X114" s="61">
        <f t="shared" si="18"/>
        <v>42940.161922002088</v>
      </c>
      <c r="Y114" s="61">
        <f t="shared" si="19"/>
        <v>0</v>
      </c>
    </row>
    <row r="115" spans="1:25" x14ac:dyDescent="0.25">
      <c r="A115" s="51">
        <v>1300006451</v>
      </c>
      <c r="B115" s="51" t="s">
        <v>143</v>
      </c>
      <c r="C115" s="51" t="s">
        <v>140</v>
      </c>
      <c r="D115" s="51" t="s">
        <v>141</v>
      </c>
      <c r="E115" s="51" t="s">
        <v>131</v>
      </c>
      <c r="F115" s="52">
        <f>SUMIF('Customer Budget Per Category'!$A:$A,$A115,'Customer Budget Per Category'!$H:$H)</f>
        <v>26.499482182198392</v>
      </c>
      <c r="G115" s="52">
        <f>SUMIFS('Navision sales Dump'!$E:$E,'Navision sales Dump'!$K:$K,$E115,'Navision sales Dump'!$A:$A,$A115)</f>
        <v>23</v>
      </c>
      <c r="H115" s="62">
        <f>SUMIFS('Navision sales Dump'!$G:$G,'Navision sales Dump'!$K:$K,$E115,'Navision sales Dump'!$A:$A,$A115)</f>
        <v>926688.19</v>
      </c>
      <c r="I115" s="72">
        <f>IFERROR(IF(($G115/$F115)&gt;='Discount Scheme Target'!$F$4,_xlfn.XLOOKUP($E115,'Discount Scheme Target'!$B:$B,'Discount Scheme Target'!$F:$F,0,0),IF(($G115/$F115)&gt;='Discount Scheme Target'!$E$4,_xlfn.XLOOKUP($E115,'Discount Scheme Target'!$B:$B,'Discount Scheme Target'!$E:$E,0,0),IF(($G115/$F115)&gt;='Discount Scheme Target'!$D$4,_xlfn.XLOOKUP($E115,'Discount Scheme Target'!$B:$B,'Discount Scheme Target'!$D:$D,0,0),0))),0)</f>
        <v>0</v>
      </c>
      <c r="J115" s="72">
        <f>IF(SUMIF('Customer Num Distr.'!$A:$A,Workings!$A115,'Customer Num Distr.'!$E:$E)&gt;='Discount Scheme Target'!$G$4,_xlfn.XLOOKUP(Workings!$E115,'Discount Scheme Target'!$B:$B,'Discount Scheme Target'!$G:$G,0,0),0)</f>
        <v>0</v>
      </c>
      <c r="K115" s="72">
        <f>IF(SUMIF('Bouclage EG Cust Cons_Decons'!$A:$A,Workings!$A115,'Bouclage EG Cust Cons_Decons'!$F:$F)&gt;='Discount Scheme Target'!$H$4,_xlfn.XLOOKUP(Workings!$E115,'Discount Scheme Target'!$B:$B,'Discount Scheme Target'!$H:$H,0,0),0)</f>
        <v>0</v>
      </c>
      <c r="L115" s="72">
        <f>IF(INDEX('TT Around time'!$A$1:$F$46,MATCH($A115,'TT Around time'!$A:$A,0),6)&gt;='Discount Scheme Target'!$I$4,_xlfn.XLOOKUP(Workings!$E115,'Discount Scheme Target'!$B:$B,'Discount Scheme Target'!$I:$I,0,0),0)</f>
        <v>5.0000000000000001E-3</v>
      </c>
      <c r="M115" s="72">
        <f t="shared" si="13"/>
        <v>5.0000000000000001E-3</v>
      </c>
      <c r="N115" s="62">
        <f t="shared" si="21"/>
        <v>5338.4254737736255</v>
      </c>
      <c r="T115" s="61">
        <f t="shared" si="14"/>
        <v>0</v>
      </c>
      <c r="U115" s="61">
        <f t="shared" si="15"/>
        <v>0</v>
      </c>
      <c r="V115" s="61">
        <f t="shared" si="16"/>
        <v>0</v>
      </c>
      <c r="W115" s="61">
        <f t="shared" si="17"/>
        <v>5338.4254737736255</v>
      </c>
      <c r="X115" s="61">
        <f t="shared" si="18"/>
        <v>5338.4254737736255</v>
      </c>
      <c r="Y115" s="61">
        <f t="shared" si="19"/>
        <v>0</v>
      </c>
    </row>
    <row r="116" spans="1:25" x14ac:dyDescent="0.25">
      <c r="A116" s="51">
        <v>1300006451</v>
      </c>
      <c r="B116" s="51" t="s">
        <v>143</v>
      </c>
      <c r="C116" s="51" t="s">
        <v>140</v>
      </c>
      <c r="D116" s="51" t="s">
        <v>141</v>
      </c>
      <c r="E116" s="51" t="s">
        <v>514</v>
      </c>
      <c r="F116" s="52">
        <f>SUMIF('Customer Budget Per Category'!$A:$A,$A116,'Customer Budget Per Category'!$I:$I)</f>
        <v>3512.3699734565216</v>
      </c>
      <c r="G116" s="52">
        <f>SUMIFS('Navision sales Dump'!$E:$E,'Navision sales Dump'!$K:$K,$E116,'Navision sales Dump'!$A:$A,$A116)</f>
        <v>3383</v>
      </c>
      <c r="H116" s="62">
        <f>SUMIFS('Navision sales Dump'!$G:$G,'Navision sales Dump'!$K:$K,$E116,'Navision sales Dump'!$A:$A,$A116)</f>
        <v>13390015.490000002</v>
      </c>
      <c r="I116" s="72">
        <f>IFERROR(IF(($G116/$F116)&gt;='Discount Scheme Target'!$F$4,_xlfn.XLOOKUP($E116,'Discount Scheme Target'!$B:$B,'Discount Scheme Target'!$F:$F,0,0),IF(($G116/$F116)&gt;='Discount Scheme Target'!$E$4,_xlfn.XLOOKUP($E116,'Discount Scheme Target'!$B:$B,'Discount Scheme Target'!$E:$E,0,0),IF(($G116/$F116)&gt;='Discount Scheme Target'!$D$4,_xlfn.XLOOKUP($E116,'Discount Scheme Target'!$B:$B,'Discount Scheme Target'!$D:$D,0,0),0))),0)</f>
        <v>0</v>
      </c>
      <c r="J116" s="72">
        <f>IF(SUMIF('Customer Num Distr.'!$A:$A,Workings!$A116,'Customer Num Distr.'!$E:$E)&gt;='Discount Scheme Target'!$G$4,_xlfn.XLOOKUP(Workings!$E116,'Discount Scheme Target'!$B:$B,'Discount Scheme Target'!$G:$G,0,0),0)</f>
        <v>0</v>
      </c>
      <c r="K116" s="72">
        <f>IF(SUMIF('Bouclage EG Cust Cons_Decons'!$A:$A,Workings!$A116,'Bouclage EG Cust Cons_Decons'!$F:$F)&gt;='Discount Scheme Target'!$H$4,_xlfn.XLOOKUP(Workings!$E116,'Discount Scheme Target'!$B:$B,'Discount Scheme Target'!$H:$H,0,0),0)</f>
        <v>0</v>
      </c>
      <c r="L116" s="72">
        <f>IF(INDEX('TT Around time'!$A$1:$F$46,MATCH($A116,'TT Around time'!$A:$A,0),6)&gt;='Discount Scheme Target'!$I$4,_xlfn.XLOOKUP(Workings!$E116,'Discount Scheme Target'!$B:$B,'Discount Scheme Target'!$I:$I,0,0),0)</f>
        <v>5.0000000000000001E-3</v>
      </c>
      <c r="M116" s="72">
        <f t="shared" si="13"/>
        <v>5.0000000000000001E-3</v>
      </c>
      <c r="N116" s="62">
        <f t="shared" si="21"/>
        <v>69510.328630200602</v>
      </c>
      <c r="T116" s="61">
        <f t="shared" si="14"/>
        <v>0</v>
      </c>
      <c r="U116" s="61">
        <f t="shared" si="15"/>
        <v>0</v>
      </c>
      <c r="V116" s="61">
        <f t="shared" si="16"/>
        <v>0</v>
      </c>
      <c r="W116" s="61">
        <f t="shared" si="17"/>
        <v>69510.328630200602</v>
      </c>
      <c r="X116" s="61">
        <f t="shared" si="18"/>
        <v>69510.328630200602</v>
      </c>
      <c r="Y116" s="61">
        <f t="shared" si="19"/>
        <v>0</v>
      </c>
    </row>
    <row r="117" spans="1:25" x14ac:dyDescent="0.25">
      <c r="A117" s="51">
        <v>1300006451</v>
      </c>
      <c r="B117" s="51" t="s">
        <v>143</v>
      </c>
      <c r="C117" s="51" t="s">
        <v>140</v>
      </c>
      <c r="D117" s="51" t="s">
        <v>141</v>
      </c>
      <c r="E117" s="51" t="s">
        <v>515</v>
      </c>
      <c r="F117" s="52">
        <f>SUMIF('Customer Budget Per Category'!$A:$A,$A117,'Customer Budget Per Category'!$J:$J)</f>
        <v>320.28860576043593</v>
      </c>
      <c r="G117" s="52">
        <f>SUMIFS('Navision sales Dump'!$E:$E,'Navision sales Dump'!$K:$K,$E117,'Navision sales Dump'!$A:$A,$A117)</f>
        <v>0</v>
      </c>
      <c r="H117" s="62">
        <f>SUMIFS('Navision sales Dump'!$G:$G,'Navision sales Dump'!$K:$K,$E117,'Navision sales Dump'!$A:$A,$A117)</f>
        <v>0</v>
      </c>
      <c r="I117" s="72">
        <f>IFERROR(IF(($G117/$F117)&gt;='Discount Scheme Target'!$F$4,_xlfn.XLOOKUP($E117,'Discount Scheme Target'!$B:$B,'Discount Scheme Target'!$F:$F,0,0),IF(($G117/$F117)&gt;='Discount Scheme Target'!$E$4,_xlfn.XLOOKUP($E117,'Discount Scheme Target'!$B:$B,'Discount Scheme Target'!$E:$E,0,0),IF(($G117/$F117)&gt;='Discount Scheme Target'!$D$4,_xlfn.XLOOKUP($E117,'Discount Scheme Target'!$B:$B,'Discount Scheme Target'!$D:$D,0,0),0))),0)</f>
        <v>0</v>
      </c>
      <c r="J117" s="72">
        <f>IF(SUMIF('Customer Num Distr.'!$A:$A,Workings!$A117,'Customer Num Distr.'!$E:$E)&gt;='Discount Scheme Target'!$G$4,_xlfn.XLOOKUP(Workings!$E117,'Discount Scheme Target'!$B:$B,'Discount Scheme Target'!$G:$G,0,0),0)</f>
        <v>0</v>
      </c>
      <c r="K117" s="72">
        <f>IF(SUMIF('Bouclage EG Cust Cons_Decons'!$A:$A,Workings!$A117,'Bouclage EG Cust Cons_Decons'!$F:$F)&gt;='Discount Scheme Target'!$H$4,_xlfn.XLOOKUP(Workings!$E117,'Discount Scheme Target'!$B:$B,'Discount Scheme Target'!$H:$H,0,0),0)</f>
        <v>0</v>
      </c>
      <c r="L117" s="72">
        <f>IF(INDEX('TT Around time'!$A$1:$F$46,MATCH($A117,'TT Around time'!$A:$A,0),6)&gt;='Discount Scheme Target'!$I$4,_xlfn.XLOOKUP(Workings!$E117,'Discount Scheme Target'!$B:$B,'Discount Scheme Target'!$I:$I,0,0),0)</f>
        <v>5.0000000000000001E-3</v>
      </c>
      <c r="M117" s="72">
        <f t="shared" si="13"/>
        <v>5.0000000000000001E-3</v>
      </c>
      <c r="N117" s="62">
        <f t="shared" si="21"/>
        <v>0</v>
      </c>
      <c r="T117" s="61">
        <f t="shared" si="14"/>
        <v>0</v>
      </c>
      <c r="U117" s="61">
        <f t="shared" si="15"/>
        <v>0</v>
      </c>
      <c r="V117" s="61">
        <f t="shared" si="16"/>
        <v>0</v>
      </c>
      <c r="W117" s="61">
        <f t="shared" si="17"/>
        <v>0</v>
      </c>
      <c r="X117" s="61">
        <f t="shared" si="18"/>
        <v>0</v>
      </c>
      <c r="Y117" s="61">
        <f t="shared" si="19"/>
        <v>0</v>
      </c>
    </row>
    <row r="118" spans="1:25" x14ac:dyDescent="0.25">
      <c r="A118" s="51">
        <v>1300006451</v>
      </c>
      <c r="B118" s="51" t="s">
        <v>143</v>
      </c>
      <c r="C118" s="51" t="s">
        <v>140</v>
      </c>
      <c r="D118" s="51" t="s">
        <v>141</v>
      </c>
      <c r="E118" s="51" t="s">
        <v>161</v>
      </c>
      <c r="F118" s="52">
        <f>SUMIF('Customer Budget Per Category'!$A:$A,$A118,'Customer Budget Per Category'!$K:$K)</f>
        <v>0</v>
      </c>
      <c r="G118" s="52">
        <f>SUMIFS('Navision sales Dump'!$E:$E,'Navision sales Dump'!$K:$K,$E118,'Navision sales Dump'!$A:$A,$A118)</f>
        <v>0</v>
      </c>
      <c r="H118" s="62">
        <f>SUMIFS('Navision sales Dump'!$G:$G,'Navision sales Dump'!$K:$K,$E118,'Navision sales Dump'!$A:$A,$A118)</f>
        <v>0</v>
      </c>
      <c r="I118" s="72">
        <f>IFERROR(IF(($G118/$F118)&gt;='Discount Scheme Target'!$F$4,_xlfn.XLOOKUP($E118,'Discount Scheme Target'!$B:$B,'Discount Scheme Target'!$F:$F,0,0),IF(($G118/$F118)&gt;='Discount Scheme Target'!$E$4,_xlfn.XLOOKUP($E118,'Discount Scheme Target'!$B:$B,'Discount Scheme Target'!$E:$E,0,0),IF(($G118/$F118)&gt;='Discount Scheme Target'!$D$4,_xlfn.XLOOKUP($E118,'Discount Scheme Target'!$B:$B,'Discount Scheme Target'!$D:$D,0,0),0))),0)</f>
        <v>0</v>
      </c>
      <c r="J118" s="72">
        <f>IF(SUMIF('Customer Num Distr.'!$A:$A,Workings!$A118,'Customer Num Distr.'!$E:$E)&gt;='Discount Scheme Target'!$G$4,_xlfn.XLOOKUP(Workings!$E118,'Discount Scheme Target'!$B:$B,'Discount Scheme Target'!$G:$G,0,0),0)</f>
        <v>0</v>
      </c>
      <c r="K118" s="72">
        <f>IF(SUMIF('Bouclage EG Cust Cons_Decons'!$A:$A,Workings!$A118,'Bouclage EG Cust Cons_Decons'!$F:$F)&gt;='Discount Scheme Target'!$H$4,_xlfn.XLOOKUP(Workings!$E118,'Discount Scheme Target'!$B:$B,'Discount Scheme Target'!$H:$H,0,0),0)</f>
        <v>0</v>
      </c>
      <c r="L118" s="72">
        <f>IF(INDEX('TT Around time'!$A$1:$F$46,MATCH($A118,'TT Around time'!$A:$A,0),6)&gt;='Discount Scheme Target'!$I$4,_xlfn.XLOOKUP(Workings!$E118,'Discount Scheme Target'!$B:$B,'Discount Scheme Target'!$I:$I,0,0),0)</f>
        <v>0</v>
      </c>
      <c r="M118" s="72">
        <f t="shared" si="13"/>
        <v>0</v>
      </c>
      <c r="N118" s="62">
        <f t="shared" si="21"/>
        <v>0</v>
      </c>
      <c r="T118" s="61">
        <f t="shared" si="14"/>
        <v>0</v>
      </c>
      <c r="U118" s="61">
        <f t="shared" si="15"/>
        <v>0</v>
      </c>
      <c r="V118" s="61">
        <f t="shared" si="16"/>
        <v>0</v>
      </c>
      <c r="W118" s="61">
        <f t="shared" si="17"/>
        <v>0</v>
      </c>
      <c r="X118" s="61">
        <f t="shared" si="18"/>
        <v>0</v>
      </c>
      <c r="Y118" s="61">
        <f t="shared" si="19"/>
        <v>0</v>
      </c>
    </row>
    <row r="119" spans="1:25" x14ac:dyDescent="0.25">
      <c r="A119" s="51">
        <v>1300006451</v>
      </c>
      <c r="B119" s="51" t="s">
        <v>143</v>
      </c>
      <c r="C119" s="51" t="s">
        <v>140</v>
      </c>
      <c r="D119" s="51" t="s">
        <v>141</v>
      </c>
      <c r="E119" s="51" t="s">
        <v>354</v>
      </c>
      <c r="F119" s="52">
        <f>SUMIF('Customer Budget Per Category'!$A:$A,$A119,'Customer Budget Per Category'!$L:$L)</f>
        <v>1311.6185480224412</v>
      </c>
      <c r="G119" s="52">
        <f>SUMIFS('Navision sales Dump'!$E:$E,'Navision sales Dump'!$K:$K,$E119,'Navision sales Dump'!$A:$A,$A119)</f>
        <v>1584</v>
      </c>
      <c r="H119" s="62">
        <f>SUMIFS('Navision sales Dump'!$G:$G,'Navision sales Dump'!$K:$K,$E119,'Navision sales Dump'!$A:$A,$A119)</f>
        <v>5794557.1200000001</v>
      </c>
      <c r="I119" s="72">
        <f>IFERROR(IF(($G119/$F119)&gt;='Discount Scheme Target'!$F$4,_xlfn.XLOOKUP($E119,'Discount Scheme Target'!$B:$B,'Discount Scheme Target'!$F:$F,0,0),IF(($G119/$F119)&gt;='Discount Scheme Target'!$E$4,_xlfn.XLOOKUP($E119,'Discount Scheme Target'!$B:$B,'Discount Scheme Target'!$E:$E,0,0),IF(($G119/$F119)&gt;='Discount Scheme Target'!$D$4,_xlfn.XLOOKUP($E119,'Discount Scheme Target'!$B:$B,'Discount Scheme Target'!$D:$D,0,0),0))),0)</f>
        <v>0.04</v>
      </c>
      <c r="J119" s="72">
        <f>IF(SUMIF('Customer Num Distr.'!$A:$A,Workings!$A119,'Customer Num Distr.'!$E:$E)&gt;='Discount Scheme Target'!$G$4,_xlfn.XLOOKUP(Workings!$E119,'Discount Scheme Target'!$B:$B,'Discount Scheme Target'!$G:$G,0,0),0)</f>
        <v>0</v>
      </c>
      <c r="K119" s="72">
        <f>IF(SUMIF('Bouclage EG Cust Cons_Decons'!$A:$A,Workings!$A119,'Bouclage EG Cust Cons_Decons'!$F:$F)&gt;='Discount Scheme Target'!$H$4,_xlfn.XLOOKUP(Workings!$E119,'Discount Scheme Target'!$B:$B,'Discount Scheme Target'!$H:$H,0,0),0)</f>
        <v>0</v>
      </c>
      <c r="L119" s="72">
        <f>IF(INDEX('TT Around time'!$A$1:$F$46,MATCH($A119,'TT Around time'!$A:$A,0),6)&gt;='Discount Scheme Target'!$I$4,_xlfn.XLOOKUP(Workings!$E119,'Discount Scheme Target'!$B:$B,'Discount Scheme Target'!$I:$I,0,0),0)</f>
        <v>5.0000000000000001E-3</v>
      </c>
      <c r="M119" s="72">
        <f t="shared" si="13"/>
        <v>4.4999999999999998E-2</v>
      </c>
      <c r="N119" s="62">
        <f t="shared" si="21"/>
        <v>215916.15330021302</v>
      </c>
      <c r="T119" s="61">
        <f t="shared" si="14"/>
        <v>191925.46960018936</v>
      </c>
      <c r="U119" s="61">
        <f t="shared" si="15"/>
        <v>0</v>
      </c>
      <c r="V119" s="61">
        <f t="shared" si="16"/>
        <v>0</v>
      </c>
      <c r="W119" s="61">
        <f t="shared" si="17"/>
        <v>23990.68370002367</v>
      </c>
      <c r="X119" s="61">
        <f t="shared" si="18"/>
        <v>215916.15330021305</v>
      </c>
      <c r="Y119" s="61">
        <f t="shared" si="19"/>
        <v>0</v>
      </c>
    </row>
    <row r="120" spans="1:25" x14ac:dyDescent="0.25">
      <c r="A120" s="51">
        <v>1300006451</v>
      </c>
      <c r="B120" s="51" t="s">
        <v>143</v>
      </c>
      <c r="C120" s="51" t="s">
        <v>140</v>
      </c>
      <c r="D120" s="51" t="s">
        <v>141</v>
      </c>
      <c r="E120" s="51" t="s">
        <v>355</v>
      </c>
      <c r="F120" s="52">
        <f>SUMIF('Customer Budget Per Category'!$A:$A,$A120,'Customer Budget Per Category'!$M:$M)</f>
        <v>636.3475572074891</v>
      </c>
      <c r="G120" s="52">
        <f>SUMIFS('Navision sales Dump'!$E:$E,'Navision sales Dump'!$K:$K,$E120,'Navision sales Dump'!$A:$A,$A120)</f>
        <v>0</v>
      </c>
      <c r="H120" s="62">
        <f>SUMIFS('Navision sales Dump'!$G:$G,'Navision sales Dump'!$K:$K,$E120,'Navision sales Dump'!$A:$A,$A120)</f>
        <v>0</v>
      </c>
      <c r="I120" s="72">
        <f>IFERROR(IF(($G120/$F120)&gt;='Discount Scheme Target'!$F$4,_xlfn.XLOOKUP($E120,'Discount Scheme Target'!$B:$B,'Discount Scheme Target'!$F:$F,0,0),IF(($G120/$F120)&gt;='Discount Scheme Target'!$E$4,_xlfn.XLOOKUP($E120,'Discount Scheme Target'!$B:$B,'Discount Scheme Target'!$E:$E,0,0),IF(($G120/$F120)&gt;='Discount Scheme Target'!$D$4,_xlfn.XLOOKUP($E120,'Discount Scheme Target'!$B:$B,'Discount Scheme Target'!$D:$D,0,0),0))),0)</f>
        <v>0</v>
      </c>
      <c r="J120" s="72">
        <f>IF(SUMIF('Customer Num Distr.'!$A:$A,Workings!$A120,'Customer Num Distr.'!$E:$E)&gt;='Discount Scheme Target'!$G$4,_xlfn.XLOOKUP(Workings!$E120,'Discount Scheme Target'!$B:$B,'Discount Scheme Target'!$G:$G,0,0),0)</f>
        <v>0</v>
      </c>
      <c r="K120" s="72">
        <f>IF(SUMIF('Bouclage EG Cust Cons_Decons'!$A:$A,Workings!$A120,'Bouclage EG Cust Cons_Decons'!$F:$F)&gt;='Discount Scheme Target'!$H$4,_xlfn.XLOOKUP(Workings!$E120,'Discount Scheme Target'!$B:$B,'Discount Scheme Target'!$H:$H,0,0),0)</f>
        <v>0</v>
      </c>
      <c r="L120" s="72">
        <f>IF(INDEX('TT Around time'!$A$1:$F$46,MATCH($A120,'TT Around time'!$A:$A,0),6)&gt;='Discount Scheme Target'!$I$4,_xlfn.XLOOKUP(Workings!$E120,'Discount Scheme Target'!$B:$B,'Discount Scheme Target'!$I:$I,0,0),0)</f>
        <v>5.0000000000000001E-3</v>
      </c>
      <c r="M120" s="72">
        <f t="shared" si="13"/>
        <v>5.0000000000000001E-3</v>
      </c>
      <c r="N120" s="62">
        <f t="shared" si="21"/>
        <v>0</v>
      </c>
      <c r="T120" s="61">
        <f t="shared" si="14"/>
        <v>0</v>
      </c>
      <c r="U120" s="61">
        <f t="shared" si="15"/>
        <v>0</v>
      </c>
      <c r="V120" s="61">
        <f t="shared" si="16"/>
        <v>0</v>
      </c>
      <c r="W120" s="61">
        <f t="shared" si="17"/>
        <v>0</v>
      </c>
      <c r="X120" s="61">
        <f t="shared" si="18"/>
        <v>0</v>
      </c>
      <c r="Y120" s="61">
        <f t="shared" si="19"/>
        <v>0</v>
      </c>
    </row>
    <row r="121" spans="1:25" x14ac:dyDescent="0.25">
      <c r="A121" s="51">
        <v>1300006451</v>
      </c>
      <c r="B121" s="51" t="s">
        <v>143</v>
      </c>
      <c r="C121" s="51" t="s">
        <v>140</v>
      </c>
      <c r="D121" s="51" t="s">
        <v>141</v>
      </c>
      <c r="E121" s="51" t="s">
        <v>132</v>
      </c>
      <c r="F121" s="52">
        <f>SUMIF('Customer Budget Per Category'!$A:$A,$A121,'Customer Budget Per Category'!$N:$N)</f>
        <v>40.441055352230386</v>
      </c>
      <c r="G121" s="52">
        <f>SUMIFS('Navision sales Dump'!$E:$E,'Navision sales Dump'!$K:$K,$E121,'Navision sales Dump'!$A:$A,$A121)</f>
        <v>0</v>
      </c>
      <c r="H121" s="62">
        <f>SUMIFS('Navision sales Dump'!$G:$G,'Navision sales Dump'!$K:$K,$E121,'Navision sales Dump'!$A:$A,$A121)</f>
        <v>0</v>
      </c>
      <c r="I121" s="72">
        <f>IFERROR(IF(($G121/$F121)&gt;='Discount Scheme Target'!$F$4,_xlfn.XLOOKUP($E121,'Discount Scheme Target'!$B:$B,'Discount Scheme Target'!$F:$F,0,0),IF(($G121/$F121)&gt;='Discount Scheme Target'!$E$4,_xlfn.XLOOKUP($E121,'Discount Scheme Target'!$B:$B,'Discount Scheme Target'!$E:$E,0,0),IF(($G121/$F121)&gt;='Discount Scheme Target'!$D$4,_xlfn.XLOOKUP($E121,'Discount Scheme Target'!$B:$B,'Discount Scheme Target'!$D:$D,0,0),0))),0)</f>
        <v>0</v>
      </c>
      <c r="J121" s="72">
        <f>IF(SUMIF('Customer Num Distr.'!$A:$A,Workings!$A121,'Customer Num Distr.'!$E:$E)&gt;='Discount Scheme Target'!$G$4,_xlfn.XLOOKUP(Workings!$E121,'Discount Scheme Target'!$B:$B,'Discount Scheme Target'!$G:$G,0,0),0)</f>
        <v>0</v>
      </c>
      <c r="K121" s="72">
        <f>IF(SUMIF('Bouclage EG Cust Cons_Decons'!$A:$A,Workings!$A121,'Bouclage EG Cust Cons_Decons'!$F:$F)&gt;='Discount Scheme Target'!$H$4,_xlfn.XLOOKUP(Workings!$E121,'Discount Scheme Target'!$B:$B,'Discount Scheme Target'!$H:$H,0,0),0)</f>
        <v>0</v>
      </c>
      <c r="L121" s="72">
        <f>IF(INDEX('TT Around time'!$A$1:$F$46,MATCH($A121,'TT Around time'!$A:$A,0),6)&gt;='Discount Scheme Target'!$I$4,_xlfn.XLOOKUP(Workings!$E121,'Discount Scheme Target'!$B:$B,'Discount Scheme Target'!$I:$I,0,0),0)</f>
        <v>5.0000000000000001E-3</v>
      </c>
      <c r="M121" s="72">
        <f t="shared" si="13"/>
        <v>5.0000000000000001E-3</v>
      </c>
      <c r="N121" s="62">
        <f t="shared" si="21"/>
        <v>0</v>
      </c>
      <c r="T121" s="61">
        <f t="shared" si="14"/>
        <v>0</v>
      </c>
      <c r="U121" s="61">
        <f t="shared" si="15"/>
        <v>0</v>
      </c>
      <c r="V121" s="61">
        <f t="shared" si="16"/>
        <v>0</v>
      </c>
      <c r="W121" s="61">
        <f t="shared" si="17"/>
        <v>0</v>
      </c>
      <c r="X121" s="61">
        <f t="shared" si="18"/>
        <v>0</v>
      </c>
      <c r="Y121" s="61">
        <f t="shared" si="19"/>
        <v>0</v>
      </c>
    </row>
    <row r="122" spans="1:25" x14ac:dyDescent="0.25">
      <c r="A122" s="51">
        <v>1300006451</v>
      </c>
      <c r="B122" s="51" t="s">
        <v>143</v>
      </c>
      <c r="C122" s="51" t="s">
        <v>140</v>
      </c>
      <c r="D122" s="51" t="s">
        <v>141</v>
      </c>
      <c r="E122" s="51" t="s">
        <v>133</v>
      </c>
      <c r="F122" s="52">
        <f>SUMIF('Customer Budget Per Category'!$A:$A,$A122,'Customer Budget Per Category'!$O:$O)</f>
        <v>366.61788432614031</v>
      </c>
      <c r="G122" s="52">
        <f>SUMIFS('Navision sales Dump'!$E:$E,'Navision sales Dump'!$K:$K,$E122,'Navision sales Dump'!$A:$A,$A122)</f>
        <v>360</v>
      </c>
      <c r="H122" s="62">
        <f>SUMIFS('Navision sales Dump'!$G:$G,'Navision sales Dump'!$K:$K,$E122,'Navision sales Dump'!$A:$A,$A122)</f>
        <v>3609856.8</v>
      </c>
      <c r="I122" s="72">
        <f>IFERROR(IF(($G122/$F122)&gt;='Discount Scheme Target'!$F$4,_xlfn.XLOOKUP($E122,'Discount Scheme Target'!$B:$B,'Discount Scheme Target'!$F:$F,0,0),IF(($G122/$F122)&gt;='Discount Scheme Target'!$E$4,_xlfn.XLOOKUP($E122,'Discount Scheme Target'!$B:$B,'Discount Scheme Target'!$E:$E,0,0),IF(($G122/$F122)&gt;='Discount Scheme Target'!$D$4,_xlfn.XLOOKUP($E122,'Discount Scheme Target'!$B:$B,'Discount Scheme Target'!$D:$D,0,0),0))),0)</f>
        <v>0</v>
      </c>
      <c r="J122" s="72">
        <f>IF(SUMIF('Customer Num Distr.'!$A:$A,Workings!$A122,'Customer Num Distr.'!$E:$E)&gt;='Discount Scheme Target'!$G$4,_xlfn.XLOOKUP(Workings!$E122,'Discount Scheme Target'!$B:$B,'Discount Scheme Target'!$G:$G,0,0),0)</f>
        <v>0</v>
      </c>
      <c r="K122" s="72">
        <f>IF(SUMIF('Bouclage EG Cust Cons_Decons'!$A:$A,Workings!$A122,'Bouclage EG Cust Cons_Decons'!$F:$F)&gt;='Discount Scheme Target'!$H$4,_xlfn.XLOOKUP(Workings!$E122,'Discount Scheme Target'!$B:$B,'Discount Scheme Target'!$H:$H,0,0),0)</f>
        <v>0</v>
      </c>
      <c r="L122" s="72">
        <f>IF(INDEX('TT Around time'!$A$1:$F$46,MATCH($A122,'TT Around time'!$A:$A,0),6)&gt;='Discount Scheme Target'!$I$4,_xlfn.XLOOKUP(Workings!$E122,'Discount Scheme Target'!$B:$B,'Discount Scheme Target'!$I:$I,0,0),0)</f>
        <v>5.0000000000000001E-3</v>
      </c>
      <c r="M122" s="72">
        <f t="shared" si="13"/>
        <v>5.0000000000000001E-3</v>
      </c>
      <c r="N122" s="62">
        <f t="shared" si="21"/>
        <v>18381.084204671261</v>
      </c>
      <c r="T122" s="61">
        <f t="shared" si="14"/>
        <v>0</v>
      </c>
      <c r="U122" s="61">
        <f t="shared" si="15"/>
        <v>0</v>
      </c>
      <c r="V122" s="61">
        <f t="shared" si="16"/>
        <v>0</v>
      </c>
      <c r="W122" s="61">
        <f t="shared" si="17"/>
        <v>18381.084204671261</v>
      </c>
      <c r="X122" s="61">
        <f t="shared" si="18"/>
        <v>18381.084204671261</v>
      </c>
      <c r="Y122" s="61">
        <f t="shared" si="19"/>
        <v>0</v>
      </c>
    </row>
    <row r="123" spans="1:25" x14ac:dyDescent="0.25">
      <c r="A123" s="51">
        <v>1300006430</v>
      </c>
      <c r="B123" s="51" t="s">
        <v>144</v>
      </c>
      <c r="C123" s="51" t="s">
        <v>140</v>
      </c>
      <c r="D123" s="51" t="s">
        <v>141</v>
      </c>
      <c r="E123" s="51" t="s">
        <v>417</v>
      </c>
      <c r="F123" s="52">
        <f>SUMIF('Customer Budget Per Category'!$A:$A,$A123,'Customer Budget Per Category'!$E:$E)</f>
        <v>23892.101105829963</v>
      </c>
      <c r="G123" s="52">
        <f>SUMIFS('Navision sales Dump'!$E:$E,'Navision sales Dump'!$K:$K,$E123,'Navision sales Dump'!$A:$A,$A123)</f>
        <v>25272</v>
      </c>
      <c r="H123" s="62">
        <f>SUMIFS('Navision sales Dump'!$G:$G,'Navision sales Dump'!$K:$K,$E123,'Navision sales Dump'!$A:$A,$A123)</f>
        <v>186337330.18000004</v>
      </c>
      <c r="I123" s="72">
        <f>IFERROR(IF(($G123/$F123)&gt;='Discount Scheme Target'!$F$4,_xlfn.XLOOKUP($E123,'Discount Scheme Target'!$B:$B,'Discount Scheme Target'!$F:$F,0,0),IF(($G123/$F123)&gt;='Discount Scheme Target'!$E$4,_xlfn.XLOOKUP($E123,'Discount Scheme Target'!$B:$B,'Discount Scheme Target'!$E:$E,0,0),IF(($G123/$F123)&gt;='Discount Scheme Target'!$D$4,_xlfn.XLOOKUP($E123,'Discount Scheme Target'!$B:$B,'Discount Scheme Target'!$D:$D,0,0),0))),0)</f>
        <v>3.5000000000000003E-2</v>
      </c>
      <c r="J123" s="72">
        <f>IF(SUMIF('Customer Num Distr.'!$A:$A,Workings!$A123,'Customer Num Distr.'!$E:$E)&gt;='Discount Scheme Target'!$G$4,_xlfn.XLOOKUP(Workings!$E123,'Discount Scheme Target'!$B:$B,'Discount Scheme Target'!$G:$G,0,0),0)</f>
        <v>0</v>
      </c>
      <c r="K123" s="72">
        <f>IF(SUMIF('Bouclage EG Cust Cons_Decons'!$A:$A,Workings!$A123,'Bouclage EG Cust Cons_Decons'!$F:$F)&gt;='Discount Scheme Target'!$H$4,_xlfn.XLOOKUP(Workings!$E123,'Discount Scheme Target'!$B:$B,'Discount Scheme Target'!$H:$H,0,0),0)</f>
        <v>0</v>
      </c>
      <c r="L123" s="72">
        <f>IF(INDEX('TT Around time'!$A$1:$F$46,MATCH($A123,'TT Around time'!$A:$A,0),6)&gt;='Discount Scheme Target'!$I$4,_xlfn.XLOOKUP(Workings!$E123,'Discount Scheme Target'!$B:$B,'Discount Scheme Target'!$I:$I,0,0),0)</f>
        <v>0.01</v>
      </c>
      <c r="M123" s="72">
        <f t="shared" ref="M123:M205" si="22">SUM($I123:$L123)</f>
        <v>4.5000000000000005E-2</v>
      </c>
      <c r="N123" s="62">
        <f t="shared" si="21"/>
        <v>7927333.2130537434</v>
      </c>
      <c r="T123" s="61">
        <f t="shared" ref="T123:T205" si="23">IFERROR(($H123/$G123)*$F123*$I123,)</f>
        <v>6165703.6101529114</v>
      </c>
      <c r="U123" s="61">
        <f t="shared" ref="U123:U205" si="24">IFERROR(($H123/$G123)*$F123*$J123,)</f>
        <v>0</v>
      </c>
      <c r="V123" s="61">
        <f t="shared" ref="V123:V205" si="25">IFERROR(($H123/$G123)*$F123*$K123,)</f>
        <v>0</v>
      </c>
      <c r="W123" s="61">
        <f t="shared" ref="W123:W205" si="26">IFERROR(($H123/$G123)*$F123*$L123,)</f>
        <v>1761629.6029008317</v>
      </c>
      <c r="X123" s="61">
        <f t="shared" ref="X123:X205" si="27">SUM(T123:W123)</f>
        <v>7927333.2130537434</v>
      </c>
      <c r="Y123" s="61">
        <f t="shared" ref="Y123:Y205" si="28">N123-X123</f>
        <v>0</v>
      </c>
    </row>
    <row r="124" spans="1:25" x14ac:dyDescent="0.25">
      <c r="A124" s="51">
        <v>1300006430</v>
      </c>
      <c r="B124" s="51" t="s">
        <v>144</v>
      </c>
      <c r="C124" s="51" t="s">
        <v>140</v>
      </c>
      <c r="D124" s="51" t="s">
        <v>141</v>
      </c>
      <c r="E124" s="51" t="s">
        <v>418</v>
      </c>
      <c r="F124" s="52">
        <f>SUMIF('Customer Budget Per Category'!$A:$A,$A124,'Customer Budget Per Category'!$F:$F)</f>
        <v>0</v>
      </c>
      <c r="G124" s="52">
        <f>SUMIFS('Navision sales Dump'!$E:$E,'Navision sales Dump'!$K:$K,$E124,'Navision sales Dump'!$A:$A,$A124)</f>
        <v>0</v>
      </c>
      <c r="H124" s="62">
        <f>SUMIFS('Navision sales Dump'!$G:$G,'Navision sales Dump'!$K:$K,$E124,'Navision sales Dump'!$A:$A,$A124)</f>
        <v>0</v>
      </c>
      <c r="I124" s="72">
        <f>IFERROR(IF(($G124/$F124)&gt;='Discount Scheme Target'!$F$4,_xlfn.XLOOKUP($E124,'Discount Scheme Target'!$B:$B,'Discount Scheme Target'!$F:$F,0,0),IF(($G124/$F124)&gt;='Discount Scheme Target'!$E$4,_xlfn.XLOOKUP($E124,'Discount Scheme Target'!$B:$B,'Discount Scheme Target'!$E:$E,0,0),IF(($G124/$F124)&gt;='Discount Scheme Target'!$D$4,_xlfn.XLOOKUP($E124,'Discount Scheme Target'!$B:$B,'Discount Scheme Target'!$D:$D,0,0),0))),0)</f>
        <v>0</v>
      </c>
      <c r="J124" s="72">
        <f>IF(SUMIF('Customer Num Distr.'!$A:$A,Workings!$A124,'Customer Num Distr.'!$E:$E)&gt;='Discount Scheme Target'!$G$4,_xlfn.XLOOKUP(Workings!$E124,'Discount Scheme Target'!$B:$B,'Discount Scheme Target'!$G:$G,0,0),0)</f>
        <v>0</v>
      </c>
      <c r="K124" s="72">
        <f>IF(SUMIF('Bouclage EG Cust Cons_Decons'!$A:$A,Workings!$A124,'Bouclage EG Cust Cons_Decons'!$F:$F)&gt;='Discount Scheme Target'!$H$4,_xlfn.XLOOKUP(Workings!$E124,'Discount Scheme Target'!$B:$B,'Discount Scheme Target'!$H:$H,0,0),0)</f>
        <v>0</v>
      </c>
      <c r="L124" s="72">
        <f>IF(INDEX('TT Around time'!$A$1:$F$46,MATCH($A124,'TT Around time'!$A:$A,0),6)&gt;='Discount Scheme Target'!$I$4,_xlfn.XLOOKUP(Workings!$E124,'Discount Scheme Target'!$B:$B,'Discount Scheme Target'!$I:$I,0,0),0)</f>
        <v>0</v>
      </c>
      <c r="M124" s="72">
        <f t="shared" si="22"/>
        <v>0</v>
      </c>
      <c r="N124" s="62">
        <f t="shared" si="21"/>
        <v>0</v>
      </c>
      <c r="T124" s="61">
        <f t="shared" si="23"/>
        <v>0</v>
      </c>
      <c r="U124" s="61">
        <f t="shared" si="24"/>
        <v>0</v>
      </c>
      <c r="V124" s="61">
        <f t="shared" si="25"/>
        <v>0</v>
      </c>
      <c r="W124" s="61">
        <f t="shared" si="26"/>
        <v>0</v>
      </c>
      <c r="X124" s="61">
        <f t="shared" si="27"/>
        <v>0</v>
      </c>
      <c r="Y124" s="61">
        <f t="shared" si="28"/>
        <v>0</v>
      </c>
    </row>
    <row r="125" spans="1:25" x14ac:dyDescent="0.25">
      <c r="A125" s="51">
        <v>1300006430</v>
      </c>
      <c r="B125" s="51" t="s">
        <v>144</v>
      </c>
      <c r="C125" s="51" t="s">
        <v>140</v>
      </c>
      <c r="D125" s="51" t="s">
        <v>141</v>
      </c>
      <c r="E125" s="51" t="s">
        <v>130</v>
      </c>
      <c r="F125" s="52">
        <f>SUMIF('Customer Budget Per Category'!$A:$A,$A125,'Customer Budget Per Category'!$G:$G)</f>
        <v>733.4209894775837</v>
      </c>
      <c r="G125" s="52">
        <f>SUMIFS('Navision sales Dump'!$E:$E,'Navision sales Dump'!$K:$K,$E125,'Navision sales Dump'!$A:$A,$A125)</f>
        <v>1152</v>
      </c>
      <c r="H125" s="62">
        <f>SUMIFS('Navision sales Dump'!$G:$G,'Navision sales Dump'!$K:$K,$E125,'Navision sales Dump'!$A:$A,$A125)</f>
        <v>8899568.6400000006</v>
      </c>
      <c r="I125" s="72">
        <f>IFERROR(IF(($G125/$F125)&gt;='Discount Scheme Target'!$F$4,_xlfn.XLOOKUP($E125,'Discount Scheme Target'!$B:$B,'Discount Scheme Target'!$F:$F,0,0),IF(($G125/$F125)&gt;='Discount Scheme Target'!$E$4,_xlfn.XLOOKUP($E125,'Discount Scheme Target'!$B:$B,'Discount Scheme Target'!$E:$E,0,0),IF(($G125/$F125)&gt;='Discount Scheme Target'!$D$4,_xlfn.XLOOKUP($E125,'Discount Scheme Target'!$B:$B,'Discount Scheme Target'!$D:$D,0,0),0))),0)</f>
        <v>4.5000000000000005E-2</v>
      </c>
      <c r="J125" s="72">
        <f>IF(SUMIF('Customer Num Distr.'!$A:$A,Workings!$A125,'Customer Num Distr.'!$E:$E)&gt;='Discount Scheme Target'!$G$4,_xlfn.XLOOKUP(Workings!$E125,'Discount Scheme Target'!$B:$B,'Discount Scheme Target'!$G:$G,0,0),0)</f>
        <v>0</v>
      </c>
      <c r="K125" s="72">
        <f>IF(SUMIF('Bouclage EG Cust Cons_Decons'!$A:$A,Workings!$A125,'Bouclage EG Cust Cons_Decons'!$F:$F)&gt;='Discount Scheme Target'!$H$4,_xlfn.XLOOKUP(Workings!$E125,'Discount Scheme Target'!$B:$B,'Discount Scheme Target'!$H:$H,0,0),0)</f>
        <v>0</v>
      </c>
      <c r="L125" s="72">
        <f>IF(INDEX('TT Around time'!$A$1:$F$46,MATCH($A125,'TT Around time'!$A:$A,0),6)&gt;='Discount Scheme Target'!$I$4,_xlfn.XLOOKUP(Workings!$E125,'Discount Scheme Target'!$B:$B,'Discount Scheme Target'!$I:$I,0,0),0)</f>
        <v>0.01</v>
      </c>
      <c r="M125" s="72">
        <f t="shared" si="22"/>
        <v>5.5000000000000007E-2</v>
      </c>
      <c r="N125" s="62">
        <f t="shared" si="21"/>
        <v>311625.15111370326</v>
      </c>
      <c r="T125" s="61">
        <f t="shared" si="23"/>
        <v>254966.03272939354</v>
      </c>
      <c r="U125" s="61">
        <f t="shared" si="24"/>
        <v>0</v>
      </c>
      <c r="V125" s="61">
        <f t="shared" si="25"/>
        <v>0</v>
      </c>
      <c r="W125" s="61">
        <f t="shared" si="26"/>
        <v>56659.118384309673</v>
      </c>
      <c r="X125" s="61">
        <f t="shared" si="27"/>
        <v>311625.15111370321</v>
      </c>
      <c r="Y125" s="61">
        <f t="shared" si="28"/>
        <v>0</v>
      </c>
    </row>
    <row r="126" spans="1:25" x14ac:dyDescent="0.25">
      <c r="A126" s="51">
        <v>1300006430</v>
      </c>
      <c r="B126" s="51" t="s">
        <v>144</v>
      </c>
      <c r="C126" s="51" t="s">
        <v>140</v>
      </c>
      <c r="D126" s="51" t="s">
        <v>141</v>
      </c>
      <c r="E126" s="51" t="s">
        <v>131</v>
      </c>
      <c r="F126" s="52">
        <f>SUMIF('Customer Budget Per Category'!$A:$A,$A126,'Customer Budget Per Category'!$H:$H)</f>
        <v>238.49533963978558</v>
      </c>
      <c r="G126" s="52">
        <f>SUMIFS('Navision sales Dump'!$E:$E,'Navision sales Dump'!$K:$K,$E126,'Navision sales Dump'!$A:$A,$A126)</f>
        <v>365</v>
      </c>
      <c r="H126" s="62">
        <f>SUMIFS('Navision sales Dump'!$G:$G,'Navision sales Dump'!$K:$K,$E126,'Navision sales Dump'!$A:$A,$A126)</f>
        <v>14482472.839999998</v>
      </c>
      <c r="I126" s="72">
        <f>IFERROR(IF(($G126/$F126)&gt;='Discount Scheme Target'!$F$4,_xlfn.XLOOKUP($E126,'Discount Scheme Target'!$B:$B,'Discount Scheme Target'!$F:$F,0,0),IF(($G126/$F126)&gt;='Discount Scheme Target'!$E$4,_xlfn.XLOOKUP($E126,'Discount Scheme Target'!$B:$B,'Discount Scheme Target'!$E:$E,0,0),IF(($G126/$F126)&gt;='Discount Scheme Target'!$D$4,_xlfn.XLOOKUP($E126,'Discount Scheme Target'!$B:$B,'Discount Scheme Target'!$D:$D,0,0),0))),0)</f>
        <v>0.04</v>
      </c>
      <c r="J126" s="72">
        <f>IF(SUMIF('Customer Num Distr.'!$A:$A,Workings!$A126,'Customer Num Distr.'!$E:$E)&gt;='Discount Scheme Target'!$G$4,_xlfn.XLOOKUP(Workings!$E126,'Discount Scheme Target'!$B:$B,'Discount Scheme Target'!$G:$G,0,0),0)</f>
        <v>0</v>
      </c>
      <c r="K126" s="72">
        <f>IF(SUMIF('Bouclage EG Cust Cons_Decons'!$A:$A,Workings!$A126,'Bouclage EG Cust Cons_Decons'!$F:$F)&gt;='Discount Scheme Target'!$H$4,_xlfn.XLOOKUP(Workings!$E126,'Discount Scheme Target'!$B:$B,'Discount Scheme Target'!$H:$H,0,0),0)</f>
        <v>0</v>
      </c>
      <c r="L126" s="72">
        <f>IF(INDEX('TT Around time'!$A$1:$F$46,MATCH($A126,'TT Around time'!$A:$A,0),6)&gt;='Discount Scheme Target'!$I$4,_xlfn.XLOOKUP(Workings!$E126,'Discount Scheme Target'!$B:$B,'Discount Scheme Target'!$I:$I,0,0),0)</f>
        <v>5.0000000000000001E-3</v>
      </c>
      <c r="M126" s="72">
        <f t="shared" si="22"/>
        <v>4.4999999999999998E-2</v>
      </c>
      <c r="N126" s="62">
        <f t="shared" si="21"/>
        <v>425835.89738627296</v>
      </c>
      <c r="T126" s="61">
        <f t="shared" si="23"/>
        <v>378520.79767668707</v>
      </c>
      <c r="U126" s="61">
        <f t="shared" si="24"/>
        <v>0</v>
      </c>
      <c r="V126" s="61">
        <f t="shared" si="25"/>
        <v>0</v>
      </c>
      <c r="W126" s="61">
        <f t="shared" si="26"/>
        <v>47315.099709585884</v>
      </c>
      <c r="X126" s="61">
        <f t="shared" si="27"/>
        <v>425835.89738627296</v>
      </c>
      <c r="Y126" s="61">
        <f t="shared" si="28"/>
        <v>0</v>
      </c>
    </row>
    <row r="127" spans="1:25" x14ac:dyDescent="0.25">
      <c r="A127" s="51">
        <v>1300006430</v>
      </c>
      <c r="B127" s="51" t="s">
        <v>144</v>
      </c>
      <c r="C127" s="51" t="s">
        <v>140</v>
      </c>
      <c r="D127" s="51" t="s">
        <v>141</v>
      </c>
      <c r="E127" s="51" t="s">
        <v>514</v>
      </c>
      <c r="F127" s="52">
        <f>SUMIF('Customer Budget Per Category'!$A:$A,$A127,'Customer Budget Per Category'!$I:$I)</f>
        <v>13119.369627751556</v>
      </c>
      <c r="G127" s="52">
        <f>SUMIFS('Navision sales Dump'!$E:$E,'Navision sales Dump'!$K:$K,$E127,'Navision sales Dump'!$A:$A,$A127)</f>
        <v>14753</v>
      </c>
      <c r="H127" s="62">
        <f>SUMIFS('Navision sales Dump'!$G:$G,'Navision sales Dump'!$K:$K,$E127,'Navision sales Dump'!$A:$A,$A127)</f>
        <v>58392816.589999996</v>
      </c>
      <c r="I127" s="72">
        <f>IFERROR(IF(($G127/$F127)&gt;='Discount Scheme Target'!$F$4,_xlfn.XLOOKUP($E127,'Discount Scheme Target'!$B:$B,'Discount Scheme Target'!$F:$F,0,0),IF(($G127/$F127)&gt;='Discount Scheme Target'!$E$4,_xlfn.XLOOKUP($E127,'Discount Scheme Target'!$B:$B,'Discount Scheme Target'!$E:$E,0,0),IF(($G127/$F127)&gt;='Discount Scheme Target'!$D$4,_xlfn.XLOOKUP($E127,'Discount Scheme Target'!$B:$B,'Discount Scheme Target'!$D:$D,0,0),0))),0)</f>
        <v>0.03</v>
      </c>
      <c r="J127" s="72">
        <f>IF(SUMIF('Customer Num Distr.'!$A:$A,Workings!$A127,'Customer Num Distr.'!$E:$E)&gt;='Discount Scheme Target'!$G$4,_xlfn.XLOOKUP(Workings!$E127,'Discount Scheme Target'!$B:$B,'Discount Scheme Target'!$G:$G,0,0),0)</f>
        <v>0</v>
      </c>
      <c r="K127" s="72">
        <f>IF(SUMIF('Bouclage EG Cust Cons_Decons'!$A:$A,Workings!$A127,'Bouclage EG Cust Cons_Decons'!$F:$F)&gt;='Discount Scheme Target'!$H$4,_xlfn.XLOOKUP(Workings!$E127,'Discount Scheme Target'!$B:$B,'Discount Scheme Target'!$H:$H,0,0),0)</f>
        <v>0</v>
      </c>
      <c r="L127" s="72">
        <f>IF(INDEX('TT Around time'!$A$1:$F$46,MATCH($A127,'TT Around time'!$A:$A,0),6)&gt;='Discount Scheme Target'!$I$4,_xlfn.XLOOKUP(Workings!$E127,'Discount Scheme Target'!$B:$B,'Discount Scheme Target'!$I:$I,0,0),0)</f>
        <v>5.0000000000000001E-3</v>
      </c>
      <c r="M127" s="72">
        <f t="shared" si="22"/>
        <v>3.4999999999999996E-2</v>
      </c>
      <c r="N127" s="62">
        <f t="shared" si="21"/>
        <v>1817440.049870532</v>
      </c>
      <c r="T127" s="61">
        <f t="shared" si="23"/>
        <v>1557805.7570318845</v>
      </c>
      <c r="U127" s="61">
        <f t="shared" si="24"/>
        <v>0</v>
      </c>
      <c r="V127" s="61">
        <f t="shared" si="25"/>
        <v>0</v>
      </c>
      <c r="W127" s="61">
        <f t="shared" si="26"/>
        <v>259634.29283864744</v>
      </c>
      <c r="X127" s="61">
        <f t="shared" si="27"/>
        <v>1817440.049870532</v>
      </c>
      <c r="Y127" s="61">
        <f t="shared" si="28"/>
        <v>0</v>
      </c>
    </row>
    <row r="128" spans="1:25" x14ac:dyDescent="0.25">
      <c r="A128" s="51">
        <v>1300006430</v>
      </c>
      <c r="B128" s="51" t="s">
        <v>144</v>
      </c>
      <c r="C128" s="51" t="s">
        <v>140</v>
      </c>
      <c r="D128" s="51" t="s">
        <v>141</v>
      </c>
      <c r="E128" s="51" t="s">
        <v>515</v>
      </c>
      <c r="F128" s="52">
        <f>SUMIF('Customer Budget Per Category'!$A:$A,$A128,'Customer Budget Per Category'!$J:$J)</f>
        <v>1502.7007539511878</v>
      </c>
      <c r="G128" s="52">
        <f>SUMIFS('Navision sales Dump'!$E:$E,'Navision sales Dump'!$K:$K,$E128,'Navision sales Dump'!$A:$A,$A128)</f>
        <v>1580</v>
      </c>
      <c r="H128" s="62">
        <f>SUMIFS('Navision sales Dump'!$G:$G,'Navision sales Dump'!$K:$K,$E128,'Navision sales Dump'!$A:$A,$A128)</f>
        <v>4460182</v>
      </c>
      <c r="I128" s="72">
        <f>IFERROR(IF(($G128/$F128)&gt;='Discount Scheme Target'!$F$4,_xlfn.XLOOKUP($E128,'Discount Scheme Target'!$B:$B,'Discount Scheme Target'!$F:$F,0,0),IF(($G128/$F128)&gt;='Discount Scheme Target'!$E$4,_xlfn.XLOOKUP($E128,'Discount Scheme Target'!$B:$B,'Discount Scheme Target'!$E:$E,0,0),IF(($G128/$F128)&gt;='Discount Scheme Target'!$D$4,_xlfn.XLOOKUP($E128,'Discount Scheme Target'!$B:$B,'Discount Scheme Target'!$D:$D,0,0),0))),0)</f>
        <v>0.03</v>
      </c>
      <c r="J128" s="72">
        <f>IF(SUMIF('Customer Num Distr.'!$A:$A,Workings!$A128,'Customer Num Distr.'!$E:$E)&gt;='Discount Scheme Target'!$G$4,_xlfn.XLOOKUP(Workings!$E128,'Discount Scheme Target'!$B:$B,'Discount Scheme Target'!$G:$G,0,0),0)</f>
        <v>0</v>
      </c>
      <c r="K128" s="72">
        <f>IF(SUMIF('Bouclage EG Cust Cons_Decons'!$A:$A,Workings!$A128,'Bouclage EG Cust Cons_Decons'!$F:$F)&gt;='Discount Scheme Target'!$H$4,_xlfn.XLOOKUP(Workings!$E128,'Discount Scheme Target'!$B:$B,'Discount Scheme Target'!$H:$H,0,0),0)</f>
        <v>0</v>
      </c>
      <c r="L128" s="72">
        <f>IF(INDEX('TT Around time'!$A$1:$F$46,MATCH($A128,'TT Around time'!$A:$A,0),6)&gt;='Discount Scheme Target'!$I$4,_xlfn.XLOOKUP(Workings!$E128,'Discount Scheme Target'!$B:$B,'Discount Scheme Target'!$I:$I,0,0),0)</f>
        <v>5.0000000000000001E-3</v>
      </c>
      <c r="M128" s="72">
        <f t="shared" si="22"/>
        <v>3.4999999999999996E-2</v>
      </c>
      <c r="N128" s="62">
        <f t="shared" si="21"/>
        <v>148469.08854150827</v>
      </c>
      <c r="T128" s="61">
        <f t="shared" si="23"/>
        <v>127259.21874986426</v>
      </c>
      <c r="U128" s="61">
        <f t="shared" si="24"/>
        <v>0</v>
      </c>
      <c r="V128" s="61">
        <f t="shared" si="25"/>
        <v>0</v>
      </c>
      <c r="W128" s="61">
        <f t="shared" si="26"/>
        <v>21209.869791644043</v>
      </c>
      <c r="X128" s="61">
        <f t="shared" si="27"/>
        <v>148469.0885415083</v>
      </c>
      <c r="Y128" s="61">
        <f t="shared" si="28"/>
        <v>0</v>
      </c>
    </row>
    <row r="129" spans="1:25" x14ac:dyDescent="0.25">
      <c r="A129" s="51">
        <v>1300006430</v>
      </c>
      <c r="B129" s="51" t="s">
        <v>144</v>
      </c>
      <c r="C129" s="51" t="s">
        <v>140</v>
      </c>
      <c r="D129" s="51" t="s">
        <v>141</v>
      </c>
      <c r="E129" s="51" t="s">
        <v>161</v>
      </c>
      <c r="F129" s="52">
        <f>SUMIF('Customer Budget Per Category'!$A:$A,$A129,'Customer Budget Per Category'!$K:$K)</f>
        <v>0</v>
      </c>
      <c r="G129" s="52">
        <f>SUMIFS('Navision sales Dump'!$E:$E,'Navision sales Dump'!$K:$K,$E129,'Navision sales Dump'!$A:$A,$A129)</f>
        <v>0</v>
      </c>
      <c r="H129" s="62">
        <f>SUMIFS('Navision sales Dump'!$G:$G,'Navision sales Dump'!$K:$K,$E129,'Navision sales Dump'!$A:$A,$A129)</f>
        <v>0</v>
      </c>
      <c r="I129" s="72">
        <f>IFERROR(IF(($G129/$F129)&gt;='Discount Scheme Target'!$F$4,_xlfn.XLOOKUP($E129,'Discount Scheme Target'!$B:$B,'Discount Scheme Target'!$F:$F,0,0),IF(($G129/$F129)&gt;='Discount Scheme Target'!$E$4,_xlfn.XLOOKUP($E129,'Discount Scheme Target'!$B:$B,'Discount Scheme Target'!$E:$E,0,0),IF(($G129/$F129)&gt;='Discount Scheme Target'!$D$4,_xlfn.XLOOKUP($E129,'Discount Scheme Target'!$B:$B,'Discount Scheme Target'!$D:$D,0,0),0))),0)</f>
        <v>0</v>
      </c>
      <c r="J129" s="72">
        <f>IF(SUMIF('Customer Num Distr.'!$A:$A,Workings!$A129,'Customer Num Distr.'!$E:$E)&gt;='Discount Scheme Target'!$G$4,_xlfn.XLOOKUP(Workings!$E129,'Discount Scheme Target'!$B:$B,'Discount Scheme Target'!$G:$G,0,0),0)</f>
        <v>0</v>
      </c>
      <c r="K129" s="72">
        <f>IF(SUMIF('Bouclage EG Cust Cons_Decons'!$A:$A,Workings!$A129,'Bouclage EG Cust Cons_Decons'!$F:$F)&gt;='Discount Scheme Target'!$H$4,_xlfn.XLOOKUP(Workings!$E129,'Discount Scheme Target'!$B:$B,'Discount Scheme Target'!$H:$H,0,0),0)</f>
        <v>0</v>
      </c>
      <c r="L129" s="72">
        <f>IF(INDEX('TT Around time'!$A$1:$F$46,MATCH($A129,'TT Around time'!$A:$A,0),6)&gt;='Discount Scheme Target'!$I$4,_xlfn.XLOOKUP(Workings!$E129,'Discount Scheme Target'!$B:$B,'Discount Scheme Target'!$I:$I,0,0),0)</f>
        <v>0</v>
      </c>
      <c r="M129" s="72">
        <f t="shared" si="22"/>
        <v>0</v>
      </c>
      <c r="N129" s="62">
        <f t="shared" si="21"/>
        <v>0</v>
      </c>
      <c r="T129" s="61">
        <f t="shared" si="23"/>
        <v>0</v>
      </c>
      <c r="U129" s="61">
        <f t="shared" si="24"/>
        <v>0</v>
      </c>
      <c r="V129" s="61">
        <f t="shared" si="25"/>
        <v>0</v>
      </c>
      <c r="W129" s="61">
        <f t="shared" si="26"/>
        <v>0</v>
      </c>
      <c r="X129" s="61">
        <f t="shared" si="27"/>
        <v>0</v>
      </c>
      <c r="Y129" s="61">
        <f t="shared" si="28"/>
        <v>0</v>
      </c>
    </row>
    <row r="130" spans="1:25" x14ac:dyDescent="0.25">
      <c r="A130" s="51">
        <v>1300006430</v>
      </c>
      <c r="B130" s="51" t="s">
        <v>144</v>
      </c>
      <c r="C130" s="51" t="s">
        <v>140</v>
      </c>
      <c r="D130" s="51" t="s">
        <v>141</v>
      </c>
      <c r="E130" s="51" t="s">
        <v>354</v>
      </c>
      <c r="F130" s="52">
        <f>SUMIF('Customer Budget Per Category'!$A:$A,$A130,'Customer Budget Per Category'!$L:$L)</f>
        <v>5381.0306049906731</v>
      </c>
      <c r="G130" s="52">
        <f>SUMIFS('Navision sales Dump'!$E:$E,'Navision sales Dump'!$K:$K,$E130,'Navision sales Dump'!$A:$A,$A130)</f>
        <v>5613</v>
      </c>
      <c r="H130" s="62">
        <f>SUMIFS('Navision sales Dump'!$G:$G,'Navision sales Dump'!$K:$K,$E130,'Navision sales Dump'!$A:$A,$A130)</f>
        <v>19604788.859999999</v>
      </c>
      <c r="I130" s="72">
        <f>IFERROR(IF(($G130/$F130)&gt;='Discount Scheme Target'!$F$4,_xlfn.XLOOKUP($E130,'Discount Scheme Target'!$B:$B,'Discount Scheme Target'!$F:$F,0,0),IF(($G130/$F130)&gt;='Discount Scheme Target'!$E$4,_xlfn.XLOOKUP($E130,'Discount Scheme Target'!$B:$B,'Discount Scheme Target'!$E:$E,0,0),IF(($G130/$F130)&gt;='Discount Scheme Target'!$D$4,_xlfn.XLOOKUP($E130,'Discount Scheme Target'!$B:$B,'Discount Scheme Target'!$D:$D,0,0),0))),0)</f>
        <v>0.01</v>
      </c>
      <c r="J130" s="72">
        <f>IF(SUMIF('Customer Num Distr.'!$A:$A,Workings!$A130,'Customer Num Distr.'!$E:$E)&gt;='Discount Scheme Target'!$G$4,_xlfn.XLOOKUP(Workings!$E130,'Discount Scheme Target'!$B:$B,'Discount Scheme Target'!$G:$G,0,0),0)</f>
        <v>0</v>
      </c>
      <c r="K130" s="72">
        <f>IF(SUMIF('Bouclage EG Cust Cons_Decons'!$A:$A,Workings!$A130,'Bouclage EG Cust Cons_Decons'!$F:$F)&gt;='Discount Scheme Target'!$H$4,_xlfn.XLOOKUP(Workings!$E130,'Discount Scheme Target'!$B:$B,'Discount Scheme Target'!$H:$H,0,0),0)</f>
        <v>0</v>
      </c>
      <c r="L130" s="72">
        <f>IF(INDEX('TT Around time'!$A$1:$F$46,MATCH($A130,'TT Around time'!$A:$A,0),6)&gt;='Discount Scheme Target'!$I$4,_xlfn.XLOOKUP(Workings!$E130,'Discount Scheme Target'!$B:$B,'Discount Scheme Target'!$I:$I,0,0),0)</f>
        <v>5.0000000000000001E-3</v>
      </c>
      <c r="M130" s="72">
        <f t="shared" si="22"/>
        <v>1.4999999999999999E-2</v>
      </c>
      <c r="N130" s="62">
        <f t="shared" si="21"/>
        <v>281918.67680395563</v>
      </c>
      <c r="T130" s="61">
        <f t="shared" si="23"/>
        <v>187945.78453597042</v>
      </c>
      <c r="U130" s="61">
        <f t="shared" si="24"/>
        <v>0</v>
      </c>
      <c r="V130" s="61">
        <f t="shared" si="25"/>
        <v>0</v>
      </c>
      <c r="W130" s="61">
        <f t="shared" si="26"/>
        <v>93972.892267985211</v>
      </c>
      <c r="X130" s="61">
        <f t="shared" si="27"/>
        <v>281918.67680395563</v>
      </c>
      <c r="Y130" s="61">
        <f t="shared" si="28"/>
        <v>0</v>
      </c>
    </row>
    <row r="131" spans="1:25" x14ac:dyDescent="0.25">
      <c r="A131" s="51">
        <v>1300006430</v>
      </c>
      <c r="B131" s="51" t="s">
        <v>144</v>
      </c>
      <c r="C131" s="51" t="s">
        <v>140</v>
      </c>
      <c r="D131" s="51" t="s">
        <v>141</v>
      </c>
      <c r="E131" s="51" t="s">
        <v>355</v>
      </c>
      <c r="F131" s="52">
        <f>SUMIF('Customer Budget Per Category'!$A:$A,$A131,'Customer Budget Per Category'!$M:$M)</f>
        <v>2985.5572030742887</v>
      </c>
      <c r="G131" s="52">
        <f>SUMIFS('Navision sales Dump'!$E:$E,'Navision sales Dump'!$K:$K,$E131,'Navision sales Dump'!$A:$A,$A131)</f>
        <v>1861</v>
      </c>
      <c r="H131" s="62">
        <f>SUMIFS('Navision sales Dump'!$G:$G,'Navision sales Dump'!$K:$K,$E131,'Navision sales Dump'!$A:$A,$A131)</f>
        <v>4851356.71</v>
      </c>
      <c r="I131" s="72">
        <f>IFERROR(IF(($G131/$F131)&gt;='Discount Scheme Target'!$F$4,_xlfn.XLOOKUP($E131,'Discount Scheme Target'!$B:$B,'Discount Scheme Target'!$F:$F,0,0),IF(($G131/$F131)&gt;='Discount Scheme Target'!$E$4,_xlfn.XLOOKUP($E131,'Discount Scheme Target'!$B:$B,'Discount Scheme Target'!$E:$E,0,0),IF(($G131/$F131)&gt;='Discount Scheme Target'!$D$4,_xlfn.XLOOKUP($E131,'Discount Scheme Target'!$B:$B,'Discount Scheme Target'!$D:$D,0,0),0))),0)</f>
        <v>0</v>
      </c>
      <c r="J131" s="72">
        <f>IF(SUMIF('Customer Num Distr.'!$A:$A,Workings!$A131,'Customer Num Distr.'!$E:$E)&gt;='Discount Scheme Target'!$G$4,_xlfn.XLOOKUP(Workings!$E131,'Discount Scheme Target'!$B:$B,'Discount Scheme Target'!$G:$G,0,0),0)</f>
        <v>0</v>
      </c>
      <c r="K131" s="72">
        <f>IF(SUMIF('Bouclage EG Cust Cons_Decons'!$A:$A,Workings!$A131,'Bouclage EG Cust Cons_Decons'!$F:$F)&gt;='Discount Scheme Target'!$H$4,_xlfn.XLOOKUP(Workings!$E131,'Discount Scheme Target'!$B:$B,'Discount Scheme Target'!$H:$H,0,0),0)</f>
        <v>0</v>
      </c>
      <c r="L131" s="72">
        <f>IF(INDEX('TT Around time'!$A$1:$F$46,MATCH($A131,'TT Around time'!$A:$A,0),6)&gt;='Discount Scheme Target'!$I$4,_xlfn.XLOOKUP(Workings!$E131,'Discount Scheme Target'!$B:$B,'Discount Scheme Target'!$I:$I,0,0),0)</f>
        <v>5.0000000000000001E-3</v>
      </c>
      <c r="M131" s="72">
        <f t="shared" si="22"/>
        <v>5.0000000000000001E-3</v>
      </c>
      <c r="N131" s="62">
        <f t="shared" si="21"/>
        <v>38914.570043587541</v>
      </c>
      <c r="T131" s="61">
        <f t="shared" si="23"/>
        <v>0</v>
      </c>
      <c r="U131" s="61">
        <f t="shared" si="24"/>
        <v>0</v>
      </c>
      <c r="V131" s="61">
        <f t="shared" si="25"/>
        <v>0</v>
      </c>
      <c r="W131" s="61">
        <f t="shared" si="26"/>
        <v>38914.570043587541</v>
      </c>
      <c r="X131" s="61">
        <f t="shared" si="27"/>
        <v>38914.570043587541</v>
      </c>
      <c r="Y131" s="61">
        <f t="shared" si="28"/>
        <v>0</v>
      </c>
    </row>
    <row r="132" spans="1:25" x14ac:dyDescent="0.25">
      <c r="A132" s="51">
        <v>1300006430</v>
      </c>
      <c r="B132" s="51" t="s">
        <v>144</v>
      </c>
      <c r="C132" s="51" t="s">
        <v>140</v>
      </c>
      <c r="D132" s="51" t="s">
        <v>141</v>
      </c>
      <c r="E132" s="51" t="s">
        <v>132</v>
      </c>
      <c r="F132" s="52">
        <f>SUMIF('Customer Budget Per Category'!$A:$A,$A132,'Customer Budget Per Category'!$N:$N)</f>
        <v>635.34920011121551</v>
      </c>
      <c r="G132" s="52">
        <f>SUMIFS('Navision sales Dump'!$E:$E,'Navision sales Dump'!$K:$K,$E132,'Navision sales Dump'!$A:$A,$A132)</f>
        <v>432</v>
      </c>
      <c r="H132" s="62">
        <f>SUMIFS('Navision sales Dump'!$G:$G,'Navision sales Dump'!$K:$K,$E132,'Navision sales Dump'!$A:$A,$A132)</f>
        <v>942796.80000000005</v>
      </c>
      <c r="I132" s="72">
        <f>IFERROR(IF(($G132/$F132)&gt;='Discount Scheme Target'!$F$4,_xlfn.XLOOKUP($E132,'Discount Scheme Target'!$B:$B,'Discount Scheme Target'!$F:$F,0,0),IF(($G132/$F132)&gt;='Discount Scheme Target'!$E$4,_xlfn.XLOOKUP($E132,'Discount Scheme Target'!$B:$B,'Discount Scheme Target'!$E:$E,0,0),IF(($G132/$F132)&gt;='Discount Scheme Target'!$D$4,_xlfn.XLOOKUP($E132,'Discount Scheme Target'!$B:$B,'Discount Scheme Target'!$D:$D,0,0),0))),0)</f>
        <v>0</v>
      </c>
      <c r="J132" s="72">
        <f>IF(SUMIF('Customer Num Distr.'!$A:$A,Workings!$A132,'Customer Num Distr.'!$E:$E)&gt;='Discount Scheme Target'!$G$4,_xlfn.XLOOKUP(Workings!$E132,'Discount Scheme Target'!$B:$B,'Discount Scheme Target'!$G:$G,0,0),0)</f>
        <v>0</v>
      </c>
      <c r="K132" s="72">
        <f>IF(SUMIF('Bouclage EG Cust Cons_Decons'!$A:$A,Workings!$A132,'Bouclage EG Cust Cons_Decons'!$F:$F)&gt;='Discount Scheme Target'!$H$4,_xlfn.XLOOKUP(Workings!$E132,'Discount Scheme Target'!$B:$B,'Discount Scheme Target'!$H:$H,0,0),0)</f>
        <v>0</v>
      </c>
      <c r="L132" s="72">
        <f>IF(INDEX('TT Around time'!$A$1:$F$46,MATCH($A132,'TT Around time'!$A:$A,0),6)&gt;='Discount Scheme Target'!$I$4,_xlfn.XLOOKUP(Workings!$E132,'Discount Scheme Target'!$B:$B,'Discount Scheme Target'!$I:$I,0,0),0)</f>
        <v>5.0000000000000001E-3</v>
      </c>
      <c r="M132" s="72">
        <f t="shared" si="22"/>
        <v>5.0000000000000001E-3</v>
      </c>
      <c r="N132" s="62">
        <f t="shared" ref="N132:N217" si="29">IFERROR((H132/G132)*F132*M132,)</f>
        <v>6932.9304716135839</v>
      </c>
      <c r="T132" s="61">
        <f t="shared" si="23"/>
        <v>0</v>
      </c>
      <c r="U132" s="61">
        <f t="shared" si="24"/>
        <v>0</v>
      </c>
      <c r="V132" s="61">
        <f t="shared" si="25"/>
        <v>0</v>
      </c>
      <c r="W132" s="61">
        <f t="shared" si="26"/>
        <v>6932.9304716135839</v>
      </c>
      <c r="X132" s="61">
        <f t="shared" si="27"/>
        <v>6932.9304716135839</v>
      </c>
      <c r="Y132" s="61">
        <f t="shared" si="28"/>
        <v>0</v>
      </c>
    </row>
    <row r="133" spans="1:25" x14ac:dyDescent="0.25">
      <c r="A133" s="51">
        <v>1300006430</v>
      </c>
      <c r="B133" s="51" t="s">
        <v>144</v>
      </c>
      <c r="C133" s="51" t="s">
        <v>140</v>
      </c>
      <c r="D133" s="51" t="s">
        <v>141</v>
      </c>
      <c r="E133" s="51" t="s">
        <v>133</v>
      </c>
      <c r="F133" s="52">
        <f>SUMIF('Customer Budget Per Category'!$A:$A,$A133,'Customer Budget Per Category'!$O:$O)</f>
        <v>780.96586951382972</v>
      </c>
      <c r="G133" s="52">
        <f>SUMIFS('Navision sales Dump'!$E:$E,'Navision sales Dump'!$K:$K,$E133,'Navision sales Dump'!$A:$A,$A133)</f>
        <v>1148</v>
      </c>
      <c r="H133" s="62">
        <f>SUMIFS('Navision sales Dump'!$G:$G,'Navision sales Dump'!$K:$K,$E133,'Navision sales Dump'!$A:$A,$A133)</f>
        <v>11511432.24</v>
      </c>
      <c r="I133" s="72">
        <f>IFERROR(IF(($G133/$F133)&gt;='Discount Scheme Target'!$F$4,_xlfn.XLOOKUP($E133,'Discount Scheme Target'!$B:$B,'Discount Scheme Target'!$F:$F,0,0),IF(($G133/$F133)&gt;='Discount Scheme Target'!$E$4,_xlfn.XLOOKUP($E133,'Discount Scheme Target'!$B:$B,'Discount Scheme Target'!$E:$E,0,0),IF(($G133/$F133)&gt;='Discount Scheme Target'!$D$4,_xlfn.XLOOKUP($E133,'Discount Scheme Target'!$B:$B,'Discount Scheme Target'!$D:$D,0,0),0))),0)</f>
        <v>0.04</v>
      </c>
      <c r="J133" s="72">
        <f>IF(SUMIF('Customer Num Distr.'!$A:$A,Workings!$A133,'Customer Num Distr.'!$E:$E)&gt;='Discount Scheme Target'!$G$4,_xlfn.XLOOKUP(Workings!$E133,'Discount Scheme Target'!$B:$B,'Discount Scheme Target'!$G:$G,0,0),0)</f>
        <v>0</v>
      </c>
      <c r="K133" s="72">
        <f>IF(SUMIF('Bouclage EG Cust Cons_Decons'!$A:$A,Workings!$A133,'Bouclage EG Cust Cons_Decons'!$F:$F)&gt;='Discount Scheme Target'!$H$4,_xlfn.XLOOKUP(Workings!$E133,'Discount Scheme Target'!$B:$B,'Discount Scheme Target'!$H:$H,0,0),0)</f>
        <v>0</v>
      </c>
      <c r="L133" s="72">
        <f>IF(INDEX('TT Around time'!$A$1:$F$46,MATCH($A133,'TT Around time'!$A:$A,0),6)&gt;='Discount Scheme Target'!$I$4,_xlfn.XLOOKUP(Workings!$E133,'Discount Scheme Target'!$B:$B,'Discount Scheme Target'!$I:$I,0,0),0)</f>
        <v>5.0000000000000001E-3</v>
      </c>
      <c r="M133" s="72">
        <f t="shared" si="22"/>
        <v>4.4999999999999998E-2</v>
      </c>
      <c r="N133" s="62">
        <f t="shared" si="29"/>
        <v>352396.86932905135</v>
      </c>
      <c r="T133" s="61">
        <f t="shared" si="23"/>
        <v>313241.66162582347</v>
      </c>
      <c r="U133" s="61">
        <f t="shared" si="24"/>
        <v>0</v>
      </c>
      <c r="V133" s="61">
        <f t="shared" si="25"/>
        <v>0</v>
      </c>
      <c r="W133" s="61">
        <f t="shared" si="26"/>
        <v>39155.207703227934</v>
      </c>
      <c r="X133" s="61">
        <f t="shared" si="27"/>
        <v>352396.86932905141</v>
      </c>
      <c r="Y133" s="61">
        <f t="shared" si="28"/>
        <v>0</v>
      </c>
    </row>
    <row r="134" spans="1:25" x14ac:dyDescent="0.25">
      <c r="A134" s="51">
        <v>1300006447</v>
      </c>
      <c r="B134" s="51" t="s">
        <v>86</v>
      </c>
      <c r="C134" s="51" t="s">
        <v>140</v>
      </c>
      <c r="D134" s="51" t="s">
        <v>141</v>
      </c>
      <c r="E134" s="51" t="s">
        <v>417</v>
      </c>
      <c r="F134" s="52">
        <f>SUMIF('Customer Budget Per Category'!$A:$A,$A134,'Customer Budget Per Category'!$E:$E)</f>
        <v>12694.170681540123</v>
      </c>
      <c r="G134" s="52">
        <f>SUMIFS('Navision sales Dump'!$E:$E,'Navision sales Dump'!$K:$K,$E134,'Navision sales Dump'!$A:$A,$A134)</f>
        <v>12841</v>
      </c>
      <c r="H134" s="62">
        <f>SUMIFS('Navision sales Dump'!$G:$G,'Navision sales Dump'!$K:$K,$E134,'Navision sales Dump'!$A:$A,$A134)</f>
        <v>92775963.929999992</v>
      </c>
      <c r="I134" s="72">
        <f>IFERROR(IF(($G134/$F134)&gt;='Discount Scheme Target'!$F$4,_xlfn.XLOOKUP($E134,'Discount Scheme Target'!$B:$B,'Discount Scheme Target'!$F:$F,0,0),IF(($G134/$F134)&gt;='Discount Scheme Target'!$E$4,_xlfn.XLOOKUP($E134,'Discount Scheme Target'!$B:$B,'Discount Scheme Target'!$E:$E,0,0),IF(($G134/$F134)&gt;='Discount Scheme Target'!$D$4,_xlfn.XLOOKUP($E134,'Discount Scheme Target'!$B:$B,'Discount Scheme Target'!$D:$D,0,0),0))),0)</f>
        <v>1.4999999999999999E-2</v>
      </c>
      <c r="J134" s="72">
        <f>IF(SUMIF('Customer Num Distr.'!$A:$A,Workings!$A134,'Customer Num Distr.'!$E:$E)&gt;='Discount Scheme Target'!$G$4,_xlfn.XLOOKUP(Workings!$E134,'Discount Scheme Target'!$B:$B,'Discount Scheme Target'!$G:$G,0,0),0)</f>
        <v>0</v>
      </c>
      <c r="K134" s="72">
        <f>IF(SUMIF('Bouclage EG Cust Cons_Decons'!$A:$A,Workings!$A134,'Bouclage EG Cust Cons_Decons'!$F:$F)&gt;='Discount Scheme Target'!$H$4,_xlfn.XLOOKUP(Workings!$E134,'Discount Scheme Target'!$B:$B,'Discount Scheme Target'!$H:$H,0,0),0)</f>
        <v>0</v>
      </c>
      <c r="L134" s="72">
        <f>IF(INDEX('TT Around time'!$A$1:$F$46,MATCH($A134,'TT Around time'!$A:$A,0),6)&gt;='Discount Scheme Target'!$I$4,_xlfn.XLOOKUP(Workings!$E134,'Discount Scheme Target'!$B:$B,'Discount Scheme Target'!$I:$I,0,0),0)</f>
        <v>0</v>
      </c>
      <c r="M134" s="72">
        <f t="shared" si="22"/>
        <v>1.4999999999999999E-2</v>
      </c>
      <c r="N134" s="62">
        <f t="shared" si="29"/>
        <v>1375726.8763396502</v>
      </c>
      <c r="T134" s="61">
        <f t="shared" si="23"/>
        <v>1375726.8763396502</v>
      </c>
      <c r="U134" s="61">
        <f t="shared" si="24"/>
        <v>0</v>
      </c>
      <c r="V134" s="61">
        <f t="shared" si="25"/>
        <v>0</v>
      </c>
      <c r="W134" s="61">
        <f t="shared" si="26"/>
        <v>0</v>
      </c>
      <c r="X134" s="61">
        <f t="shared" si="27"/>
        <v>1375726.8763396502</v>
      </c>
      <c r="Y134" s="61">
        <f t="shared" si="28"/>
        <v>0</v>
      </c>
    </row>
    <row r="135" spans="1:25" x14ac:dyDescent="0.25">
      <c r="A135" s="51">
        <v>1300006447</v>
      </c>
      <c r="B135" s="51" t="s">
        <v>86</v>
      </c>
      <c r="C135" s="51" t="s">
        <v>140</v>
      </c>
      <c r="D135" s="51" t="s">
        <v>141</v>
      </c>
      <c r="E135" s="51" t="s">
        <v>418</v>
      </c>
      <c r="F135" s="52">
        <f>SUMIF('Customer Budget Per Category'!$A:$A,$A135,'Customer Budget Per Category'!$F:$F)</f>
        <v>0</v>
      </c>
      <c r="G135" s="52">
        <f>SUMIFS('Navision sales Dump'!$E:$E,'Navision sales Dump'!$K:$K,$E135,'Navision sales Dump'!$A:$A,$A135)</f>
        <v>0</v>
      </c>
      <c r="H135" s="62">
        <f>SUMIFS('Navision sales Dump'!$G:$G,'Navision sales Dump'!$K:$K,$E135,'Navision sales Dump'!$A:$A,$A135)</f>
        <v>0</v>
      </c>
      <c r="I135" s="72">
        <f>IFERROR(IF(($G135/$F135)&gt;='Discount Scheme Target'!$F$4,_xlfn.XLOOKUP($E135,'Discount Scheme Target'!$B:$B,'Discount Scheme Target'!$F:$F,0,0),IF(($G135/$F135)&gt;='Discount Scheme Target'!$E$4,_xlfn.XLOOKUP($E135,'Discount Scheme Target'!$B:$B,'Discount Scheme Target'!$E:$E,0,0),IF(($G135/$F135)&gt;='Discount Scheme Target'!$D$4,_xlfn.XLOOKUP($E135,'Discount Scheme Target'!$B:$B,'Discount Scheme Target'!$D:$D,0,0),0))),0)</f>
        <v>0</v>
      </c>
      <c r="J135" s="72">
        <f>IF(SUMIF('Customer Num Distr.'!$A:$A,Workings!$A135,'Customer Num Distr.'!$E:$E)&gt;='Discount Scheme Target'!$G$4,_xlfn.XLOOKUP(Workings!$E135,'Discount Scheme Target'!$B:$B,'Discount Scheme Target'!$G:$G,0,0),0)</f>
        <v>0</v>
      </c>
      <c r="K135" s="72">
        <f>IF(SUMIF('Bouclage EG Cust Cons_Decons'!$A:$A,Workings!$A135,'Bouclage EG Cust Cons_Decons'!$F:$F)&gt;='Discount Scheme Target'!$H$4,_xlfn.XLOOKUP(Workings!$E135,'Discount Scheme Target'!$B:$B,'Discount Scheme Target'!$H:$H,0,0),0)</f>
        <v>0</v>
      </c>
      <c r="L135" s="72">
        <f>IF(INDEX('TT Around time'!$A$1:$F$46,MATCH($A135,'TT Around time'!$A:$A,0),6)&gt;='Discount Scheme Target'!$I$4,_xlfn.XLOOKUP(Workings!$E135,'Discount Scheme Target'!$B:$B,'Discount Scheme Target'!$I:$I,0,0),0)</f>
        <v>0</v>
      </c>
      <c r="M135" s="72">
        <f t="shared" si="22"/>
        <v>0</v>
      </c>
      <c r="N135" s="62">
        <f t="shared" si="29"/>
        <v>0</v>
      </c>
      <c r="T135" s="61">
        <f t="shared" si="23"/>
        <v>0</v>
      </c>
      <c r="U135" s="61">
        <f t="shared" si="24"/>
        <v>0</v>
      </c>
      <c r="V135" s="61">
        <f t="shared" si="25"/>
        <v>0</v>
      </c>
      <c r="W135" s="61">
        <f t="shared" si="26"/>
        <v>0</v>
      </c>
      <c r="X135" s="61">
        <f t="shared" si="27"/>
        <v>0</v>
      </c>
      <c r="Y135" s="61">
        <f t="shared" si="28"/>
        <v>0</v>
      </c>
    </row>
    <row r="136" spans="1:25" x14ac:dyDescent="0.25">
      <c r="A136" s="51">
        <v>1300006447</v>
      </c>
      <c r="B136" s="51" t="s">
        <v>86</v>
      </c>
      <c r="C136" s="51" t="s">
        <v>140</v>
      </c>
      <c r="D136" s="51" t="s">
        <v>141</v>
      </c>
      <c r="E136" s="51" t="s">
        <v>130</v>
      </c>
      <c r="F136" s="52">
        <f>SUMIF('Customer Budget Per Category'!$A:$A,$A136,'Customer Budget Per Category'!$G:$G)</f>
        <v>322.2902242828149</v>
      </c>
      <c r="G136" s="52">
        <f>SUMIFS('Navision sales Dump'!$E:$E,'Navision sales Dump'!$K:$K,$E136,'Navision sales Dump'!$A:$A,$A136)</f>
        <v>418</v>
      </c>
      <c r="H136" s="62">
        <f>SUMIFS('Navision sales Dump'!$G:$G,'Navision sales Dump'!$K:$K,$E136,'Navision sales Dump'!$A:$A,$A136)</f>
        <v>3229183.76</v>
      </c>
      <c r="I136" s="72">
        <f>IFERROR(IF(($G136/$F136)&gt;='Discount Scheme Target'!$F$4,_xlfn.XLOOKUP($E136,'Discount Scheme Target'!$B:$B,'Discount Scheme Target'!$F:$F,0,0),IF(($G136/$F136)&gt;='Discount Scheme Target'!$E$4,_xlfn.XLOOKUP($E136,'Discount Scheme Target'!$B:$B,'Discount Scheme Target'!$E:$E,0,0),IF(($G136/$F136)&gt;='Discount Scheme Target'!$D$4,_xlfn.XLOOKUP($E136,'Discount Scheme Target'!$B:$B,'Discount Scheme Target'!$D:$D,0,0),0))),0)</f>
        <v>4.5000000000000005E-2</v>
      </c>
      <c r="J136" s="72">
        <f>IF(SUMIF('Customer Num Distr.'!$A:$A,Workings!$A136,'Customer Num Distr.'!$E:$E)&gt;='Discount Scheme Target'!$G$4,_xlfn.XLOOKUP(Workings!$E136,'Discount Scheme Target'!$B:$B,'Discount Scheme Target'!$G:$G,0,0),0)</f>
        <v>0</v>
      </c>
      <c r="K136" s="72">
        <f>IF(SUMIF('Bouclage EG Cust Cons_Decons'!$A:$A,Workings!$A136,'Bouclage EG Cust Cons_Decons'!$F:$F)&gt;='Discount Scheme Target'!$H$4,_xlfn.XLOOKUP(Workings!$E136,'Discount Scheme Target'!$B:$B,'Discount Scheme Target'!$H:$H,0,0),0)</f>
        <v>0</v>
      </c>
      <c r="L136" s="72">
        <f>IF(INDEX('TT Around time'!$A$1:$F$46,MATCH($A136,'TT Around time'!$A:$A,0),6)&gt;='Discount Scheme Target'!$I$4,_xlfn.XLOOKUP(Workings!$E136,'Discount Scheme Target'!$B:$B,'Discount Scheme Target'!$I:$I,0,0),0)</f>
        <v>0</v>
      </c>
      <c r="M136" s="72">
        <f t="shared" si="22"/>
        <v>4.5000000000000005E-2</v>
      </c>
      <c r="N136" s="62">
        <f t="shared" si="29"/>
        <v>112040.78019554321</v>
      </c>
      <c r="T136" s="61">
        <f t="shared" si="23"/>
        <v>112040.78019554321</v>
      </c>
      <c r="U136" s="61">
        <f t="shared" si="24"/>
        <v>0</v>
      </c>
      <c r="V136" s="61">
        <f t="shared" si="25"/>
        <v>0</v>
      </c>
      <c r="W136" s="61">
        <f t="shared" si="26"/>
        <v>0</v>
      </c>
      <c r="X136" s="61">
        <f t="shared" si="27"/>
        <v>112040.78019554321</v>
      </c>
      <c r="Y136" s="61">
        <f t="shared" si="28"/>
        <v>0</v>
      </c>
    </row>
    <row r="137" spans="1:25" x14ac:dyDescent="0.25">
      <c r="A137" s="51">
        <v>1300006447</v>
      </c>
      <c r="B137" s="51" t="s">
        <v>86</v>
      </c>
      <c r="C137" s="51" t="s">
        <v>140</v>
      </c>
      <c r="D137" s="51" t="s">
        <v>141</v>
      </c>
      <c r="E137" s="51" t="s">
        <v>131</v>
      </c>
      <c r="F137" s="52">
        <f>SUMIF('Customer Budget Per Category'!$A:$A,$A137,'Customer Budget Per Category'!$H:$H)</f>
        <v>28.577872941586502</v>
      </c>
      <c r="G137" s="52">
        <f>SUMIFS('Navision sales Dump'!$E:$E,'Navision sales Dump'!$K:$K,$E137,'Navision sales Dump'!$A:$A,$A137)</f>
        <v>40</v>
      </c>
      <c r="H137" s="62">
        <f>SUMIFS('Navision sales Dump'!$G:$G,'Navision sales Dump'!$K:$K,$E137,'Navision sales Dump'!$A:$A,$A137)</f>
        <v>1648435.7</v>
      </c>
      <c r="I137" s="72">
        <f>IFERROR(IF(($G137/$F137)&gt;='Discount Scheme Target'!$F$4,_xlfn.XLOOKUP($E137,'Discount Scheme Target'!$B:$B,'Discount Scheme Target'!$F:$F,0,0),IF(($G137/$F137)&gt;='Discount Scheme Target'!$E$4,_xlfn.XLOOKUP($E137,'Discount Scheme Target'!$B:$B,'Discount Scheme Target'!$E:$E,0,0),IF(($G137/$F137)&gt;='Discount Scheme Target'!$D$4,_xlfn.XLOOKUP($E137,'Discount Scheme Target'!$B:$B,'Discount Scheme Target'!$D:$D,0,0),0))),0)</f>
        <v>0.04</v>
      </c>
      <c r="J137" s="72">
        <f>IF(SUMIF('Customer Num Distr.'!$A:$A,Workings!$A137,'Customer Num Distr.'!$E:$E)&gt;='Discount Scheme Target'!$G$4,_xlfn.XLOOKUP(Workings!$E137,'Discount Scheme Target'!$B:$B,'Discount Scheme Target'!$G:$G,0,0),0)</f>
        <v>0</v>
      </c>
      <c r="K137" s="72">
        <f>IF(SUMIF('Bouclage EG Cust Cons_Decons'!$A:$A,Workings!$A137,'Bouclage EG Cust Cons_Decons'!$F:$F)&gt;='Discount Scheme Target'!$H$4,_xlfn.XLOOKUP(Workings!$E137,'Discount Scheme Target'!$B:$B,'Discount Scheme Target'!$H:$H,0,0),0)</f>
        <v>0</v>
      </c>
      <c r="L137" s="72">
        <f>IF(INDEX('TT Around time'!$A$1:$F$46,MATCH($A137,'TT Around time'!$A:$A,0),6)&gt;='Discount Scheme Target'!$I$4,_xlfn.XLOOKUP(Workings!$E137,'Discount Scheme Target'!$B:$B,'Discount Scheme Target'!$I:$I,0,0),0)</f>
        <v>0</v>
      </c>
      <c r="M137" s="72">
        <f t="shared" si="22"/>
        <v>0.04</v>
      </c>
      <c r="N137" s="62">
        <f t="shared" si="29"/>
        <v>47108.785986975206</v>
      </c>
      <c r="T137" s="61">
        <f t="shared" si="23"/>
        <v>47108.785986975206</v>
      </c>
      <c r="U137" s="61">
        <f t="shared" si="24"/>
        <v>0</v>
      </c>
      <c r="V137" s="61">
        <f t="shared" si="25"/>
        <v>0</v>
      </c>
      <c r="W137" s="61">
        <f t="shared" si="26"/>
        <v>0</v>
      </c>
      <c r="X137" s="61">
        <f t="shared" si="27"/>
        <v>47108.785986975206</v>
      </c>
      <c r="Y137" s="61">
        <f t="shared" si="28"/>
        <v>0</v>
      </c>
    </row>
    <row r="138" spans="1:25" x14ac:dyDescent="0.25">
      <c r="A138" s="51">
        <v>1300006447</v>
      </c>
      <c r="B138" s="51" t="s">
        <v>86</v>
      </c>
      <c r="C138" s="51" t="s">
        <v>140</v>
      </c>
      <c r="D138" s="51" t="s">
        <v>141</v>
      </c>
      <c r="E138" s="51" t="s">
        <v>514</v>
      </c>
      <c r="F138" s="52">
        <f>SUMIF('Customer Budget Per Category'!$A:$A,$A138,'Customer Budget Per Category'!$I:$I)</f>
        <v>9878.3476284936569</v>
      </c>
      <c r="G138" s="52">
        <f>SUMIFS('Navision sales Dump'!$E:$E,'Navision sales Dump'!$K:$K,$E138,'Navision sales Dump'!$A:$A,$A138)</f>
        <v>9982</v>
      </c>
      <c r="H138" s="62">
        <f>SUMIFS('Navision sales Dump'!$G:$G,'Navision sales Dump'!$K:$K,$E138,'Navision sales Dump'!$A:$A,$A138)</f>
        <v>39509055.460000001</v>
      </c>
      <c r="I138" s="72">
        <f>IFERROR(IF(($G138/$F138)&gt;='Discount Scheme Target'!$F$4,_xlfn.XLOOKUP($E138,'Discount Scheme Target'!$B:$B,'Discount Scheme Target'!$F:$F,0,0),IF(($G138/$F138)&gt;='Discount Scheme Target'!$E$4,_xlfn.XLOOKUP($E138,'Discount Scheme Target'!$B:$B,'Discount Scheme Target'!$E:$E,0,0),IF(($G138/$F138)&gt;='Discount Scheme Target'!$D$4,_xlfn.XLOOKUP($E138,'Discount Scheme Target'!$B:$B,'Discount Scheme Target'!$D:$D,0,0),0))),0)</f>
        <v>0.01</v>
      </c>
      <c r="J138" s="72">
        <f>IF(SUMIF('Customer Num Distr.'!$A:$A,Workings!$A138,'Customer Num Distr.'!$E:$E)&gt;='Discount Scheme Target'!$G$4,_xlfn.XLOOKUP(Workings!$E138,'Discount Scheme Target'!$B:$B,'Discount Scheme Target'!$G:$G,0,0),0)</f>
        <v>0</v>
      </c>
      <c r="K138" s="72">
        <f>IF(SUMIF('Bouclage EG Cust Cons_Decons'!$A:$A,Workings!$A138,'Bouclage EG Cust Cons_Decons'!$F:$F)&gt;='Discount Scheme Target'!$H$4,_xlfn.XLOOKUP(Workings!$E138,'Discount Scheme Target'!$B:$B,'Discount Scheme Target'!$H:$H,0,0),0)</f>
        <v>0</v>
      </c>
      <c r="L138" s="72">
        <f>IF(INDEX('TT Around time'!$A$1:$F$46,MATCH($A138,'TT Around time'!$A:$A,0),6)&gt;='Discount Scheme Target'!$I$4,_xlfn.XLOOKUP(Workings!$E138,'Discount Scheme Target'!$B:$B,'Discount Scheme Target'!$I:$I,0,0),0)</f>
        <v>0</v>
      </c>
      <c r="M138" s="72">
        <f t="shared" si="22"/>
        <v>0.01</v>
      </c>
      <c r="N138" s="62">
        <f t="shared" si="29"/>
        <v>390987.9626400675</v>
      </c>
      <c r="T138" s="61">
        <f t="shared" si="23"/>
        <v>390987.9626400675</v>
      </c>
      <c r="U138" s="61">
        <f t="shared" si="24"/>
        <v>0</v>
      </c>
      <c r="V138" s="61">
        <f t="shared" si="25"/>
        <v>0</v>
      </c>
      <c r="W138" s="61">
        <f t="shared" si="26"/>
        <v>0</v>
      </c>
      <c r="X138" s="61">
        <f t="shared" si="27"/>
        <v>390987.9626400675</v>
      </c>
      <c r="Y138" s="61">
        <f t="shared" si="28"/>
        <v>0</v>
      </c>
    </row>
    <row r="139" spans="1:25" x14ac:dyDescent="0.25">
      <c r="A139" s="51">
        <v>1300006447</v>
      </c>
      <c r="B139" s="51" t="s">
        <v>86</v>
      </c>
      <c r="C139" s="51" t="s">
        <v>140</v>
      </c>
      <c r="D139" s="51" t="s">
        <v>141</v>
      </c>
      <c r="E139" s="51" t="s">
        <v>515</v>
      </c>
      <c r="F139" s="52">
        <f>SUMIF('Customer Budget Per Category'!$A:$A,$A139,'Customer Budget Per Category'!$J:$J)</f>
        <v>910.54472766252661</v>
      </c>
      <c r="G139" s="52">
        <f>SUMIFS('Navision sales Dump'!$E:$E,'Navision sales Dump'!$K:$K,$E139,'Navision sales Dump'!$A:$A,$A139)</f>
        <v>288</v>
      </c>
      <c r="H139" s="62">
        <f>SUMIFS('Navision sales Dump'!$G:$G,'Navision sales Dump'!$K:$K,$E139,'Navision sales Dump'!$A:$A,$A139)</f>
        <v>812995.2</v>
      </c>
      <c r="I139" s="72">
        <f>IFERROR(IF(($G139/$F139)&gt;='Discount Scheme Target'!$F$4,_xlfn.XLOOKUP($E139,'Discount Scheme Target'!$B:$B,'Discount Scheme Target'!$F:$F,0,0),IF(($G139/$F139)&gt;='Discount Scheme Target'!$E$4,_xlfn.XLOOKUP($E139,'Discount Scheme Target'!$B:$B,'Discount Scheme Target'!$E:$E,0,0),IF(($G139/$F139)&gt;='Discount Scheme Target'!$D$4,_xlfn.XLOOKUP($E139,'Discount Scheme Target'!$B:$B,'Discount Scheme Target'!$D:$D,0,0),0))),0)</f>
        <v>0</v>
      </c>
      <c r="J139" s="72">
        <f>IF(SUMIF('Customer Num Distr.'!$A:$A,Workings!$A139,'Customer Num Distr.'!$E:$E)&gt;='Discount Scheme Target'!$G$4,_xlfn.XLOOKUP(Workings!$E139,'Discount Scheme Target'!$B:$B,'Discount Scheme Target'!$G:$G,0,0),0)</f>
        <v>0</v>
      </c>
      <c r="K139" s="72">
        <f>IF(SUMIF('Bouclage EG Cust Cons_Decons'!$A:$A,Workings!$A139,'Bouclage EG Cust Cons_Decons'!$F:$F)&gt;='Discount Scheme Target'!$H$4,_xlfn.XLOOKUP(Workings!$E139,'Discount Scheme Target'!$B:$B,'Discount Scheme Target'!$H:$H,0,0),0)</f>
        <v>0</v>
      </c>
      <c r="L139" s="72">
        <f>IF(INDEX('TT Around time'!$A$1:$F$46,MATCH($A139,'TT Around time'!$A:$A,0),6)&gt;='Discount Scheme Target'!$I$4,_xlfn.XLOOKUP(Workings!$E139,'Discount Scheme Target'!$B:$B,'Discount Scheme Target'!$I:$I,0,0),0)</f>
        <v>0</v>
      </c>
      <c r="M139" s="72">
        <f t="shared" si="22"/>
        <v>0</v>
      </c>
      <c r="N139" s="62">
        <f t="shared" si="29"/>
        <v>0</v>
      </c>
      <c r="T139" s="61">
        <f t="shared" si="23"/>
        <v>0</v>
      </c>
      <c r="U139" s="61">
        <f t="shared" si="24"/>
        <v>0</v>
      </c>
      <c r="V139" s="61">
        <f t="shared" si="25"/>
        <v>0</v>
      </c>
      <c r="W139" s="61">
        <f t="shared" si="26"/>
        <v>0</v>
      </c>
      <c r="X139" s="61">
        <f t="shared" si="27"/>
        <v>0</v>
      </c>
      <c r="Y139" s="61">
        <f t="shared" si="28"/>
        <v>0</v>
      </c>
    </row>
    <row r="140" spans="1:25" x14ac:dyDescent="0.25">
      <c r="A140" s="51">
        <v>1300006447</v>
      </c>
      <c r="B140" s="51" t="s">
        <v>86</v>
      </c>
      <c r="C140" s="51" t="s">
        <v>140</v>
      </c>
      <c r="D140" s="51" t="s">
        <v>141</v>
      </c>
      <c r="E140" s="51" t="s">
        <v>161</v>
      </c>
      <c r="F140" s="52">
        <f>SUMIF('Customer Budget Per Category'!$A:$A,$A140,'Customer Budget Per Category'!$K:$K)</f>
        <v>0</v>
      </c>
      <c r="G140" s="52">
        <f>SUMIFS('Navision sales Dump'!$E:$E,'Navision sales Dump'!$K:$K,$E140,'Navision sales Dump'!$A:$A,$A140)</f>
        <v>0</v>
      </c>
      <c r="H140" s="62">
        <f>SUMIFS('Navision sales Dump'!$G:$G,'Navision sales Dump'!$K:$K,$E140,'Navision sales Dump'!$A:$A,$A140)</f>
        <v>0</v>
      </c>
      <c r="I140" s="72">
        <f>IFERROR(IF(($G140/$F140)&gt;='Discount Scheme Target'!$F$4,_xlfn.XLOOKUP($E140,'Discount Scheme Target'!$B:$B,'Discount Scheme Target'!$F:$F,0,0),IF(($G140/$F140)&gt;='Discount Scheme Target'!$E$4,_xlfn.XLOOKUP($E140,'Discount Scheme Target'!$B:$B,'Discount Scheme Target'!$E:$E,0,0),IF(($G140/$F140)&gt;='Discount Scheme Target'!$D$4,_xlfn.XLOOKUP($E140,'Discount Scheme Target'!$B:$B,'Discount Scheme Target'!$D:$D,0,0),0))),0)</f>
        <v>0</v>
      </c>
      <c r="J140" s="72">
        <f>IF(SUMIF('Customer Num Distr.'!$A:$A,Workings!$A140,'Customer Num Distr.'!$E:$E)&gt;='Discount Scheme Target'!$G$4,_xlfn.XLOOKUP(Workings!$E140,'Discount Scheme Target'!$B:$B,'Discount Scheme Target'!$G:$G,0,0),0)</f>
        <v>0</v>
      </c>
      <c r="K140" s="72">
        <f>IF(SUMIF('Bouclage EG Cust Cons_Decons'!$A:$A,Workings!$A140,'Bouclage EG Cust Cons_Decons'!$F:$F)&gt;='Discount Scheme Target'!$H$4,_xlfn.XLOOKUP(Workings!$E140,'Discount Scheme Target'!$B:$B,'Discount Scheme Target'!$H:$H,0,0),0)</f>
        <v>0</v>
      </c>
      <c r="L140" s="72">
        <f>IF(INDEX('TT Around time'!$A$1:$F$46,MATCH($A140,'TT Around time'!$A:$A,0),6)&gt;='Discount Scheme Target'!$I$4,_xlfn.XLOOKUP(Workings!$E140,'Discount Scheme Target'!$B:$B,'Discount Scheme Target'!$I:$I,0,0),0)</f>
        <v>0</v>
      </c>
      <c r="M140" s="72">
        <f t="shared" si="22"/>
        <v>0</v>
      </c>
      <c r="N140" s="62">
        <f t="shared" si="29"/>
        <v>0</v>
      </c>
      <c r="T140" s="61">
        <f t="shared" si="23"/>
        <v>0</v>
      </c>
      <c r="U140" s="61">
        <f t="shared" si="24"/>
        <v>0</v>
      </c>
      <c r="V140" s="61">
        <f t="shared" si="25"/>
        <v>0</v>
      </c>
      <c r="W140" s="61">
        <f t="shared" si="26"/>
        <v>0</v>
      </c>
      <c r="X140" s="61">
        <f t="shared" si="27"/>
        <v>0</v>
      </c>
      <c r="Y140" s="61">
        <f t="shared" si="28"/>
        <v>0</v>
      </c>
    </row>
    <row r="141" spans="1:25" x14ac:dyDescent="0.25">
      <c r="A141" s="51">
        <v>1300006447</v>
      </c>
      <c r="B141" s="51" t="s">
        <v>86</v>
      </c>
      <c r="C141" s="51" t="s">
        <v>140</v>
      </c>
      <c r="D141" s="51" t="s">
        <v>141</v>
      </c>
      <c r="E141" s="51" t="s">
        <v>354</v>
      </c>
      <c r="F141" s="52">
        <f>SUMIF('Customer Budget Per Category'!$A:$A,$A141,'Customer Budget Per Category'!$L:$L)</f>
        <v>3260.5753566582089</v>
      </c>
      <c r="G141" s="52">
        <f>SUMIFS('Navision sales Dump'!$E:$E,'Navision sales Dump'!$K:$K,$E141,'Navision sales Dump'!$A:$A,$A141)</f>
        <v>1424.3</v>
      </c>
      <c r="H141" s="62">
        <f>SUMIFS('Navision sales Dump'!$G:$G,'Navision sales Dump'!$K:$K,$E141,'Navision sales Dump'!$A:$A,$A141)</f>
        <v>4697854.1500000004</v>
      </c>
      <c r="I141" s="72">
        <f>IFERROR(IF(($G141/$F141)&gt;='Discount Scheme Target'!$F$4,_xlfn.XLOOKUP($E141,'Discount Scheme Target'!$B:$B,'Discount Scheme Target'!$F:$F,0,0),IF(($G141/$F141)&gt;='Discount Scheme Target'!$E$4,_xlfn.XLOOKUP($E141,'Discount Scheme Target'!$B:$B,'Discount Scheme Target'!$E:$E,0,0),IF(($G141/$F141)&gt;='Discount Scheme Target'!$D$4,_xlfn.XLOOKUP($E141,'Discount Scheme Target'!$B:$B,'Discount Scheme Target'!$D:$D,0,0),0))),0)</f>
        <v>0</v>
      </c>
      <c r="J141" s="72">
        <f>IF(SUMIF('Customer Num Distr.'!$A:$A,Workings!$A141,'Customer Num Distr.'!$E:$E)&gt;='Discount Scheme Target'!$G$4,_xlfn.XLOOKUP(Workings!$E141,'Discount Scheme Target'!$B:$B,'Discount Scheme Target'!$G:$G,0,0),0)</f>
        <v>0</v>
      </c>
      <c r="K141" s="72">
        <f>IF(SUMIF('Bouclage EG Cust Cons_Decons'!$A:$A,Workings!$A141,'Bouclage EG Cust Cons_Decons'!$F:$F)&gt;='Discount Scheme Target'!$H$4,_xlfn.XLOOKUP(Workings!$E141,'Discount Scheme Target'!$B:$B,'Discount Scheme Target'!$H:$H,0,0),0)</f>
        <v>0</v>
      </c>
      <c r="L141" s="72">
        <f>IF(INDEX('TT Around time'!$A$1:$F$46,MATCH($A141,'TT Around time'!$A:$A,0),6)&gt;='Discount Scheme Target'!$I$4,_xlfn.XLOOKUP(Workings!$E141,'Discount Scheme Target'!$B:$B,'Discount Scheme Target'!$I:$I,0,0),0)</f>
        <v>0</v>
      </c>
      <c r="M141" s="72">
        <f t="shared" si="22"/>
        <v>0</v>
      </c>
      <c r="N141" s="62">
        <f t="shared" si="29"/>
        <v>0</v>
      </c>
      <c r="T141" s="61">
        <f t="shared" si="23"/>
        <v>0</v>
      </c>
      <c r="U141" s="61">
        <f t="shared" si="24"/>
        <v>0</v>
      </c>
      <c r="V141" s="61">
        <f t="shared" si="25"/>
        <v>0</v>
      </c>
      <c r="W141" s="61">
        <f t="shared" si="26"/>
        <v>0</v>
      </c>
      <c r="X141" s="61">
        <f t="shared" si="27"/>
        <v>0</v>
      </c>
      <c r="Y141" s="61">
        <f t="shared" si="28"/>
        <v>0</v>
      </c>
    </row>
    <row r="142" spans="1:25" x14ac:dyDescent="0.25">
      <c r="A142" s="51">
        <v>1300006447</v>
      </c>
      <c r="B142" s="51" t="s">
        <v>86</v>
      </c>
      <c r="C142" s="51" t="s">
        <v>140</v>
      </c>
      <c r="D142" s="51" t="s">
        <v>141</v>
      </c>
      <c r="E142" s="51" t="s">
        <v>355</v>
      </c>
      <c r="F142" s="52">
        <f>SUMIF('Customer Budget Per Category'!$A:$A,$A142,'Customer Budget Per Category'!$M:$M)</f>
        <v>1809.065020594564</v>
      </c>
      <c r="G142" s="52">
        <f>SUMIFS('Navision sales Dump'!$E:$E,'Navision sales Dump'!$K:$K,$E142,'Navision sales Dump'!$A:$A,$A142)</f>
        <v>575</v>
      </c>
      <c r="H142" s="62">
        <f>SUMIFS('Navision sales Dump'!$G:$G,'Navision sales Dump'!$K:$K,$E142,'Navision sales Dump'!$A:$A,$A142)</f>
        <v>1448954.8599999999</v>
      </c>
      <c r="I142" s="72">
        <f>IFERROR(IF(($G142/$F142)&gt;='Discount Scheme Target'!$F$4,_xlfn.XLOOKUP($E142,'Discount Scheme Target'!$B:$B,'Discount Scheme Target'!$F:$F,0,0),IF(($G142/$F142)&gt;='Discount Scheme Target'!$E$4,_xlfn.XLOOKUP($E142,'Discount Scheme Target'!$B:$B,'Discount Scheme Target'!$E:$E,0,0),IF(($G142/$F142)&gt;='Discount Scheme Target'!$D$4,_xlfn.XLOOKUP($E142,'Discount Scheme Target'!$B:$B,'Discount Scheme Target'!$D:$D,0,0),0))),0)</f>
        <v>0</v>
      </c>
      <c r="J142" s="72">
        <f>IF(SUMIF('Customer Num Distr.'!$A:$A,Workings!$A142,'Customer Num Distr.'!$E:$E)&gt;='Discount Scheme Target'!$G$4,_xlfn.XLOOKUP(Workings!$E142,'Discount Scheme Target'!$B:$B,'Discount Scheme Target'!$G:$G,0,0),0)</f>
        <v>0</v>
      </c>
      <c r="K142" s="72">
        <f>IF(SUMIF('Bouclage EG Cust Cons_Decons'!$A:$A,Workings!$A142,'Bouclage EG Cust Cons_Decons'!$F:$F)&gt;='Discount Scheme Target'!$H$4,_xlfn.XLOOKUP(Workings!$E142,'Discount Scheme Target'!$B:$B,'Discount Scheme Target'!$H:$H,0,0),0)</f>
        <v>0</v>
      </c>
      <c r="L142" s="72">
        <f>IF(INDEX('TT Around time'!$A$1:$F$46,MATCH($A142,'TT Around time'!$A:$A,0),6)&gt;='Discount Scheme Target'!$I$4,_xlfn.XLOOKUP(Workings!$E142,'Discount Scheme Target'!$B:$B,'Discount Scheme Target'!$I:$I,0,0),0)</f>
        <v>0</v>
      </c>
      <c r="M142" s="72">
        <f t="shared" si="22"/>
        <v>0</v>
      </c>
      <c r="N142" s="62">
        <f t="shared" si="29"/>
        <v>0</v>
      </c>
      <c r="T142" s="61">
        <f t="shared" si="23"/>
        <v>0</v>
      </c>
      <c r="U142" s="61">
        <f t="shared" si="24"/>
        <v>0</v>
      </c>
      <c r="V142" s="61">
        <f t="shared" si="25"/>
        <v>0</v>
      </c>
      <c r="W142" s="61">
        <f t="shared" si="26"/>
        <v>0</v>
      </c>
      <c r="X142" s="61">
        <f t="shared" si="27"/>
        <v>0</v>
      </c>
      <c r="Y142" s="61">
        <f t="shared" si="28"/>
        <v>0</v>
      </c>
    </row>
    <row r="143" spans="1:25" x14ac:dyDescent="0.25">
      <c r="A143" s="51">
        <v>1300006447</v>
      </c>
      <c r="B143" s="51" t="s">
        <v>86</v>
      </c>
      <c r="C143" s="51" t="s">
        <v>140</v>
      </c>
      <c r="D143" s="51" t="s">
        <v>141</v>
      </c>
      <c r="E143" s="51" t="s">
        <v>132</v>
      </c>
      <c r="F143" s="52">
        <f>SUMIF('Customer Budget Per Category'!$A:$A,$A143,'Customer Budget Per Category'!$N:$N)</f>
        <v>125.90648566327727</v>
      </c>
      <c r="G143" s="52">
        <f>SUMIFS('Navision sales Dump'!$E:$E,'Navision sales Dump'!$K:$K,$E143,'Navision sales Dump'!$A:$A,$A143)</f>
        <v>0</v>
      </c>
      <c r="H143" s="62">
        <f>SUMIFS('Navision sales Dump'!$G:$G,'Navision sales Dump'!$K:$K,$E143,'Navision sales Dump'!$A:$A,$A143)</f>
        <v>0</v>
      </c>
      <c r="I143" s="72">
        <f>IFERROR(IF(($G143/$F143)&gt;='Discount Scheme Target'!$F$4,_xlfn.XLOOKUP($E143,'Discount Scheme Target'!$B:$B,'Discount Scheme Target'!$F:$F,0,0),IF(($G143/$F143)&gt;='Discount Scheme Target'!$E$4,_xlfn.XLOOKUP($E143,'Discount Scheme Target'!$B:$B,'Discount Scheme Target'!$E:$E,0,0),IF(($G143/$F143)&gt;='Discount Scheme Target'!$D$4,_xlfn.XLOOKUP($E143,'Discount Scheme Target'!$B:$B,'Discount Scheme Target'!$D:$D,0,0),0))),0)</f>
        <v>0</v>
      </c>
      <c r="J143" s="72">
        <f>IF(SUMIF('Customer Num Distr.'!$A:$A,Workings!$A143,'Customer Num Distr.'!$E:$E)&gt;='Discount Scheme Target'!$G$4,_xlfn.XLOOKUP(Workings!$E143,'Discount Scheme Target'!$B:$B,'Discount Scheme Target'!$G:$G,0,0),0)</f>
        <v>0</v>
      </c>
      <c r="K143" s="72">
        <f>IF(SUMIF('Bouclage EG Cust Cons_Decons'!$A:$A,Workings!$A143,'Bouclage EG Cust Cons_Decons'!$F:$F)&gt;='Discount Scheme Target'!$H$4,_xlfn.XLOOKUP(Workings!$E143,'Discount Scheme Target'!$B:$B,'Discount Scheme Target'!$H:$H,0,0),0)</f>
        <v>0</v>
      </c>
      <c r="L143" s="72">
        <f>IF(INDEX('TT Around time'!$A$1:$F$46,MATCH($A143,'TT Around time'!$A:$A,0),6)&gt;='Discount Scheme Target'!$I$4,_xlfn.XLOOKUP(Workings!$E143,'Discount Scheme Target'!$B:$B,'Discount Scheme Target'!$I:$I,0,0),0)</f>
        <v>0</v>
      </c>
      <c r="M143" s="72">
        <f t="shared" si="22"/>
        <v>0</v>
      </c>
      <c r="N143" s="62">
        <f t="shared" si="29"/>
        <v>0</v>
      </c>
      <c r="T143" s="61">
        <f t="shared" si="23"/>
        <v>0</v>
      </c>
      <c r="U143" s="61">
        <f t="shared" si="24"/>
        <v>0</v>
      </c>
      <c r="V143" s="61">
        <f t="shared" si="25"/>
        <v>0</v>
      </c>
      <c r="W143" s="61">
        <f t="shared" si="26"/>
        <v>0</v>
      </c>
      <c r="X143" s="61">
        <f t="shared" si="27"/>
        <v>0</v>
      </c>
      <c r="Y143" s="61">
        <f t="shared" si="28"/>
        <v>0</v>
      </c>
    </row>
    <row r="144" spans="1:25" x14ac:dyDescent="0.25">
      <c r="A144" s="51">
        <v>1300006447</v>
      </c>
      <c r="B144" s="51" t="s">
        <v>86</v>
      </c>
      <c r="C144" s="51" t="s">
        <v>140</v>
      </c>
      <c r="D144" s="51" t="s">
        <v>141</v>
      </c>
      <c r="E144" s="51" t="s">
        <v>133</v>
      </c>
      <c r="F144" s="52">
        <f>SUMIF('Customer Budget Per Category'!$A:$A,$A144,'Customer Budget Per Category'!$O:$O)</f>
        <v>442.13975024632185</v>
      </c>
      <c r="G144" s="52">
        <f>SUMIFS('Navision sales Dump'!$E:$E,'Navision sales Dump'!$K:$K,$E144,'Navision sales Dump'!$A:$A,$A144)</f>
        <v>574</v>
      </c>
      <c r="H144" s="62">
        <f>SUMIFS('Navision sales Dump'!$G:$G,'Navision sales Dump'!$K:$K,$E144,'Navision sales Dump'!$A:$A,$A144)</f>
        <v>5755716.1200000001</v>
      </c>
      <c r="I144" s="72">
        <f>IFERROR(IF(($G144/$F144)&gt;='Discount Scheme Target'!$F$4,_xlfn.XLOOKUP($E144,'Discount Scheme Target'!$B:$B,'Discount Scheme Target'!$F:$F,0,0),IF(($G144/$F144)&gt;='Discount Scheme Target'!$E$4,_xlfn.XLOOKUP($E144,'Discount Scheme Target'!$B:$B,'Discount Scheme Target'!$E:$E,0,0),IF(($G144/$F144)&gt;='Discount Scheme Target'!$D$4,_xlfn.XLOOKUP($E144,'Discount Scheme Target'!$B:$B,'Discount Scheme Target'!$D:$D,0,0),0))),0)</f>
        <v>0.04</v>
      </c>
      <c r="J144" s="72">
        <f>IF(SUMIF('Customer Num Distr.'!$A:$A,Workings!$A144,'Customer Num Distr.'!$E:$E)&gt;='Discount Scheme Target'!$G$4,_xlfn.XLOOKUP(Workings!$E144,'Discount Scheme Target'!$B:$B,'Discount Scheme Target'!$G:$G,0,0),0)</f>
        <v>0</v>
      </c>
      <c r="K144" s="72">
        <f>IF(SUMIF('Bouclage EG Cust Cons_Decons'!$A:$A,Workings!$A144,'Bouclage EG Cust Cons_Decons'!$F:$F)&gt;='Discount Scheme Target'!$H$4,_xlfn.XLOOKUP(Workings!$E144,'Discount Scheme Target'!$B:$B,'Discount Scheme Target'!$H:$H,0,0),0)</f>
        <v>0</v>
      </c>
      <c r="L144" s="72">
        <f>IF(INDEX('TT Around time'!$A$1:$F$46,MATCH($A144,'TT Around time'!$A:$A,0),6)&gt;='Discount Scheme Target'!$I$4,_xlfn.XLOOKUP(Workings!$E144,'Discount Scheme Target'!$B:$B,'Discount Scheme Target'!$I:$I,0,0),0)</f>
        <v>0</v>
      </c>
      <c r="M144" s="72">
        <f t="shared" si="22"/>
        <v>0.04</v>
      </c>
      <c r="N144" s="62">
        <f t="shared" si="29"/>
        <v>177340.13155299853</v>
      </c>
      <c r="T144" s="61">
        <f t="shared" si="23"/>
        <v>177340.13155299853</v>
      </c>
      <c r="U144" s="61">
        <f t="shared" si="24"/>
        <v>0</v>
      </c>
      <c r="V144" s="61">
        <f t="shared" si="25"/>
        <v>0</v>
      </c>
      <c r="W144" s="61">
        <f t="shared" si="26"/>
        <v>0</v>
      </c>
      <c r="X144" s="61">
        <f t="shared" si="27"/>
        <v>177340.13155299853</v>
      </c>
      <c r="Y144" s="61">
        <f t="shared" si="28"/>
        <v>0</v>
      </c>
    </row>
    <row r="145" spans="1:25" x14ac:dyDescent="0.25">
      <c r="A145" s="51">
        <v>1300006452</v>
      </c>
      <c r="B145" s="51" t="s">
        <v>343</v>
      </c>
      <c r="C145" s="51" t="s">
        <v>140</v>
      </c>
      <c r="D145" s="51" t="s">
        <v>141</v>
      </c>
      <c r="E145" s="51" t="s">
        <v>417</v>
      </c>
      <c r="F145" s="52">
        <f>SUMIF('Customer Budget Per Category'!$A:$A,$A145,'Customer Budget Per Category'!$E:$E)</f>
        <v>8085.5092498135255</v>
      </c>
      <c r="G145" s="52">
        <f>SUMIFS('Navision sales Dump'!$E:$E,'Navision sales Dump'!$K:$K,$E145,'Navision sales Dump'!$A:$A,$A145)</f>
        <v>5808</v>
      </c>
      <c r="H145" s="62">
        <f>SUMIFS('Navision sales Dump'!$G:$G,'Navision sales Dump'!$K:$K,$E145,'Navision sales Dump'!$A:$A,$A145)</f>
        <v>40236054.379999995</v>
      </c>
      <c r="I145" s="72">
        <f>IFERROR(IF(($G145/$F145)&gt;='Discount Scheme Target'!$F$4,_xlfn.XLOOKUP($E145,'Discount Scheme Target'!$B:$B,'Discount Scheme Target'!$F:$F,0,0),IF(($G145/$F145)&gt;='Discount Scheme Target'!$E$4,_xlfn.XLOOKUP($E145,'Discount Scheme Target'!$B:$B,'Discount Scheme Target'!$E:$E,0,0),IF(($G145/$F145)&gt;='Discount Scheme Target'!$D$4,_xlfn.XLOOKUP($E145,'Discount Scheme Target'!$B:$B,'Discount Scheme Target'!$D:$D,0,0),0))),0)</f>
        <v>0</v>
      </c>
      <c r="J145" s="72">
        <f>IF(SUMIF('Customer Num Distr.'!$A:$A,Workings!$A145,'Customer Num Distr.'!$E:$E)&gt;='Discount Scheme Target'!$G$4,_xlfn.XLOOKUP(Workings!$E145,'Discount Scheme Target'!$B:$B,'Discount Scheme Target'!$G:$G,0,0),0)</f>
        <v>0</v>
      </c>
      <c r="K145" s="72">
        <f>IF(SUMIF('Bouclage EG Cust Cons_Decons'!$A:$A,Workings!$A145,'Bouclage EG Cust Cons_Decons'!$F:$F)&gt;='Discount Scheme Target'!$H$4,_xlfn.XLOOKUP(Workings!$E145,'Discount Scheme Target'!$B:$B,'Discount Scheme Target'!$H:$H,0,0),0)</f>
        <v>5.0000000000000001E-3</v>
      </c>
      <c r="L145" s="72">
        <f>IF(INDEX('TT Around time'!$A$1:$F$46,MATCH($A145,'TT Around time'!$A:$A,0),6)&gt;='Discount Scheme Target'!$I$4,_xlfn.XLOOKUP(Workings!$E145,'Discount Scheme Target'!$B:$B,'Discount Scheme Target'!$I:$I,0,0),0)</f>
        <v>0.01</v>
      </c>
      <c r="M145" s="72">
        <f t="shared" si="22"/>
        <v>1.4999999999999999E-2</v>
      </c>
      <c r="N145" s="62">
        <f t="shared" si="29"/>
        <v>840209.16804103809</v>
      </c>
      <c r="T145" s="61">
        <f t="shared" si="23"/>
        <v>0</v>
      </c>
      <c r="U145" s="61">
        <f t="shared" si="24"/>
        <v>0</v>
      </c>
      <c r="V145" s="61">
        <f t="shared" si="25"/>
        <v>280069.72268034605</v>
      </c>
      <c r="W145" s="61">
        <f t="shared" si="26"/>
        <v>560139.4453606921</v>
      </c>
      <c r="X145" s="61">
        <f t="shared" si="27"/>
        <v>840209.16804103809</v>
      </c>
      <c r="Y145" s="61">
        <f t="shared" si="28"/>
        <v>0</v>
      </c>
    </row>
    <row r="146" spans="1:25" x14ac:dyDescent="0.25">
      <c r="A146" s="51">
        <v>1300006452</v>
      </c>
      <c r="B146" s="51" t="s">
        <v>343</v>
      </c>
      <c r="C146" s="51" t="s">
        <v>140</v>
      </c>
      <c r="D146" s="51" t="s">
        <v>141</v>
      </c>
      <c r="E146" s="51" t="s">
        <v>418</v>
      </c>
      <c r="F146" s="52">
        <f>SUMIF('Customer Budget Per Category'!$A:$A,$A146,'Customer Budget Per Category'!$F:$F)</f>
        <v>0</v>
      </c>
      <c r="G146" s="52">
        <f>SUMIFS('Navision sales Dump'!$E:$E,'Navision sales Dump'!$K:$K,$E146,'Navision sales Dump'!$A:$A,$A146)</f>
        <v>0</v>
      </c>
      <c r="H146" s="62">
        <f>SUMIFS('Navision sales Dump'!$G:$G,'Navision sales Dump'!$K:$K,$E146,'Navision sales Dump'!$A:$A,$A146)</f>
        <v>0</v>
      </c>
      <c r="I146" s="72">
        <f>IFERROR(IF(($G146/$F146)&gt;='Discount Scheme Target'!$F$4,_xlfn.XLOOKUP($E146,'Discount Scheme Target'!$B:$B,'Discount Scheme Target'!$F:$F,0,0),IF(($G146/$F146)&gt;='Discount Scheme Target'!$E$4,_xlfn.XLOOKUP($E146,'Discount Scheme Target'!$B:$B,'Discount Scheme Target'!$E:$E,0,0),IF(($G146/$F146)&gt;='Discount Scheme Target'!$D$4,_xlfn.XLOOKUP($E146,'Discount Scheme Target'!$B:$B,'Discount Scheme Target'!$D:$D,0,0),0))),0)</f>
        <v>0</v>
      </c>
      <c r="J146" s="72">
        <f>IF(SUMIF('Customer Num Distr.'!$A:$A,Workings!$A146,'Customer Num Distr.'!$E:$E)&gt;='Discount Scheme Target'!$G$4,_xlfn.XLOOKUP(Workings!$E146,'Discount Scheme Target'!$B:$B,'Discount Scheme Target'!$G:$G,0,0),0)</f>
        <v>0</v>
      </c>
      <c r="K146" s="72">
        <f>IF(SUMIF('Bouclage EG Cust Cons_Decons'!$A:$A,Workings!$A146,'Bouclage EG Cust Cons_Decons'!$F:$F)&gt;='Discount Scheme Target'!$H$4,_xlfn.XLOOKUP(Workings!$E146,'Discount Scheme Target'!$B:$B,'Discount Scheme Target'!$H:$H,0,0),0)</f>
        <v>0</v>
      </c>
      <c r="L146" s="72">
        <f>IF(INDEX('TT Around time'!$A$1:$F$46,MATCH($A146,'TT Around time'!$A:$A,0),6)&gt;='Discount Scheme Target'!$I$4,_xlfn.XLOOKUP(Workings!$E146,'Discount Scheme Target'!$B:$B,'Discount Scheme Target'!$I:$I,0,0),0)</f>
        <v>0</v>
      </c>
      <c r="M146" s="72">
        <f t="shared" si="22"/>
        <v>0</v>
      </c>
      <c r="N146" s="62">
        <f t="shared" si="29"/>
        <v>0</v>
      </c>
      <c r="T146" s="61">
        <f t="shared" si="23"/>
        <v>0</v>
      </c>
      <c r="U146" s="61">
        <f t="shared" si="24"/>
        <v>0</v>
      </c>
      <c r="V146" s="61">
        <f t="shared" si="25"/>
        <v>0</v>
      </c>
      <c r="W146" s="61">
        <f t="shared" si="26"/>
        <v>0</v>
      </c>
      <c r="X146" s="61">
        <f t="shared" si="27"/>
        <v>0</v>
      </c>
      <c r="Y146" s="61">
        <f t="shared" si="28"/>
        <v>0</v>
      </c>
    </row>
    <row r="147" spans="1:25" x14ac:dyDescent="0.25">
      <c r="A147" s="51">
        <v>1300006452</v>
      </c>
      <c r="B147" s="51" t="s">
        <v>343</v>
      </c>
      <c r="C147" s="51" t="s">
        <v>140</v>
      </c>
      <c r="D147" s="51" t="s">
        <v>141</v>
      </c>
      <c r="E147" s="51" t="s">
        <v>130</v>
      </c>
      <c r="F147" s="52">
        <f>SUMIF('Customer Budget Per Category'!$A:$A,$A147,'Customer Budget Per Category'!$G:$G)</f>
        <v>195.93946000823257</v>
      </c>
      <c r="G147" s="52">
        <f>SUMIFS('Navision sales Dump'!$E:$E,'Navision sales Dump'!$K:$K,$E147,'Navision sales Dump'!$A:$A,$A147)</f>
        <v>0</v>
      </c>
      <c r="H147" s="62">
        <f>SUMIFS('Navision sales Dump'!$G:$G,'Navision sales Dump'!$K:$K,$E147,'Navision sales Dump'!$A:$A,$A147)</f>
        <v>0</v>
      </c>
      <c r="I147" s="72">
        <f>IFERROR(IF(($G147/$F147)&gt;='Discount Scheme Target'!$F$4,_xlfn.XLOOKUP($E147,'Discount Scheme Target'!$B:$B,'Discount Scheme Target'!$F:$F,0,0),IF(($G147/$F147)&gt;='Discount Scheme Target'!$E$4,_xlfn.XLOOKUP($E147,'Discount Scheme Target'!$B:$B,'Discount Scheme Target'!$E:$E,0,0),IF(($G147/$F147)&gt;='Discount Scheme Target'!$D$4,_xlfn.XLOOKUP($E147,'Discount Scheme Target'!$B:$B,'Discount Scheme Target'!$D:$D,0,0),0))),0)</f>
        <v>0</v>
      </c>
      <c r="J147" s="72">
        <f>IF(SUMIF('Customer Num Distr.'!$A:$A,Workings!$A147,'Customer Num Distr.'!$E:$E)&gt;='Discount Scheme Target'!$G$4,_xlfn.XLOOKUP(Workings!$E147,'Discount Scheme Target'!$B:$B,'Discount Scheme Target'!$G:$G,0,0),0)</f>
        <v>0</v>
      </c>
      <c r="K147" s="72">
        <f>IF(SUMIF('Bouclage EG Cust Cons_Decons'!$A:$A,Workings!$A147,'Bouclage EG Cust Cons_Decons'!$F:$F)&gt;='Discount Scheme Target'!$H$4,_xlfn.XLOOKUP(Workings!$E147,'Discount Scheme Target'!$B:$B,'Discount Scheme Target'!$H:$H,0,0),0)</f>
        <v>5.0000000000000001E-3</v>
      </c>
      <c r="L147" s="72">
        <f>IF(INDEX('TT Around time'!$A$1:$F$46,MATCH($A147,'TT Around time'!$A:$A,0),6)&gt;='Discount Scheme Target'!$I$4,_xlfn.XLOOKUP(Workings!$E147,'Discount Scheme Target'!$B:$B,'Discount Scheme Target'!$I:$I,0,0),0)</f>
        <v>0.01</v>
      </c>
      <c r="M147" s="72">
        <f t="shared" si="22"/>
        <v>1.4999999999999999E-2</v>
      </c>
      <c r="N147" s="62">
        <f t="shared" si="29"/>
        <v>0</v>
      </c>
      <c r="T147" s="61">
        <f t="shared" si="23"/>
        <v>0</v>
      </c>
      <c r="U147" s="61">
        <f t="shared" si="24"/>
        <v>0</v>
      </c>
      <c r="V147" s="61">
        <f t="shared" si="25"/>
        <v>0</v>
      </c>
      <c r="W147" s="61">
        <f t="shared" si="26"/>
        <v>0</v>
      </c>
      <c r="X147" s="61">
        <f t="shared" si="27"/>
        <v>0</v>
      </c>
      <c r="Y147" s="61">
        <f t="shared" si="28"/>
        <v>0</v>
      </c>
    </row>
    <row r="148" spans="1:25" x14ac:dyDescent="0.25">
      <c r="A148" s="51">
        <v>1300006452</v>
      </c>
      <c r="B148" s="51" t="s">
        <v>343</v>
      </c>
      <c r="C148" s="51" t="s">
        <v>140</v>
      </c>
      <c r="D148" s="51" t="s">
        <v>141</v>
      </c>
      <c r="E148" s="51" t="s">
        <v>131</v>
      </c>
      <c r="F148" s="52">
        <f>SUMIF('Customer Budget Per Category'!$A:$A,$A148,'Customer Budget Per Category'!$H:$H)</f>
        <v>48.931048865997155</v>
      </c>
      <c r="G148" s="52">
        <f>SUMIFS('Navision sales Dump'!$E:$E,'Navision sales Dump'!$K:$K,$E148,'Navision sales Dump'!$A:$A,$A148)</f>
        <v>0</v>
      </c>
      <c r="H148" s="62">
        <f>SUMIFS('Navision sales Dump'!$G:$G,'Navision sales Dump'!$K:$K,$E148,'Navision sales Dump'!$A:$A,$A148)</f>
        <v>0</v>
      </c>
      <c r="I148" s="72">
        <f>IFERROR(IF(($G148/$F148)&gt;='Discount Scheme Target'!$F$4,_xlfn.XLOOKUP($E148,'Discount Scheme Target'!$B:$B,'Discount Scheme Target'!$F:$F,0,0),IF(($G148/$F148)&gt;='Discount Scheme Target'!$E$4,_xlfn.XLOOKUP($E148,'Discount Scheme Target'!$B:$B,'Discount Scheme Target'!$E:$E,0,0),IF(($G148/$F148)&gt;='Discount Scheme Target'!$D$4,_xlfn.XLOOKUP($E148,'Discount Scheme Target'!$B:$B,'Discount Scheme Target'!$D:$D,0,0),0))),0)</f>
        <v>0</v>
      </c>
      <c r="J148" s="72">
        <f>IF(SUMIF('Customer Num Distr.'!$A:$A,Workings!$A148,'Customer Num Distr.'!$E:$E)&gt;='Discount Scheme Target'!$G$4,_xlfn.XLOOKUP(Workings!$E148,'Discount Scheme Target'!$B:$B,'Discount Scheme Target'!$G:$G,0,0),0)</f>
        <v>0</v>
      </c>
      <c r="K148" s="72">
        <f>IF(SUMIF('Bouclage EG Cust Cons_Decons'!$A:$A,Workings!$A148,'Bouclage EG Cust Cons_Decons'!$F:$F)&gt;='Discount Scheme Target'!$H$4,_xlfn.XLOOKUP(Workings!$E148,'Discount Scheme Target'!$B:$B,'Discount Scheme Target'!$H:$H,0,0),0)</f>
        <v>5.0000000000000001E-3</v>
      </c>
      <c r="L148" s="72">
        <f>IF(INDEX('TT Around time'!$A$1:$F$46,MATCH($A148,'TT Around time'!$A:$A,0),6)&gt;='Discount Scheme Target'!$I$4,_xlfn.XLOOKUP(Workings!$E148,'Discount Scheme Target'!$B:$B,'Discount Scheme Target'!$I:$I,0,0),0)</f>
        <v>5.0000000000000001E-3</v>
      </c>
      <c r="M148" s="72">
        <f t="shared" si="22"/>
        <v>0.01</v>
      </c>
      <c r="N148" s="62">
        <f t="shared" si="29"/>
        <v>0</v>
      </c>
      <c r="T148" s="61">
        <f t="shared" si="23"/>
        <v>0</v>
      </c>
      <c r="U148" s="61">
        <f t="shared" si="24"/>
        <v>0</v>
      </c>
      <c r="V148" s="61">
        <f t="shared" si="25"/>
        <v>0</v>
      </c>
      <c r="W148" s="61">
        <f t="shared" si="26"/>
        <v>0</v>
      </c>
      <c r="X148" s="61">
        <f t="shared" si="27"/>
        <v>0</v>
      </c>
      <c r="Y148" s="61">
        <f t="shared" si="28"/>
        <v>0</v>
      </c>
    </row>
    <row r="149" spans="1:25" x14ac:dyDescent="0.25">
      <c r="A149" s="51">
        <v>1300006452</v>
      </c>
      <c r="B149" s="51" t="s">
        <v>343</v>
      </c>
      <c r="C149" s="51" t="s">
        <v>140</v>
      </c>
      <c r="D149" s="51" t="s">
        <v>141</v>
      </c>
      <c r="E149" s="51" t="s">
        <v>514</v>
      </c>
      <c r="F149" s="52">
        <f>SUMIF('Customer Budget Per Category'!$A:$A,$A149,'Customer Budget Per Category'!$I:$I)</f>
        <v>3207.0874638823757</v>
      </c>
      <c r="G149" s="52">
        <f>SUMIFS('Navision sales Dump'!$E:$E,'Navision sales Dump'!$K:$K,$E149,'Navision sales Dump'!$A:$A,$A149)</f>
        <v>2158</v>
      </c>
      <c r="H149" s="62">
        <f>SUMIFS('Navision sales Dump'!$G:$G,'Navision sales Dump'!$K:$K,$E149,'Navision sales Dump'!$A:$A,$A149)</f>
        <v>8541428.7400000002</v>
      </c>
      <c r="I149" s="72">
        <f>IFERROR(IF(($G149/$F149)&gt;='Discount Scheme Target'!$F$4,_xlfn.XLOOKUP($E149,'Discount Scheme Target'!$B:$B,'Discount Scheme Target'!$F:$F,0,0),IF(($G149/$F149)&gt;='Discount Scheme Target'!$E$4,_xlfn.XLOOKUP($E149,'Discount Scheme Target'!$B:$B,'Discount Scheme Target'!$E:$E,0,0),IF(($G149/$F149)&gt;='Discount Scheme Target'!$D$4,_xlfn.XLOOKUP($E149,'Discount Scheme Target'!$B:$B,'Discount Scheme Target'!$D:$D,0,0),0))),0)</f>
        <v>0</v>
      </c>
      <c r="J149" s="72">
        <f>IF(SUMIF('Customer Num Distr.'!$A:$A,Workings!$A149,'Customer Num Distr.'!$E:$E)&gt;='Discount Scheme Target'!$G$4,_xlfn.XLOOKUP(Workings!$E149,'Discount Scheme Target'!$B:$B,'Discount Scheme Target'!$G:$G,0,0),0)</f>
        <v>0</v>
      </c>
      <c r="K149" s="72">
        <f>IF(SUMIF('Bouclage EG Cust Cons_Decons'!$A:$A,Workings!$A149,'Bouclage EG Cust Cons_Decons'!$F:$F)&gt;='Discount Scheme Target'!$H$4,_xlfn.XLOOKUP(Workings!$E149,'Discount Scheme Target'!$B:$B,'Discount Scheme Target'!$H:$H,0,0),0)</f>
        <v>5.0000000000000001E-3</v>
      </c>
      <c r="L149" s="72">
        <f>IF(INDEX('TT Around time'!$A$1:$F$46,MATCH($A149,'TT Around time'!$A:$A,0),6)&gt;='Discount Scheme Target'!$I$4,_xlfn.XLOOKUP(Workings!$E149,'Discount Scheme Target'!$B:$B,'Discount Scheme Target'!$I:$I,0,0),0)</f>
        <v>5.0000000000000001E-3</v>
      </c>
      <c r="M149" s="72">
        <f t="shared" si="22"/>
        <v>0.01</v>
      </c>
      <c r="N149" s="62">
        <f t="shared" si="29"/>
        <v>126937.48394670361</v>
      </c>
      <c r="T149" s="61">
        <f t="shared" si="23"/>
        <v>0</v>
      </c>
      <c r="U149" s="61">
        <f t="shared" si="24"/>
        <v>0</v>
      </c>
      <c r="V149" s="61">
        <f t="shared" si="25"/>
        <v>63468.741973351804</v>
      </c>
      <c r="W149" s="61">
        <f t="shared" si="26"/>
        <v>63468.741973351804</v>
      </c>
      <c r="X149" s="61">
        <f t="shared" si="27"/>
        <v>126937.48394670361</v>
      </c>
      <c r="Y149" s="61">
        <f t="shared" si="28"/>
        <v>0</v>
      </c>
    </row>
    <row r="150" spans="1:25" x14ac:dyDescent="0.25">
      <c r="A150" s="51">
        <v>1300006452</v>
      </c>
      <c r="B150" s="51" t="s">
        <v>343</v>
      </c>
      <c r="C150" s="51" t="s">
        <v>140</v>
      </c>
      <c r="D150" s="51" t="s">
        <v>141</v>
      </c>
      <c r="E150" s="51" t="s">
        <v>515</v>
      </c>
      <c r="F150" s="52">
        <f>SUMIF('Customer Budget Per Category'!$A:$A,$A150,'Customer Budget Per Category'!$J:$J)</f>
        <v>372.24504615041809</v>
      </c>
      <c r="G150" s="52">
        <f>SUMIFS('Navision sales Dump'!$E:$E,'Navision sales Dump'!$K:$K,$E150,'Navision sales Dump'!$A:$A,$A150)</f>
        <v>288</v>
      </c>
      <c r="H150" s="62">
        <f>SUMIFS('Navision sales Dump'!$G:$G,'Navision sales Dump'!$K:$K,$E150,'Navision sales Dump'!$A:$A,$A150)</f>
        <v>812995.2</v>
      </c>
      <c r="I150" s="72">
        <f>IFERROR(IF(($G150/$F150)&gt;='Discount Scheme Target'!$F$4,_xlfn.XLOOKUP($E150,'Discount Scheme Target'!$B:$B,'Discount Scheme Target'!$F:$F,0,0),IF(($G150/$F150)&gt;='Discount Scheme Target'!$E$4,_xlfn.XLOOKUP($E150,'Discount Scheme Target'!$B:$B,'Discount Scheme Target'!$E:$E,0,0),IF(($G150/$F150)&gt;='Discount Scheme Target'!$D$4,_xlfn.XLOOKUP($E150,'Discount Scheme Target'!$B:$B,'Discount Scheme Target'!$D:$D,0,0),0))),0)</f>
        <v>0</v>
      </c>
      <c r="J150" s="72">
        <f>IF(SUMIF('Customer Num Distr.'!$A:$A,Workings!$A150,'Customer Num Distr.'!$E:$E)&gt;='Discount Scheme Target'!$G$4,_xlfn.XLOOKUP(Workings!$E150,'Discount Scheme Target'!$B:$B,'Discount Scheme Target'!$G:$G,0,0),0)</f>
        <v>0</v>
      </c>
      <c r="K150" s="72">
        <f>IF(SUMIF('Bouclage EG Cust Cons_Decons'!$A:$A,Workings!$A150,'Bouclage EG Cust Cons_Decons'!$F:$F)&gt;='Discount Scheme Target'!$H$4,_xlfn.XLOOKUP(Workings!$E150,'Discount Scheme Target'!$B:$B,'Discount Scheme Target'!$H:$H,0,0),0)</f>
        <v>5.0000000000000001E-3</v>
      </c>
      <c r="L150" s="72">
        <f>IF(INDEX('TT Around time'!$A$1:$F$46,MATCH($A150,'TT Around time'!$A:$A,0),6)&gt;='Discount Scheme Target'!$I$4,_xlfn.XLOOKUP(Workings!$E150,'Discount Scheme Target'!$B:$B,'Discount Scheme Target'!$I:$I,0,0),0)</f>
        <v>5.0000000000000001E-3</v>
      </c>
      <c r="M150" s="72">
        <f t="shared" si="22"/>
        <v>0.01</v>
      </c>
      <c r="N150" s="62">
        <f t="shared" si="29"/>
        <v>10508.105407780151</v>
      </c>
      <c r="T150" s="61">
        <f t="shared" si="23"/>
        <v>0</v>
      </c>
      <c r="U150" s="61">
        <f t="shared" si="24"/>
        <v>0</v>
      </c>
      <c r="V150" s="61">
        <f t="shared" si="25"/>
        <v>5254.0527038900755</v>
      </c>
      <c r="W150" s="61">
        <f t="shared" si="26"/>
        <v>5254.0527038900755</v>
      </c>
      <c r="X150" s="61">
        <f t="shared" si="27"/>
        <v>10508.105407780151</v>
      </c>
      <c r="Y150" s="61">
        <f t="shared" si="28"/>
        <v>0</v>
      </c>
    </row>
    <row r="151" spans="1:25" x14ac:dyDescent="0.25">
      <c r="A151" s="51">
        <v>1300006452</v>
      </c>
      <c r="B151" s="51" t="s">
        <v>343</v>
      </c>
      <c r="C151" s="51" t="s">
        <v>140</v>
      </c>
      <c r="D151" s="51" t="s">
        <v>141</v>
      </c>
      <c r="E151" s="51" t="s">
        <v>161</v>
      </c>
      <c r="F151" s="52">
        <f>SUMIF('Customer Budget Per Category'!$A:$A,$A151,'Customer Budget Per Category'!$K:$K)</f>
        <v>0</v>
      </c>
      <c r="G151" s="52">
        <f>SUMIFS('Navision sales Dump'!$E:$E,'Navision sales Dump'!$K:$K,$E151,'Navision sales Dump'!$A:$A,$A151)</f>
        <v>0</v>
      </c>
      <c r="H151" s="62">
        <f>SUMIFS('Navision sales Dump'!$G:$G,'Navision sales Dump'!$K:$K,$E151,'Navision sales Dump'!$A:$A,$A151)</f>
        <v>0</v>
      </c>
      <c r="I151" s="72">
        <f>IFERROR(IF(($G151/$F151)&gt;='Discount Scheme Target'!$F$4,_xlfn.XLOOKUP($E151,'Discount Scheme Target'!$B:$B,'Discount Scheme Target'!$F:$F,0,0),IF(($G151/$F151)&gt;='Discount Scheme Target'!$E$4,_xlfn.XLOOKUP($E151,'Discount Scheme Target'!$B:$B,'Discount Scheme Target'!$E:$E,0,0),IF(($G151/$F151)&gt;='Discount Scheme Target'!$D$4,_xlfn.XLOOKUP($E151,'Discount Scheme Target'!$B:$B,'Discount Scheme Target'!$D:$D,0,0),0))),0)</f>
        <v>0</v>
      </c>
      <c r="J151" s="72">
        <f>IF(SUMIF('Customer Num Distr.'!$A:$A,Workings!$A151,'Customer Num Distr.'!$E:$E)&gt;='Discount Scheme Target'!$G$4,_xlfn.XLOOKUP(Workings!$E151,'Discount Scheme Target'!$B:$B,'Discount Scheme Target'!$G:$G,0,0),0)</f>
        <v>0</v>
      </c>
      <c r="K151" s="72">
        <f>IF(SUMIF('Bouclage EG Cust Cons_Decons'!$A:$A,Workings!$A151,'Bouclage EG Cust Cons_Decons'!$F:$F)&gt;='Discount Scheme Target'!$H$4,_xlfn.XLOOKUP(Workings!$E151,'Discount Scheme Target'!$B:$B,'Discount Scheme Target'!$H:$H,0,0),0)</f>
        <v>0</v>
      </c>
      <c r="L151" s="72">
        <f>IF(INDEX('TT Around time'!$A$1:$F$46,MATCH($A151,'TT Around time'!$A:$A,0),6)&gt;='Discount Scheme Target'!$I$4,_xlfn.XLOOKUP(Workings!$E151,'Discount Scheme Target'!$B:$B,'Discount Scheme Target'!$I:$I,0,0),0)</f>
        <v>0</v>
      </c>
      <c r="M151" s="72">
        <f t="shared" si="22"/>
        <v>0</v>
      </c>
      <c r="N151" s="62">
        <f t="shared" si="29"/>
        <v>0</v>
      </c>
      <c r="T151" s="61">
        <f t="shared" si="23"/>
        <v>0</v>
      </c>
      <c r="U151" s="61">
        <f t="shared" si="24"/>
        <v>0</v>
      </c>
      <c r="V151" s="61">
        <f t="shared" si="25"/>
        <v>0</v>
      </c>
      <c r="W151" s="61">
        <f t="shared" si="26"/>
        <v>0</v>
      </c>
      <c r="X151" s="61">
        <f t="shared" si="27"/>
        <v>0</v>
      </c>
      <c r="Y151" s="61">
        <f t="shared" si="28"/>
        <v>0</v>
      </c>
    </row>
    <row r="152" spans="1:25" x14ac:dyDescent="0.25">
      <c r="A152" s="51">
        <v>1300006452</v>
      </c>
      <c r="B152" s="51" t="s">
        <v>343</v>
      </c>
      <c r="C152" s="51" t="s">
        <v>140</v>
      </c>
      <c r="D152" s="51" t="s">
        <v>141</v>
      </c>
      <c r="E152" s="51" t="s">
        <v>354</v>
      </c>
      <c r="F152" s="52">
        <f>SUMIF('Customer Budget Per Category'!$A:$A,$A152,'Customer Budget Per Category'!$L:$L)</f>
        <v>1332.9746329232432</v>
      </c>
      <c r="G152" s="52">
        <f>SUMIFS('Navision sales Dump'!$E:$E,'Navision sales Dump'!$K:$K,$E152,'Navision sales Dump'!$A:$A,$A152)</f>
        <v>648</v>
      </c>
      <c r="H152" s="62">
        <f>SUMIFS('Navision sales Dump'!$G:$G,'Navision sales Dump'!$K:$K,$E152,'Navision sales Dump'!$A:$A,$A152)</f>
        <v>2137337.2800000003</v>
      </c>
      <c r="I152" s="72">
        <f>IFERROR(IF(($G152/$F152)&gt;='Discount Scheme Target'!$F$4,_xlfn.XLOOKUP($E152,'Discount Scheme Target'!$B:$B,'Discount Scheme Target'!$F:$F,0,0),IF(($G152/$F152)&gt;='Discount Scheme Target'!$E$4,_xlfn.XLOOKUP($E152,'Discount Scheme Target'!$B:$B,'Discount Scheme Target'!$E:$E,0,0),IF(($G152/$F152)&gt;='Discount Scheme Target'!$D$4,_xlfn.XLOOKUP($E152,'Discount Scheme Target'!$B:$B,'Discount Scheme Target'!$D:$D,0,0),0))),0)</f>
        <v>0</v>
      </c>
      <c r="J152" s="72">
        <f>IF(SUMIF('Customer Num Distr.'!$A:$A,Workings!$A152,'Customer Num Distr.'!$E:$E)&gt;='Discount Scheme Target'!$G$4,_xlfn.XLOOKUP(Workings!$E152,'Discount Scheme Target'!$B:$B,'Discount Scheme Target'!$G:$G,0,0),0)</f>
        <v>0</v>
      </c>
      <c r="K152" s="72">
        <f>IF(SUMIF('Bouclage EG Cust Cons_Decons'!$A:$A,Workings!$A152,'Bouclage EG Cust Cons_Decons'!$F:$F)&gt;='Discount Scheme Target'!$H$4,_xlfn.XLOOKUP(Workings!$E152,'Discount Scheme Target'!$B:$B,'Discount Scheme Target'!$H:$H,0,0),0)</f>
        <v>5.0000000000000001E-3</v>
      </c>
      <c r="L152" s="72">
        <f>IF(INDEX('TT Around time'!$A$1:$F$46,MATCH($A152,'TT Around time'!$A:$A,0),6)&gt;='Discount Scheme Target'!$I$4,_xlfn.XLOOKUP(Workings!$E152,'Discount Scheme Target'!$B:$B,'Discount Scheme Target'!$I:$I,0,0),0)</f>
        <v>5.0000000000000001E-3</v>
      </c>
      <c r="M152" s="72">
        <f t="shared" si="22"/>
        <v>0.01</v>
      </c>
      <c r="N152" s="62">
        <f t="shared" si="29"/>
        <v>43966.302102487098</v>
      </c>
      <c r="T152" s="61">
        <f t="shared" si="23"/>
        <v>0</v>
      </c>
      <c r="U152" s="61">
        <f t="shared" si="24"/>
        <v>0</v>
      </c>
      <c r="V152" s="61">
        <f t="shared" si="25"/>
        <v>21983.151051243549</v>
      </c>
      <c r="W152" s="61">
        <f t="shared" si="26"/>
        <v>21983.151051243549</v>
      </c>
      <c r="X152" s="61">
        <f t="shared" si="27"/>
        <v>43966.302102487098</v>
      </c>
      <c r="Y152" s="61">
        <f t="shared" si="28"/>
        <v>0</v>
      </c>
    </row>
    <row r="153" spans="1:25" x14ac:dyDescent="0.25">
      <c r="A153" s="51">
        <v>1300006452</v>
      </c>
      <c r="B153" s="51" t="s">
        <v>343</v>
      </c>
      <c r="C153" s="51" t="s">
        <v>140</v>
      </c>
      <c r="D153" s="51" t="s">
        <v>141</v>
      </c>
      <c r="E153" s="51" t="s">
        <v>355</v>
      </c>
      <c r="F153" s="52">
        <f>SUMIF('Customer Budget Per Category'!$A:$A,$A153,'Customer Budget Per Category'!$M:$M)</f>
        <v>739.57431372873452</v>
      </c>
      <c r="G153" s="52">
        <f>SUMIFS('Navision sales Dump'!$E:$E,'Navision sales Dump'!$K:$K,$E153,'Navision sales Dump'!$A:$A,$A153)</f>
        <v>864</v>
      </c>
      <c r="H153" s="62">
        <f>SUMIFS('Navision sales Dump'!$G:$G,'Navision sales Dump'!$K:$K,$E153,'Navision sales Dump'!$A:$A,$A153)</f>
        <v>2148631.2000000002</v>
      </c>
      <c r="I153" s="72">
        <f>IFERROR(IF(($G153/$F153)&gt;='Discount Scheme Target'!$F$4,_xlfn.XLOOKUP($E153,'Discount Scheme Target'!$B:$B,'Discount Scheme Target'!$F:$F,0,0),IF(($G153/$F153)&gt;='Discount Scheme Target'!$E$4,_xlfn.XLOOKUP($E153,'Discount Scheme Target'!$B:$B,'Discount Scheme Target'!$E:$E,0,0),IF(($G153/$F153)&gt;='Discount Scheme Target'!$D$4,_xlfn.XLOOKUP($E153,'Discount Scheme Target'!$B:$B,'Discount Scheme Target'!$D:$D,0,0),0))),0)</f>
        <v>0.03</v>
      </c>
      <c r="J153" s="72">
        <f>IF(SUMIF('Customer Num Distr.'!$A:$A,Workings!$A153,'Customer Num Distr.'!$E:$E)&gt;='Discount Scheme Target'!$G$4,_xlfn.XLOOKUP(Workings!$E153,'Discount Scheme Target'!$B:$B,'Discount Scheme Target'!$G:$G,0,0),0)</f>
        <v>0</v>
      </c>
      <c r="K153" s="72">
        <f>IF(SUMIF('Bouclage EG Cust Cons_Decons'!$A:$A,Workings!$A153,'Bouclage EG Cust Cons_Decons'!$F:$F)&gt;='Discount Scheme Target'!$H$4,_xlfn.XLOOKUP(Workings!$E153,'Discount Scheme Target'!$B:$B,'Discount Scheme Target'!$H:$H,0,0),0)</f>
        <v>5.0000000000000001E-3</v>
      </c>
      <c r="L153" s="72">
        <f>IF(INDEX('TT Around time'!$A$1:$F$46,MATCH($A153,'TT Around time'!$A:$A,0),6)&gt;='Discount Scheme Target'!$I$4,_xlfn.XLOOKUP(Workings!$E153,'Discount Scheme Target'!$B:$B,'Discount Scheme Target'!$I:$I,0,0),0)</f>
        <v>5.0000000000000001E-3</v>
      </c>
      <c r="M153" s="72">
        <f t="shared" si="22"/>
        <v>3.9999999999999994E-2</v>
      </c>
      <c r="N153" s="62">
        <f t="shared" si="29"/>
        <v>73568.168759080887</v>
      </c>
      <c r="T153" s="61">
        <f t="shared" si="23"/>
        <v>55176.126569310669</v>
      </c>
      <c r="U153" s="61">
        <f t="shared" si="24"/>
        <v>0</v>
      </c>
      <c r="V153" s="61">
        <f t="shared" si="25"/>
        <v>9196.0210948851127</v>
      </c>
      <c r="W153" s="61">
        <f t="shared" si="26"/>
        <v>9196.0210948851127</v>
      </c>
      <c r="X153" s="61">
        <f t="shared" si="27"/>
        <v>73568.168759080902</v>
      </c>
      <c r="Y153" s="61">
        <f t="shared" si="28"/>
        <v>0</v>
      </c>
    </row>
    <row r="154" spans="1:25" x14ac:dyDescent="0.25">
      <c r="A154" s="51">
        <v>1300006452</v>
      </c>
      <c r="B154" s="51" t="s">
        <v>343</v>
      </c>
      <c r="C154" s="51" t="s">
        <v>140</v>
      </c>
      <c r="D154" s="51" t="s">
        <v>141</v>
      </c>
      <c r="E154" s="51" t="s">
        <v>132</v>
      </c>
      <c r="F154" s="52">
        <f>SUMIF('Customer Budget Per Category'!$A:$A,$A154,'Customer Budget Per Category'!$N:$N)</f>
        <v>292.79324075014802</v>
      </c>
      <c r="G154" s="52">
        <f>SUMIFS('Navision sales Dump'!$E:$E,'Navision sales Dump'!$K:$K,$E154,'Navision sales Dump'!$A:$A,$A154)</f>
        <v>0</v>
      </c>
      <c r="H154" s="62">
        <f>SUMIFS('Navision sales Dump'!$G:$G,'Navision sales Dump'!$K:$K,$E154,'Navision sales Dump'!$A:$A,$A154)</f>
        <v>0</v>
      </c>
      <c r="I154" s="72">
        <f>IFERROR(IF(($G154/$F154)&gt;='Discount Scheme Target'!$F$4,_xlfn.XLOOKUP($E154,'Discount Scheme Target'!$B:$B,'Discount Scheme Target'!$F:$F,0,0),IF(($G154/$F154)&gt;='Discount Scheme Target'!$E$4,_xlfn.XLOOKUP($E154,'Discount Scheme Target'!$B:$B,'Discount Scheme Target'!$E:$E,0,0),IF(($G154/$F154)&gt;='Discount Scheme Target'!$D$4,_xlfn.XLOOKUP($E154,'Discount Scheme Target'!$B:$B,'Discount Scheme Target'!$D:$D,0,0),0))),0)</f>
        <v>0</v>
      </c>
      <c r="J154" s="72">
        <f>IF(SUMIF('Customer Num Distr.'!$A:$A,Workings!$A154,'Customer Num Distr.'!$E:$E)&gt;='Discount Scheme Target'!$G$4,_xlfn.XLOOKUP(Workings!$E154,'Discount Scheme Target'!$B:$B,'Discount Scheme Target'!$G:$G,0,0),0)</f>
        <v>0</v>
      </c>
      <c r="K154" s="72">
        <f>IF(SUMIF('Bouclage EG Cust Cons_Decons'!$A:$A,Workings!$A154,'Bouclage EG Cust Cons_Decons'!$F:$F)&gt;='Discount Scheme Target'!$H$4,_xlfn.XLOOKUP(Workings!$E154,'Discount Scheme Target'!$B:$B,'Discount Scheme Target'!$H:$H,0,0),0)</f>
        <v>5.0000000000000001E-3</v>
      </c>
      <c r="L154" s="72">
        <f>IF(INDEX('TT Around time'!$A$1:$F$46,MATCH($A154,'TT Around time'!$A:$A,0),6)&gt;='Discount Scheme Target'!$I$4,_xlfn.XLOOKUP(Workings!$E154,'Discount Scheme Target'!$B:$B,'Discount Scheme Target'!$I:$I,0,0),0)</f>
        <v>5.0000000000000001E-3</v>
      </c>
      <c r="M154" s="72">
        <f t="shared" si="22"/>
        <v>0.01</v>
      </c>
      <c r="N154" s="62">
        <f t="shared" si="29"/>
        <v>0</v>
      </c>
      <c r="T154" s="61">
        <f t="shared" si="23"/>
        <v>0</v>
      </c>
      <c r="U154" s="61">
        <f t="shared" si="24"/>
        <v>0</v>
      </c>
      <c r="V154" s="61">
        <f t="shared" si="25"/>
        <v>0</v>
      </c>
      <c r="W154" s="61">
        <f t="shared" si="26"/>
        <v>0</v>
      </c>
      <c r="X154" s="61">
        <f t="shared" si="27"/>
        <v>0</v>
      </c>
      <c r="Y154" s="61">
        <f t="shared" si="28"/>
        <v>0</v>
      </c>
    </row>
    <row r="155" spans="1:25" x14ac:dyDescent="0.25">
      <c r="A155" s="51">
        <v>1300006452</v>
      </c>
      <c r="B155" s="51" t="s">
        <v>343</v>
      </c>
      <c r="C155" s="51" t="s">
        <v>140</v>
      </c>
      <c r="D155" s="51" t="s">
        <v>141</v>
      </c>
      <c r="E155" s="51" t="s">
        <v>133</v>
      </c>
      <c r="F155" s="52">
        <f>SUMIF('Customer Budget Per Category'!$A:$A,$A155,'Customer Budget Per Category'!$O:$O)</f>
        <v>382.34986071398703</v>
      </c>
      <c r="G155" s="52">
        <f>SUMIFS('Navision sales Dump'!$E:$E,'Navision sales Dump'!$K:$K,$E155,'Navision sales Dump'!$A:$A,$A155)</f>
        <v>288</v>
      </c>
      <c r="H155" s="62">
        <f>SUMIFS('Navision sales Dump'!$G:$G,'Navision sales Dump'!$K:$K,$E155,'Navision sales Dump'!$A:$A,$A155)</f>
        <v>2887885.44</v>
      </c>
      <c r="I155" s="72">
        <f>IFERROR(IF(($G155/$F155)&gt;='Discount Scheme Target'!$F$4,_xlfn.XLOOKUP($E155,'Discount Scheme Target'!$B:$B,'Discount Scheme Target'!$F:$F,0,0),IF(($G155/$F155)&gt;='Discount Scheme Target'!$E$4,_xlfn.XLOOKUP($E155,'Discount Scheme Target'!$B:$B,'Discount Scheme Target'!$E:$E,0,0),IF(($G155/$F155)&gt;='Discount Scheme Target'!$D$4,_xlfn.XLOOKUP($E155,'Discount Scheme Target'!$B:$B,'Discount Scheme Target'!$D:$D,0,0),0))),0)</f>
        <v>0</v>
      </c>
      <c r="J155" s="72">
        <f>IF(SUMIF('Customer Num Distr.'!$A:$A,Workings!$A155,'Customer Num Distr.'!$E:$E)&gt;='Discount Scheme Target'!$G$4,_xlfn.XLOOKUP(Workings!$E155,'Discount Scheme Target'!$B:$B,'Discount Scheme Target'!$G:$G,0,0),0)</f>
        <v>0</v>
      </c>
      <c r="K155" s="72">
        <f>IF(SUMIF('Bouclage EG Cust Cons_Decons'!$A:$A,Workings!$A155,'Bouclage EG Cust Cons_Decons'!$F:$F)&gt;='Discount Scheme Target'!$H$4,_xlfn.XLOOKUP(Workings!$E155,'Discount Scheme Target'!$B:$B,'Discount Scheme Target'!$H:$H,0,0),0)</f>
        <v>5.0000000000000001E-3</v>
      </c>
      <c r="L155" s="72">
        <f>IF(INDEX('TT Around time'!$A$1:$F$46,MATCH($A155,'TT Around time'!$A:$A,0),6)&gt;='Discount Scheme Target'!$I$4,_xlfn.XLOOKUP(Workings!$E155,'Discount Scheme Target'!$B:$B,'Discount Scheme Target'!$I:$I,0,0),0)</f>
        <v>5.0000000000000001E-3</v>
      </c>
      <c r="M155" s="72">
        <f t="shared" si="22"/>
        <v>0.01</v>
      </c>
      <c r="N155" s="62">
        <f t="shared" si="29"/>
        <v>38339.673463262188</v>
      </c>
      <c r="T155" s="61">
        <f t="shared" si="23"/>
        <v>0</v>
      </c>
      <c r="U155" s="61">
        <f t="shared" si="24"/>
        <v>0</v>
      </c>
      <c r="V155" s="61">
        <f t="shared" si="25"/>
        <v>19169.836731631094</v>
      </c>
      <c r="W155" s="61">
        <f t="shared" si="26"/>
        <v>19169.836731631094</v>
      </c>
      <c r="X155" s="61">
        <f t="shared" si="27"/>
        <v>38339.673463262188</v>
      </c>
      <c r="Y155" s="61">
        <f t="shared" si="28"/>
        <v>0</v>
      </c>
    </row>
    <row r="156" spans="1:25" x14ac:dyDescent="0.25">
      <c r="A156" s="149">
        <v>1300006459</v>
      </c>
      <c r="B156" s="149" t="s">
        <v>500</v>
      </c>
      <c r="C156" s="51" t="s">
        <v>140</v>
      </c>
      <c r="D156" s="51" t="s">
        <v>141</v>
      </c>
      <c r="E156" s="51" t="s">
        <v>417</v>
      </c>
      <c r="F156" s="52">
        <f>SUMIF('Customer Budget Per Category'!$A:$A,$A156,'Customer Budget Per Category'!$E:$E)</f>
        <v>10500</v>
      </c>
      <c r="G156" s="52">
        <f>SUMIFS('Navision sales Dump'!$E:$E,'Navision sales Dump'!$K:$K,$E156,'Navision sales Dump'!$A:$A,$A156)</f>
        <v>10523</v>
      </c>
      <c r="H156" s="62">
        <f>SUMIFS('Navision sales Dump'!$G:$G,'Navision sales Dump'!$K:$K,$E156,'Navision sales Dump'!$A:$A,$A156)</f>
        <v>76194847.239999995</v>
      </c>
      <c r="I156" s="72">
        <f>IFERROR(IF(($G156/$F156)&gt;='Discount Scheme Target'!$F$4,_xlfn.XLOOKUP($E156,'Discount Scheme Target'!$B:$B,'Discount Scheme Target'!$F:$F,0,0),IF(($G156/$F156)&gt;='Discount Scheme Target'!$E$4,_xlfn.XLOOKUP($E156,'Discount Scheme Target'!$B:$B,'Discount Scheme Target'!$E:$E,0,0),IF(($G156/$F156)&gt;='Discount Scheme Target'!$D$4,_xlfn.XLOOKUP($E156,'Discount Scheme Target'!$B:$B,'Discount Scheme Target'!$D:$D,0,0),0))),0)</f>
        <v>1.4999999999999999E-2</v>
      </c>
      <c r="J156" s="72">
        <f>IF(SUMIF('Customer Num Distr.'!$A:$A,Workings!$A156,'Customer Num Distr.'!$E:$E)&gt;='Discount Scheme Target'!$G$4,_xlfn.XLOOKUP(Workings!$E156,'Discount Scheme Target'!$B:$B,'Discount Scheme Target'!$G:$G,0,0),0)</f>
        <v>0</v>
      </c>
      <c r="K156" s="72">
        <f>IF(SUMIF('Bouclage EG Cust Cons_Decons'!$A:$A,Workings!$A156,'Bouclage EG Cust Cons_Decons'!$F:$F)&gt;='Discount Scheme Target'!$H$4,_xlfn.XLOOKUP(Workings!$E156,'Discount Scheme Target'!$B:$B,'Discount Scheme Target'!$H:$H,0,0),0)</f>
        <v>0</v>
      </c>
      <c r="L156" s="72">
        <f>IF(INDEX('TT Around time'!$A$1:$F$46,MATCH($A156,'TT Around time'!$A:$A,0),6)&gt;='Discount Scheme Target'!$I$4,_xlfn.XLOOKUP(Workings!$E156,'Discount Scheme Target'!$B:$B,'Discount Scheme Target'!$I:$I,0,0),0)</f>
        <v>0.01</v>
      </c>
      <c r="M156" s="72">
        <f t="shared" si="22"/>
        <v>2.5000000000000001E-2</v>
      </c>
      <c r="N156" s="62">
        <f t="shared" ref="N156:N188" si="30">IFERROR((H156/G156)*F156*M156,)</f>
        <v>1900707.7259811838</v>
      </c>
      <c r="T156" s="61">
        <f t="shared" si="23"/>
        <v>1140424.6355887102</v>
      </c>
      <c r="U156" s="61">
        <f t="shared" si="24"/>
        <v>0</v>
      </c>
      <c r="V156" s="61">
        <f t="shared" si="25"/>
        <v>0</v>
      </c>
      <c r="W156" s="61">
        <f t="shared" si="26"/>
        <v>760283.0903924735</v>
      </c>
      <c r="X156" s="61">
        <f t="shared" ref="X156:X188" si="31">SUM(T156:W156)</f>
        <v>1900707.7259811838</v>
      </c>
      <c r="Y156" s="61">
        <f t="shared" ref="Y156:Y188" si="32">N156-X156</f>
        <v>0</v>
      </c>
    </row>
    <row r="157" spans="1:25" x14ac:dyDescent="0.25">
      <c r="A157" s="149">
        <v>1300006459</v>
      </c>
      <c r="B157" s="149" t="s">
        <v>500</v>
      </c>
      <c r="C157" s="51" t="s">
        <v>140</v>
      </c>
      <c r="D157" s="51" t="s">
        <v>141</v>
      </c>
      <c r="E157" s="51" t="s">
        <v>418</v>
      </c>
      <c r="F157" s="52">
        <f>SUMIF('Customer Budget Per Category'!$A:$A,$A157,'Customer Budget Per Category'!$F:$F)</f>
        <v>0</v>
      </c>
      <c r="G157" s="52">
        <f>SUMIFS('Navision sales Dump'!$E:$E,'Navision sales Dump'!$K:$K,$E157,'Navision sales Dump'!$A:$A,$A157)</f>
        <v>0</v>
      </c>
      <c r="H157" s="62">
        <f>SUMIFS('Navision sales Dump'!$G:$G,'Navision sales Dump'!$K:$K,$E157,'Navision sales Dump'!$A:$A,$A157)</f>
        <v>0</v>
      </c>
      <c r="I157" s="72">
        <f>IFERROR(IF(($G157/$F157)&gt;='Discount Scheme Target'!$F$4,_xlfn.XLOOKUP($E157,'Discount Scheme Target'!$B:$B,'Discount Scheme Target'!$F:$F,0,0),IF(($G157/$F157)&gt;='Discount Scheme Target'!$E$4,_xlfn.XLOOKUP($E157,'Discount Scheme Target'!$B:$B,'Discount Scheme Target'!$E:$E,0,0),IF(($G157/$F157)&gt;='Discount Scheme Target'!$D$4,_xlfn.XLOOKUP($E157,'Discount Scheme Target'!$B:$B,'Discount Scheme Target'!$D:$D,0,0),0))),0)</f>
        <v>0</v>
      </c>
      <c r="J157" s="72">
        <f>IF(SUMIF('Customer Num Distr.'!$A:$A,Workings!$A157,'Customer Num Distr.'!$E:$E)&gt;='Discount Scheme Target'!$G$4,_xlfn.XLOOKUP(Workings!$E157,'Discount Scheme Target'!$B:$B,'Discount Scheme Target'!$G:$G,0,0),0)</f>
        <v>0</v>
      </c>
      <c r="K157" s="72">
        <f>IF(SUMIF('Bouclage EG Cust Cons_Decons'!$A:$A,Workings!$A157,'Bouclage EG Cust Cons_Decons'!$F:$F)&gt;='Discount Scheme Target'!$H$4,_xlfn.XLOOKUP(Workings!$E157,'Discount Scheme Target'!$B:$B,'Discount Scheme Target'!$H:$H,0,0),0)</f>
        <v>0</v>
      </c>
      <c r="L157" s="72">
        <f>IF(INDEX('TT Around time'!$A$1:$F$46,MATCH($A157,'TT Around time'!$A:$A,0),6)&gt;='Discount Scheme Target'!$I$4,_xlfn.XLOOKUP(Workings!$E157,'Discount Scheme Target'!$B:$B,'Discount Scheme Target'!$I:$I,0,0),0)</f>
        <v>0</v>
      </c>
      <c r="M157" s="72">
        <f t="shared" si="22"/>
        <v>0</v>
      </c>
      <c r="N157" s="62">
        <f t="shared" si="30"/>
        <v>0</v>
      </c>
      <c r="T157" s="61">
        <f t="shared" si="23"/>
        <v>0</v>
      </c>
      <c r="U157" s="61">
        <f t="shared" si="24"/>
        <v>0</v>
      </c>
      <c r="V157" s="61">
        <f t="shared" si="25"/>
        <v>0</v>
      </c>
      <c r="W157" s="61">
        <f t="shared" si="26"/>
        <v>0</v>
      </c>
      <c r="X157" s="61">
        <f t="shared" si="31"/>
        <v>0</v>
      </c>
      <c r="Y157" s="61">
        <f t="shared" si="32"/>
        <v>0</v>
      </c>
    </row>
    <row r="158" spans="1:25" x14ac:dyDescent="0.25">
      <c r="A158" s="149">
        <v>1300006459</v>
      </c>
      <c r="B158" s="149" t="s">
        <v>500</v>
      </c>
      <c r="C158" s="51" t="s">
        <v>140</v>
      </c>
      <c r="D158" s="51" t="s">
        <v>141</v>
      </c>
      <c r="E158" s="51" t="s">
        <v>130</v>
      </c>
      <c r="F158" s="52">
        <f>SUMIF('Customer Budget Per Category'!$A:$A,$A158,'Customer Budget Per Category'!$G:$G)</f>
        <v>205</v>
      </c>
      <c r="G158" s="52">
        <f>SUMIFS('Navision sales Dump'!$E:$E,'Navision sales Dump'!$K:$K,$E158,'Navision sales Dump'!$A:$A,$A158)</f>
        <v>360</v>
      </c>
      <c r="H158" s="62">
        <f>SUMIFS('Navision sales Dump'!$G:$G,'Navision sales Dump'!$K:$K,$E158,'Navision sales Dump'!$A:$A,$A158)</f>
        <v>2781115.2</v>
      </c>
      <c r="I158" s="72">
        <f>IFERROR(IF(($G158/$F158)&gt;='Discount Scheme Target'!$F$4,_xlfn.XLOOKUP($E158,'Discount Scheme Target'!$B:$B,'Discount Scheme Target'!$F:$F,0,0),IF(($G158/$F158)&gt;='Discount Scheme Target'!$E$4,_xlfn.XLOOKUP($E158,'Discount Scheme Target'!$B:$B,'Discount Scheme Target'!$E:$E,0,0),IF(($G158/$F158)&gt;='Discount Scheme Target'!$D$4,_xlfn.XLOOKUP($E158,'Discount Scheme Target'!$B:$B,'Discount Scheme Target'!$D:$D,0,0),0))),0)</f>
        <v>4.5000000000000005E-2</v>
      </c>
      <c r="J158" s="72">
        <f>IF(SUMIF('Customer Num Distr.'!$A:$A,Workings!$A158,'Customer Num Distr.'!$E:$E)&gt;='Discount Scheme Target'!$G$4,_xlfn.XLOOKUP(Workings!$E158,'Discount Scheme Target'!$B:$B,'Discount Scheme Target'!$G:$G,0,0),0)</f>
        <v>0</v>
      </c>
      <c r="K158" s="72">
        <f>IF(SUMIF('Bouclage EG Cust Cons_Decons'!$A:$A,Workings!$A158,'Bouclage EG Cust Cons_Decons'!$F:$F)&gt;='Discount Scheme Target'!$H$4,_xlfn.XLOOKUP(Workings!$E158,'Discount Scheme Target'!$B:$B,'Discount Scheme Target'!$H:$H,0,0),0)</f>
        <v>0</v>
      </c>
      <c r="L158" s="72">
        <f>IF(INDEX('TT Around time'!$A$1:$F$46,MATCH($A158,'TT Around time'!$A:$A,0),6)&gt;='Discount Scheme Target'!$I$4,_xlfn.XLOOKUP(Workings!$E158,'Discount Scheme Target'!$B:$B,'Discount Scheme Target'!$I:$I,0,0),0)</f>
        <v>0.01</v>
      </c>
      <c r="M158" s="72">
        <f t="shared" si="22"/>
        <v>5.5000000000000007E-2</v>
      </c>
      <c r="N158" s="62">
        <f t="shared" si="30"/>
        <v>87102.983000000022</v>
      </c>
      <c r="T158" s="61">
        <f t="shared" si="23"/>
        <v>71266.077000000019</v>
      </c>
      <c r="U158" s="61">
        <f t="shared" si="24"/>
        <v>0</v>
      </c>
      <c r="V158" s="61">
        <f t="shared" si="25"/>
        <v>0</v>
      </c>
      <c r="W158" s="61">
        <f t="shared" si="26"/>
        <v>15836.906000000001</v>
      </c>
      <c r="X158" s="61">
        <f t="shared" si="31"/>
        <v>87102.983000000022</v>
      </c>
      <c r="Y158" s="61">
        <f t="shared" si="32"/>
        <v>0</v>
      </c>
    </row>
    <row r="159" spans="1:25" x14ac:dyDescent="0.25">
      <c r="A159" s="149">
        <v>1300006459</v>
      </c>
      <c r="B159" s="149" t="s">
        <v>500</v>
      </c>
      <c r="C159" s="51" t="s">
        <v>140</v>
      </c>
      <c r="D159" s="51" t="s">
        <v>141</v>
      </c>
      <c r="E159" s="51" t="s">
        <v>131</v>
      </c>
      <c r="F159" s="52">
        <f>SUMIF('Customer Budget Per Category'!$A:$A,$A159,'Customer Budget Per Category'!$H:$H)</f>
        <v>67.178423256115636</v>
      </c>
      <c r="G159" s="52">
        <f>SUMIFS('Navision sales Dump'!$E:$E,'Navision sales Dump'!$K:$K,$E159,'Navision sales Dump'!$A:$A,$A159)</f>
        <v>115</v>
      </c>
      <c r="H159" s="62">
        <f>SUMIFS('Navision sales Dump'!$G:$G,'Navision sales Dump'!$K:$K,$E159,'Navision sales Dump'!$A:$A,$A159)</f>
        <v>5052975.3</v>
      </c>
      <c r="I159" s="72">
        <f>IFERROR(IF(($G159/$F159)&gt;='Discount Scheme Target'!$F$4,_xlfn.XLOOKUP($E159,'Discount Scheme Target'!$B:$B,'Discount Scheme Target'!$F:$F,0,0),IF(($G159/$F159)&gt;='Discount Scheme Target'!$E$4,_xlfn.XLOOKUP($E159,'Discount Scheme Target'!$B:$B,'Discount Scheme Target'!$E:$E,0,0),IF(($G159/$F159)&gt;='Discount Scheme Target'!$D$4,_xlfn.XLOOKUP($E159,'Discount Scheme Target'!$B:$B,'Discount Scheme Target'!$D:$D,0,0),0))),0)</f>
        <v>0.04</v>
      </c>
      <c r="J159" s="72">
        <f>IF(SUMIF('Customer Num Distr.'!$A:$A,Workings!$A159,'Customer Num Distr.'!$E:$E)&gt;='Discount Scheme Target'!$G$4,_xlfn.XLOOKUP(Workings!$E159,'Discount Scheme Target'!$B:$B,'Discount Scheme Target'!$G:$G,0,0),0)</f>
        <v>0</v>
      </c>
      <c r="K159" s="72">
        <f>IF(SUMIF('Bouclage EG Cust Cons_Decons'!$A:$A,Workings!$A159,'Bouclage EG Cust Cons_Decons'!$F:$F)&gt;='Discount Scheme Target'!$H$4,_xlfn.XLOOKUP(Workings!$E159,'Discount Scheme Target'!$B:$B,'Discount Scheme Target'!$H:$H,0,0),0)</f>
        <v>0</v>
      </c>
      <c r="L159" s="72">
        <f>IF(INDEX('TT Around time'!$A$1:$F$46,MATCH($A159,'TT Around time'!$A:$A,0),6)&gt;='Discount Scheme Target'!$I$4,_xlfn.XLOOKUP(Workings!$E159,'Discount Scheme Target'!$B:$B,'Discount Scheme Target'!$I:$I,0,0),0)</f>
        <v>5.0000000000000001E-3</v>
      </c>
      <c r="M159" s="72">
        <f t="shared" si="22"/>
        <v>4.4999999999999998E-2</v>
      </c>
      <c r="N159" s="62">
        <f t="shared" si="30"/>
        <v>132828.61828934264</v>
      </c>
      <c r="T159" s="61">
        <f t="shared" si="23"/>
        <v>118069.88292386015</v>
      </c>
      <c r="U159" s="61">
        <f t="shared" si="24"/>
        <v>0</v>
      </c>
      <c r="V159" s="61">
        <f t="shared" si="25"/>
        <v>0</v>
      </c>
      <c r="W159" s="61">
        <f t="shared" si="26"/>
        <v>14758.735365482518</v>
      </c>
      <c r="X159" s="61">
        <f t="shared" si="31"/>
        <v>132828.61828934267</v>
      </c>
      <c r="Y159" s="61">
        <f t="shared" si="32"/>
        <v>0</v>
      </c>
    </row>
    <row r="160" spans="1:25" x14ac:dyDescent="0.25">
      <c r="A160" s="149">
        <v>1300006459</v>
      </c>
      <c r="B160" s="149" t="s">
        <v>500</v>
      </c>
      <c r="C160" s="51" t="s">
        <v>140</v>
      </c>
      <c r="D160" s="51" t="s">
        <v>141</v>
      </c>
      <c r="E160" s="51" t="s">
        <v>514</v>
      </c>
      <c r="F160" s="52">
        <f>SUMIF('Customer Budget Per Category'!$A:$A,$A160,'Customer Budget Per Category'!$I:$I)</f>
        <v>7200</v>
      </c>
      <c r="G160" s="52">
        <f>SUMIFS('Navision sales Dump'!$E:$E,'Navision sales Dump'!$K:$K,$E160,'Navision sales Dump'!$A:$A,$A160)</f>
        <v>8850</v>
      </c>
      <c r="H160" s="62">
        <f>SUMIFS('Navision sales Dump'!$G:$G,'Navision sales Dump'!$K:$K,$E160,'Navision sales Dump'!$A:$A,$A160)</f>
        <v>35028565.5</v>
      </c>
      <c r="I160" s="72">
        <f>IFERROR(IF(($G160/$F160)&gt;='Discount Scheme Target'!$F$4,_xlfn.XLOOKUP($E160,'Discount Scheme Target'!$B:$B,'Discount Scheme Target'!$F:$F,0,0),IF(($G160/$F160)&gt;='Discount Scheme Target'!$E$4,_xlfn.XLOOKUP($E160,'Discount Scheme Target'!$B:$B,'Discount Scheme Target'!$E:$E,0,0),IF(($G160/$F160)&gt;='Discount Scheme Target'!$D$4,_xlfn.XLOOKUP($E160,'Discount Scheme Target'!$B:$B,'Discount Scheme Target'!$D:$D,0,0),0))),0)</f>
        <v>0.04</v>
      </c>
      <c r="J160" s="72">
        <f>IF(SUMIF('Customer Num Distr.'!$A:$A,Workings!$A160,'Customer Num Distr.'!$E:$E)&gt;='Discount Scheme Target'!$G$4,_xlfn.XLOOKUP(Workings!$E160,'Discount Scheme Target'!$B:$B,'Discount Scheme Target'!$G:$G,0,0),0)</f>
        <v>0</v>
      </c>
      <c r="K160" s="72">
        <f>IF(SUMIF('Bouclage EG Cust Cons_Decons'!$A:$A,Workings!$A160,'Bouclage EG Cust Cons_Decons'!$F:$F)&gt;='Discount Scheme Target'!$H$4,_xlfn.XLOOKUP(Workings!$E160,'Discount Scheme Target'!$B:$B,'Discount Scheme Target'!$H:$H,0,0),0)</f>
        <v>0</v>
      </c>
      <c r="L160" s="72">
        <f>IF(INDEX('TT Around time'!$A$1:$F$46,MATCH($A160,'TT Around time'!$A:$A,0),6)&gt;='Discount Scheme Target'!$I$4,_xlfn.XLOOKUP(Workings!$E160,'Discount Scheme Target'!$B:$B,'Discount Scheme Target'!$I:$I,0,0),0)</f>
        <v>5.0000000000000001E-3</v>
      </c>
      <c r="M160" s="72">
        <f t="shared" si="22"/>
        <v>4.4999999999999998E-2</v>
      </c>
      <c r="N160" s="62">
        <f t="shared" si="30"/>
        <v>1282401.72</v>
      </c>
      <c r="T160" s="61">
        <f t="shared" si="23"/>
        <v>1139912.6400000001</v>
      </c>
      <c r="U160" s="61">
        <f t="shared" si="24"/>
        <v>0</v>
      </c>
      <c r="V160" s="61">
        <f t="shared" si="25"/>
        <v>0</v>
      </c>
      <c r="W160" s="61">
        <f t="shared" si="26"/>
        <v>142489.08000000002</v>
      </c>
      <c r="X160" s="61">
        <f t="shared" si="31"/>
        <v>1282401.7200000002</v>
      </c>
      <c r="Y160" s="61">
        <f t="shared" si="32"/>
        <v>0</v>
      </c>
    </row>
    <row r="161" spans="1:25" x14ac:dyDescent="0.25">
      <c r="A161" s="149">
        <v>1300006459</v>
      </c>
      <c r="B161" s="149" t="s">
        <v>500</v>
      </c>
      <c r="C161" s="51" t="s">
        <v>140</v>
      </c>
      <c r="D161" s="51" t="s">
        <v>141</v>
      </c>
      <c r="E161" s="51" t="s">
        <v>515</v>
      </c>
      <c r="F161" s="52">
        <f>SUMIF('Customer Budget Per Category'!$A:$A,$A161,'Customer Budget Per Category'!$J:$J)</f>
        <v>920</v>
      </c>
      <c r="G161" s="52">
        <f>SUMIFS('Navision sales Dump'!$E:$E,'Navision sales Dump'!$K:$K,$E161,'Navision sales Dump'!$A:$A,$A161)</f>
        <v>1440</v>
      </c>
      <c r="H161" s="62">
        <f>SUMIFS('Navision sales Dump'!$G:$G,'Navision sales Dump'!$K:$K,$E161,'Navision sales Dump'!$A:$A,$A161)</f>
        <v>4064975.9999999995</v>
      </c>
      <c r="I161" s="72">
        <f>IFERROR(IF(($G161/$F161)&gt;='Discount Scheme Target'!$F$4,_xlfn.XLOOKUP($E161,'Discount Scheme Target'!$B:$B,'Discount Scheme Target'!$F:$F,0,0),IF(($G161/$F161)&gt;='Discount Scheme Target'!$E$4,_xlfn.XLOOKUP($E161,'Discount Scheme Target'!$B:$B,'Discount Scheme Target'!$E:$E,0,0),IF(($G161/$F161)&gt;='Discount Scheme Target'!$D$4,_xlfn.XLOOKUP($E161,'Discount Scheme Target'!$B:$B,'Discount Scheme Target'!$D:$D,0,0),0))),0)</f>
        <v>0.03</v>
      </c>
      <c r="J161" s="72">
        <f>IF(SUMIF('Customer Num Distr.'!$A:$A,Workings!$A161,'Customer Num Distr.'!$E:$E)&gt;='Discount Scheme Target'!$G$4,_xlfn.XLOOKUP(Workings!$E161,'Discount Scheme Target'!$B:$B,'Discount Scheme Target'!$G:$G,0,0),0)</f>
        <v>0</v>
      </c>
      <c r="K161" s="72">
        <f>IF(SUMIF('Bouclage EG Cust Cons_Decons'!$A:$A,Workings!$A161,'Bouclage EG Cust Cons_Decons'!$F:$F)&gt;='Discount Scheme Target'!$H$4,_xlfn.XLOOKUP(Workings!$E161,'Discount Scheme Target'!$B:$B,'Discount Scheme Target'!$H:$H,0,0),0)</f>
        <v>0</v>
      </c>
      <c r="L161" s="72">
        <f>IF(INDEX('TT Around time'!$A$1:$F$46,MATCH($A161,'TT Around time'!$A:$A,0),6)&gt;='Discount Scheme Target'!$I$4,_xlfn.XLOOKUP(Workings!$E161,'Discount Scheme Target'!$B:$B,'Discount Scheme Target'!$I:$I,0,0),0)</f>
        <v>5.0000000000000001E-3</v>
      </c>
      <c r="M161" s="72">
        <f t="shared" si="22"/>
        <v>3.4999999999999996E-2</v>
      </c>
      <c r="N161" s="62">
        <f t="shared" si="30"/>
        <v>90897.379999999976</v>
      </c>
      <c r="T161" s="61">
        <f t="shared" si="23"/>
        <v>77912.039999999979</v>
      </c>
      <c r="U161" s="61">
        <f t="shared" si="24"/>
        <v>0</v>
      </c>
      <c r="V161" s="61">
        <f t="shared" si="25"/>
        <v>0</v>
      </c>
      <c r="W161" s="61">
        <f t="shared" si="26"/>
        <v>12985.339999999998</v>
      </c>
      <c r="X161" s="61">
        <f t="shared" si="31"/>
        <v>90897.379999999976</v>
      </c>
      <c r="Y161" s="61">
        <f t="shared" si="32"/>
        <v>0</v>
      </c>
    </row>
    <row r="162" spans="1:25" x14ac:dyDescent="0.25">
      <c r="A162" s="149">
        <v>1300006459</v>
      </c>
      <c r="B162" s="149" t="s">
        <v>500</v>
      </c>
      <c r="C162" s="51" t="s">
        <v>140</v>
      </c>
      <c r="D162" s="51" t="s">
        <v>141</v>
      </c>
      <c r="E162" s="51" t="s">
        <v>161</v>
      </c>
      <c r="F162" s="52">
        <f>SUMIF('Customer Budget Per Category'!$A:$A,$A162,'Customer Budget Per Category'!$K:$K)</f>
        <v>0</v>
      </c>
      <c r="G162" s="52">
        <f>SUMIFS('Navision sales Dump'!$E:$E,'Navision sales Dump'!$K:$K,$E162,'Navision sales Dump'!$A:$A,$A162)</f>
        <v>0</v>
      </c>
      <c r="H162" s="62">
        <f>SUMIFS('Navision sales Dump'!$G:$G,'Navision sales Dump'!$K:$K,$E162,'Navision sales Dump'!$A:$A,$A162)</f>
        <v>0</v>
      </c>
      <c r="I162" s="72">
        <f>IFERROR(IF(($G162/$F162)&gt;='Discount Scheme Target'!$F$4,_xlfn.XLOOKUP($E162,'Discount Scheme Target'!$B:$B,'Discount Scheme Target'!$F:$F,0,0),IF(($G162/$F162)&gt;='Discount Scheme Target'!$E$4,_xlfn.XLOOKUP($E162,'Discount Scheme Target'!$B:$B,'Discount Scheme Target'!$E:$E,0,0),IF(($G162/$F162)&gt;='Discount Scheme Target'!$D$4,_xlfn.XLOOKUP($E162,'Discount Scheme Target'!$B:$B,'Discount Scheme Target'!$D:$D,0,0),0))),0)</f>
        <v>0</v>
      </c>
      <c r="J162" s="72">
        <f>IF(SUMIF('Customer Num Distr.'!$A:$A,Workings!$A162,'Customer Num Distr.'!$E:$E)&gt;='Discount Scheme Target'!$G$4,_xlfn.XLOOKUP(Workings!$E162,'Discount Scheme Target'!$B:$B,'Discount Scheme Target'!$G:$G,0,0),0)</f>
        <v>0</v>
      </c>
      <c r="K162" s="72">
        <f>IF(SUMIF('Bouclage EG Cust Cons_Decons'!$A:$A,Workings!$A162,'Bouclage EG Cust Cons_Decons'!$F:$F)&gt;='Discount Scheme Target'!$H$4,_xlfn.XLOOKUP(Workings!$E162,'Discount Scheme Target'!$B:$B,'Discount Scheme Target'!$H:$H,0,0),0)</f>
        <v>0</v>
      </c>
      <c r="L162" s="72">
        <f>IF(INDEX('TT Around time'!$A$1:$F$46,MATCH($A162,'TT Around time'!$A:$A,0),6)&gt;='Discount Scheme Target'!$I$4,_xlfn.XLOOKUP(Workings!$E162,'Discount Scheme Target'!$B:$B,'Discount Scheme Target'!$I:$I,0,0),0)</f>
        <v>0</v>
      </c>
      <c r="M162" s="72">
        <f t="shared" si="22"/>
        <v>0</v>
      </c>
      <c r="N162" s="62">
        <f t="shared" si="30"/>
        <v>0</v>
      </c>
      <c r="T162" s="61">
        <f t="shared" si="23"/>
        <v>0</v>
      </c>
      <c r="U162" s="61">
        <f t="shared" si="24"/>
        <v>0</v>
      </c>
      <c r="V162" s="61">
        <f t="shared" si="25"/>
        <v>0</v>
      </c>
      <c r="W162" s="61">
        <f t="shared" si="26"/>
        <v>0</v>
      </c>
      <c r="X162" s="61">
        <f t="shared" si="31"/>
        <v>0</v>
      </c>
      <c r="Y162" s="61">
        <f t="shared" si="32"/>
        <v>0</v>
      </c>
    </row>
    <row r="163" spans="1:25" x14ac:dyDescent="0.25">
      <c r="A163" s="149">
        <v>1300006459</v>
      </c>
      <c r="B163" s="149" t="s">
        <v>500</v>
      </c>
      <c r="C163" s="51" t="s">
        <v>140</v>
      </c>
      <c r="D163" s="51" t="s">
        <v>141</v>
      </c>
      <c r="E163" s="51" t="s">
        <v>354</v>
      </c>
      <c r="F163" s="52">
        <f>SUMIF('Customer Budget Per Category'!$A:$A,$A163,'Customer Budget Per Category'!$L:$L)</f>
        <v>2200</v>
      </c>
      <c r="G163" s="52">
        <f>SUMIFS('Navision sales Dump'!$E:$E,'Navision sales Dump'!$K:$K,$E163,'Navision sales Dump'!$A:$A,$A163)</f>
        <v>2589</v>
      </c>
      <c r="H163" s="62">
        <f>SUMIFS('Navision sales Dump'!$G:$G,'Navision sales Dump'!$K:$K,$E163,'Navision sales Dump'!$A:$A,$A163)</f>
        <v>9013756.7699999996</v>
      </c>
      <c r="I163" s="72">
        <f>IFERROR(IF(($G163/$F163)&gt;='Discount Scheme Target'!$F$4,_xlfn.XLOOKUP($E163,'Discount Scheme Target'!$B:$B,'Discount Scheme Target'!$F:$F,0,0),IF(($G163/$F163)&gt;='Discount Scheme Target'!$E$4,_xlfn.XLOOKUP($E163,'Discount Scheme Target'!$B:$B,'Discount Scheme Target'!$E:$E,0,0),IF(($G163/$F163)&gt;='Discount Scheme Target'!$D$4,_xlfn.XLOOKUP($E163,'Discount Scheme Target'!$B:$B,'Discount Scheme Target'!$D:$D,0,0),0))),0)</f>
        <v>0.04</v>
      </c>
      <c r="J163" s="72">
        <f>IF(SUMIF('Customer Num Distr.'!$A:$A,Workings!$A163,'Customer Num Distr.'!$E:$E)&gt;='Discount Scheme Target'!$G$4,_xlfn.XLOOKUP(Workings!$E163,'Discount Scheme Target'!$B:$B,'Discount Scheme Target'!$G:$G,0,0),0)</f>
        <v>0</v>
      </c>
      <c r="K163" s="72">
        <f>IF(SUMIF('Bouclage EG Cust Cons_Decons'!$A:$A,Workings!$A163,'Bouclage EG Cust Cons_Decons'!$F:$F)&gt;='Discount Scheme Target'!$H$4,_xlfn.XLOOKUP(Workings!$E163,'Discount Scheme Target'!$B:$B,'Discount Scheme Target'!$H:$H,0,0),0)</f>
        <v>0</v>
      </c>
      <c r="L163" s="72">
        <f>IF(INDEX('TT Around time'!$A$1:$F$46,MATCH($A163,'TT Around time'!$A:$A,0),6)&gt;='Discount Scheme Target'!$I$4,_xlfn.XLOOKUP(Workings!$E163,'Discount Scheme Target'!$B:$B,'Discount Scheme Target'!$I:$I,0,0),0)</f>
        <v>5.0000000000000001E-3</v>
      </c>
      <c r="M163" s="72">
        <f t="shared" si="22"/>
        <v>4.4999999999999998E-2</v>
      </c>
      <c r="N163" s="62">
        <f t="shared" si="30"/>
        <v>344674.3608458864</v>
      </c>
      <c r="T163" s="61">
        <f t="shared" si="23"/>
        <v>306377.20964078791</v>
      </c>
      <c r="U163" s="61">
        <f t="shared" si="24"/>
        <v>0</v>
      </c>
      <c r="V163" s="61">
        <f t="shared" si="25"/>
        <v>0</v>
      </c>
      <c r="W163" s="61">
        <f t="shared" si="26"/>
        <v>38297.151205098489</v>
      </c>
      <c r="X163" s="61">
        <f t="shared" si="31"/>
        <v>344674.3608458864</v>
      </c>
      <c r="Y163" s="61">
        <f t="shared" si="32"/>
        <v>0</v>
      </c>
    </row>
    <row r="164" spans="1:25" x14ac:dyDescent="0.25">
      <c r="A164" s="149">
        <v>1300006459</v>
      </c>
      <c r="B164" s="149" t="s">
        <v>500</v>
      </c>
      <c r="C164" s="51" t="s">
        <v>140</v>
      </c>
      <c r="D164" s="51" t="s">
        <v>141</v>
      </c>
      <c r="E164" s="51" t="s">
        <v>355</v>
      </c>
      <c r="F164" s="52">
        <f>SUMIF('Customer Budget Per Category'!$A:$A,$A164,'Customer Budget Per Category'!$M:$M)</f>
        <v>1700</v>
      </c>
      <c r="G164" s="52">
        <f>SUMIFS('Navision sales Dump'!$E:$E,'Navision sales Dump'!$K:$K,$E164,'Navision sales Dump'!$A:$A,$A164)</f>
        <v>1152</v>
      </c>
      <c r="H164" s="62">
        <f>SUMIFS('Navision sales Dump'!$G:$G,'Navision sales Dump'!$K:$K,$E164,'Navision sales Dump'!$A:$A,$A164)</f>
        <v>2961626.4</v>
      </c>
      <c r="I164" s="72">
        <f>IFERROR(IF(($G164/$F164)&gt;='Discount Scheme Target'!$F$4,_xlfn.XLOOKUP($E164,'Discount Scheme Target'!$B:$B,'Discount Scheme Target'!$F:$F,0,0),IF(($G164/$F164)&gt;='Discount Scheme Target'!$E$4,_xlfn.XLOOKUP($E164,'Discount Scheme Target'!$B:$B,'Discount Scheme Target'!$E:$E,0,0),IF(($G164/$F164)&gt;='Discount Scheme Target'!$D$4,_xlfn.XLOOKUP($E164,'Discount Scheme Target'!$B:$B,'Discount Scheme Target'!$D:$D,0,0),0))),0)</f>
        <v>0</v>
      </c>
      <c r="J164" s="72">
        <f>IF(SUMIF('Customer Num Distr.'!$A:$A,Workings!$A164,'Customer Num Distr.'!$E:$E)&gt;='Discount Scheme Target'!$G$4,_xlfn.XLOOKUP(Workings!$E164,'Discount Scheme Target'!$B:$B,'Discount Scheme Target'!$G:$G,0,0),0)</f>
        <v>0</v>
      </c>
      <c r="K164" s="72">
        <f>IF(SUMIF('Bouclage EG Cust Cons_Decons'!$A:$A,Workings!$A164,'Bouclage EG Cust Cons_Decons'!$F:$F)&gt;='Discount Scheme Target'!$H$4,_xlfn.XLOOKUP(Workings!$E164,'Discount Scheme Target'!$B:$B,'Discount Scheme Target'!$H:$H,0,0),0)</f>
        <v>0</v>
      </c>
      <c r="L164" s="72">
        <f>IF(INDEX('TT Around time'!$A$1:$F$46,MATCH($A164,'TT Around time'!$A:$A,0),6)&gt;='Discount Scheme Target'!$I$4,_xlfn.XLOOKUP(Workings!$E164,'Discount Scheme Target'!$B:$B,'Discount Scheme Target'!$I:$I,0,0),0)</f>
        <v>5.0000000000000001E-3</v>
      </c>
      <c r="M164" s="72">
        <f t="shared" si="22"/>
        <v>5.0000000000000001E-3</v>
      </c>
      <c r="N164" s="62">
        <f t="shared" si="30"/>
        <v>21852.278125000001</v>
      </c>
      <c r="T164" s="61">
        <f t="shared" si="23"/>
        <v>0</v>
      </c>
      <c r="U164" s="61">
        <f t="shared" si="24"/>
        <v>0</v>
      </c>
      <c r="V164" s="61">
        <f t="shared" si="25"/>
        <v>0</v>
      </c>
      <c r="W164" s="61">
        <f t="shared" si="26"/>
        <v>21852.278125000001</v>
      </c>
      <c r="X164" s="61">
        <f t="shared" si="31"/>
        <v>21852.278125000001</v>
      </c>
      <c r="Y164" s="61">
        <f t="shared" si="32"/>
        <v>0</v>
      </c>
    </row>
    <row r="165" spans="1:25" x14ac:dyDescent="0.25">
      <c r="A165" s="149">
        <v>1300006459</v>
      </c>
      <c r="B165" s="149" t="s">
        <v>500</v>
      </c>
      <c r="C165" s="51" t="s">
        <v>140</v>
      </c>
      <c r="D165" s="51" t="s">
        <v>141</v>
      </c>
      <c r="E165" s="51" t="s">
        <v>132</v>
      </c>
      <c r="F165" s="52">
        <f>SUMIF('Customer Budget Per Category'!$A:$A,$A165,'Customer Budget Per Category'!$N:$N)</f>
        <v>487</v>
      </c>
      <c r="G165" s="52">
        <f>SUMIFS('Navision sales Dump'!$E:$E,'Navision sales Dump'!$K:$K,$E165,'Navision sales Dump'!$A:$A,$A165)</f>
        <v>288</v>
      </c>
      <c r="H165" s="62">
        <f>SUMIFS('Navision sales Dump'!$G:$G,'Navision sales Dump'!$K:$K,$E165,'Navision sales Dump'!$A:$A,$A165)</f>
        <v>628531.19999999995</v>
      </c>
      <c r="I165" s="72">
        <f>IFERROR(IF(($G165/$F165)&gt;='Discount Scheme Target'!$F$4,_xlfn.XLOOKUP($E165,'Discount Scheme Target'!$B:$B,'Discount Scheme Target'!$F:$F,0,0),IF(($G165/$F165)&gt;='Discount Scheme Target'!$E$4,_xlfn.XLOOKUP($E165,'Discount Scheme Target'!$B:$B,'Discount Scheme Target'!$E:$E,0,0),IF(($G165/$F165)&gt;='Discount Scheme Target'!$D$4,_xlfn.XLOOKUP($E165,'Discount Scheme Target'!$B:$B,'Discount Scheme Target'!$D:$D,0,0),0))),0)</f>
        <v>0</v>
      </c>
      <c r="J165" s="72">
        <f>IF(SUMIF('Customer Num Distr.'!$A:$A,Workings!$A165,'Customer Num Distr.'!$E:$E)&gt;='Discount Scheme Target'!$G$4,_xlfn.XLOOKUP(Workings!$E165,'Discount Scheme Target'!$B:$B,'Discount Scheme Target'!$G:$G,0,0),0)</f>
        <v>0</v>
      </c>
      <c r="K165" s="72">
        <f>IF(SUMIF('Bouclage EG Cust Cons_Decons'!$A:$A,Workings!$A165,'Bouclage EG Cust Cons_Decons'!$F:$F)&gt;='Discount Scheme Target'!$H$4,_xlfn.XLOOKUP(Workings!$E165,'Discount Scheme Target'!$B:$B,'Discount Scheme Target'!$H:$H,0,0),0)</f>
        <v>0</v>
      </c>
      <c r="L165" s="72">
        <f>IF(INDEX('TT Around time'!$A$1:$F$46,MATCH($A165,'TT Around time'!$A:$A,0),6)&gt;='Discount Scheme Target'!$I$4,_xlfn.XLOOKUP(Workings!$E165,'Discount Scheme Target'!$B:$B,'Discount Scheme Target'!$I:$I,0,0),0)</f>
        <v>5.0000000000000001E-3</v>
      </c>
      <c r="M165" s="72">
        <f t="shared" si="22"/>
        <v>5.0000000000000001E-3</v>
      </c>
      <c r="N165" s="62">
        <f t="shared" si="30"/>
        <v>5314.1439999999993</v>
      </c>
      <c r="T165" s="61">
        <f t="shared" si="23"/>
        <v>0</v>
      </c>
      <c r="U165" s="61">
        <f t="shared" si="24"/>
        <v>0</v>
      </c>
      <c r="V165" s="61">
        <f t="shared" si="25"/>
        <v>0</v>
      </c>
      <c r="W165" s="61">
        <f t="shared" si="26"/>
        <v>5314.1439999999993</v>
      </c>
      <c r="X165" s="61">
        <f t="shared" si="31"/>
        <v>5314.1439999999993</v>
      </c>
      <c r="Y165" s="61">
        <f t="shared" si="32"/>
        <v>0</v>
      </c>
    </row>
    <row r="166" spans="1:25" x14ac:dyDescent="0.25">
      <c r="A166" s="149">
        <v>1300006459</v>
      </c>
      <c r="B166" s="149" t="s">
        <v>500</v>
      </c>
      <c r="C166" s="51" t="s">
        <v>140</v>
      </c>
      <c r="D166" s="51" t="s">
        <v>141</v>
      </c>
      <c r="E166" s="51" t="s">
        <v>133</v>
      </c>
      <c r="F166" s="52">
        <f>SUMIF('Customer Budget Per Category'!$A:$A,$A166,'Customer Budget Per Category'!$O:$O)</f>
        <v>324</v>
      </c>
      <c r="G166" s="52">
        <f>SUMIFS('Navision sales Dump'!$E:$E,'Navision sales Dump'!$K:$K,$E166,'Navision sales Dump'!$A:$A,$A166)</f>
        <v>576</v>
      </c>
      <c r="H166" s="62">
        <f>SUMIFS('Navision sales Dump'!$G:$G,'Navision sales Dump'!$K:$K,$E166,'Navision sales Dump'!$A:$A,$A166)</f>
        <v>5775770.8799999999</v>
      </c>
      <c r="I166" s="72">
        <f>IFERROR(IF(($G166/$F166)&gt;='Discount Scheme Target'!$F$4,_xlfn.XLOOKUP($E166,'Discount Scheme Target'!$B:$B,'Discount Scheme Target'!$F:$F,0,0),IF(($G166/$F166)&gt;='Discount Scheme Target'!$E$4,_xlfn.XLOOKUP($E166,'Discount Scheme Target'!$B:$B,'Discount Scheme Target'!$E:$E,0,0),IF(($G166/$F166)&gt;='Discount Scheme Target'!$D$4,_xlfn.XLOOKUP($E166,'Discount Scheme Target'!$B:$B,'Discount Scheme Target'!$D:$D,0,0),0))),0)</f>
        <v>0.04</v>
      </c>
      <c r="J166" s="72">
        <f>IF(SUMIF('Customer Num Distr.'!$A:$A,Workings!$A166,'Customer Num Distr.'!$E:$E)&gt;='Discount Scheme Target'!$G$4,_xlfn.XLOOKUP(Workings!$E166,'Discount Scheme Target'!$B:$B,'Discount Scheme Target'!$G:$G,0,0),0)</f>
        <v>0</v>
      </c>
      <c r="K166" s="72">
        <f>IF(SUMIF('Bouclage EG Cust Cons_Decons'!$A:$A,Workings!$A166,'Bouclage EG Cust Cons_Decons'!$F:$F)&gt;='Discount Scheme Target'!$H$4,_xlfn.XLOOKUP(Workings!$E166,'Discount Scheme Target'!$B:$B,'Discount Scheme Target'!$H:$H,0,0),0)</f>
        <v>0</v>
      </c>
      <c r="L166" s="72">
        <f>IF(INDEX('TT Around time'!$A$1:$F$46,MATCH($A166,'TT Around time'!$A:$A,0),6)&gt;='Discount Scheme Target'!$I$4,_xlfn.XLOOKUP(Workings!$E166,'Discount Scheme Target'!$B:$B,'Discount Scheme Target'!$I:$I,0,0),0)</f>
        <v>5.0000000000000001E-3</v>
      </c>
      <c r="M166" s="72">
        <f t="shared" si="22"/>
        <v>4.4999999999999998E-2</v>
      </c>
      <c r="N166" s="62">
        <f t="shared" si="30"/>
        <v>146199.20039999997</v>
      </c>
      <c r="T166" s="61">
        <f t="shared" si="23"/>
        <v>129954.84479999999</v>
      </c>
      <c r="U166" s="61">
        <f t="shared" si="24"/>
        <v>0</v>
      </c>
      <c r="V166" s="61">
        <f t="shared" si="25"/>
        <v>0</v>
      </c>
      <c r="W166" s="61">
        <f t="shared" si="26"/>
        <v>16244.355599999999</v>
      </c>
      <c r="X166" s="61">
        <f t="shared" si="31"/>
        <v>146199.2004</v>
      </c>
      <c r="Y166" s="61">
        <f t="shared" si="32"/>
        <v>0</v>
      </c>
    </row>
    <row r="167" spans="1:25" x14ac:dyDescent="0.25">
      <c r="A167" s="149">
        <v>1300006460</v>
      </c>
      <c r="B167" s="149" t="s">
        <v>516</v>
      </c>
      <c r="C167" s="51" t="s">
        <v>140</v>
      </c>
      <c r="D167" s="51" t="s">
        <v>141</v>
      </c>
      <c r="E167" s="51" t="s">
        <v>417</v>
      </c>
      <c r="F167" s="52">
        <f>SUMIF('Customer Budget Per Category'!$A:$A,$A167,'Customer Budget Per Category'!$E:$E)</f>
        <v>12700</v>
      </c>
      <c r="G167" s="52">
        <f>SUMIFS('Navision sales Dump'!$E:$E,'Navision sales Dump'!$K:$K,$E167,'Navision sales Dump'!$A:$A,$A167)</f>
        <v>14198</v>
      </c>
      <c r="H167" s="62">
        <f>SUMIFS('Navision sales Dump'!$G:$G,'Navision sales Dump'!$K:$K,$E167,'Navision sales Dump'!$A:$A,$A167)</f>
        <v>102584546.84</v>
      </c>
      <c r="I167" s="72">
        <f>IFERROR(IF(($G167/$F167)&gt;='Discount Scheme Target'!$F$4,_xlfn.XLOOKUP($E167,'Discount Scheme Target'!$B:$B,'Discount Scheme Target'!$F:$F,0,0),IF(($G167/$F167)&gt;='Discount Scheme Target'!$E$4,_xlfn.XLOOKUP($E167,'Discount Scheme Target'!$B:$B,'Discount Scheme Target'!$E:$E,0,0),IF(($G167/$F167)&gt;='Discount Scheme Target'!$D$4,_xlfn.XLOOKUP($E167,'Discount Scheme Target'!$B:$B,'Discount Scheme Target'!$D:$D,0,0),0))),0)</f>
        <v>3.5000000000000003E-2</v>
      </c>
      <c r="J167" s="72">
        <f>IF(SUMIF('Customer Num Distr.'!$A:$A,Workings!$A167,'Customer Num Distr.'!$E:$E)&gt;='Discount Scheme Target'!$G$4,_xlfn.XLOOKUP(Workings!$E167,'Discount Scheme Target'!$B:$B,'Discount Scheme Target'!$G:$G,0,0),0)</f>
        <v>0</v>
      </c>
      <c r="K167" s="72">
        <f>IF(SUMIF('Bouclage EG Cust Cons_Decons'!$A:$A,Workings!$A167,'Bouclage EG Cust Cons_Decons'!$F:$F)&gt;='Discount Scheme Target'!$H$4,_xlfn.XLOOKUP(Workings!$E167,'Discount Scheme Target'!$B:$B,'Discount Scheme Target'!$H:$H,0,0),0)</f>
        <v>0</v>
      </c>
      <c r="L167" s="72">
        <f>IF(INDEX('TT Around time'!$A$1:$F$46,MATCH($A167,'TT Around time'!$A:$A,0),6)&gt;='Discount Scheme Target'!$I$4,_xlfn.XLOOKUP(Workings!$E167,'Discount Scheme Target'!$B:$B,'Discount Scheme Target'!$I:$I,0,0),0)</f>
        <v>0.01</v>
      </c>
      <c r="M167" s="72">
        <f t="shared" si="22"/>
        <v>4.5000000000000005E-2</v>
      </c>
      <c r="N167" s="62">
        <f t="shared" si="30"/>
        <v>4129248.3813959719</v>
      </c>
      <c r="T167" s="61">
        <f t="shared" si="23"/>
        <v>3211637.6299746446</v>
      </c>
      <c r="U167" s="61">
        <f t="shared" si="24"/>
        <v>0</v>
      </c>
      <c r="V167" s="61">
        <f t="shared" si="25"/>
        <v>0</v>
      </c>
      <c r="W167" s="61">
        <f t="shared" si="26"/>
        <v>917610.751421327</v>
      </c>
      <c r="X167" s="61">
        <f t="shared" si="31"/>
        <v>4129248.3813959714</v>
      </c>
      <c r="Y167" s="61">
        <f t="shared" si="32"/>
        <v>0</v>
      </c>
    </row>
    <row r="168" spans="1:25" x14ac:dyDescent="0.25">
      <c r="A168" s="149">
        <v>1300006460</v>
      </c>
      <c r="B168" s="149" t="s">
        <v>516</v>
      </c>
      <c r="C168" s="51" t="s">
        <v>140</v>
      </c>
      <c r="D168" s="51" t="s">
        <v>141</v>
      </c>
      <c r="E168" s="51" t="s">
        <v>418</v>
      </c>
      <c r="F168" s="52">
        <f>SUMIF('Customer Budget Per Category'!$A:$A,$A168,'Customer Budget Per Category'!$F:$F)</f>
        <v>0</v>
      </c>
      <c r="G168" s="52">
        <f>SUMIFS('Navision sales Dump'!$E:$E,'Navision sales Dump'!$K:$K,$E168,'Navision sales Dump'!$A:$A,$A168)</f>
        <v>0</v>
      </c>
      <c r="H168" s="62">
        <f>SUMIFS('Navision sales Dump'!$G:$G,'Navision sales Dump'!$K:$K,$E168,'Navision sales Dump'!$A:$A,$A168)</f>
        <v>0</v>
      </c>
      <c r="I168" s="72">
        <f>IFERROR(IF(($G168/$F168)&gt;='Discount Scheme Target'!$F$4,_xlfn.XLOOKUP($E168,'Discount Scheme Target'!$B:$B,'Discount Scheme Target'!$F:$F,0,0),IF(($G168/$F168)&gt;='Discount Scheme Target'!$E$4,_xlfn.XLOOKUP($E168,'Discount Scheme Target'!$B:$B,'Discount Scheme Target'!$E:$E,0,0),IF(($G168/$F168)&gt;='Discount Scheme Target'!$D$4,_xlfn.XLOOKUP($E168,'Discount Scheme Target'!$B:$B,'Discount Scheme Target'!$D:$D,0,0),0))),0)</f>
        <v>0</v>
      </c>
      <c r="J168" s="72">
        <f>IF(SUMIF('Customer Num Distr.'!$A:$A,Workings!$A168,'Customer Num Distr.'!$E:$E)&gt;='Discount Scheme Target'!$G$4,_xlfn.XLOOKUP(Workings!$E168,'Discount Scheme Target'!$B:$B,'Discount Scheme Target'!$G:$G,0,0),0)</f>
        <v>0</v>
      </c>
      <c r="K168" s="72">
        <f>IF(SUMIF('Bouclage EG Cust Cons_Decons'!$A:$A,Workings!$A168,'Bouclage EG Cust Cons_Decons'!$F:$F)&gt;='Discount Scheme Target'!$H$4,_xlfn.XLOOKUP(Workings!$E168,'Discount Scheme Target'!$B:$B,'Discount Scheme Target'!$H:$H,0,0),0)</f>
        <v>0</v>
      </c>
      <c r="L168" s="72">
        <f>IF(INDEX('TT Around time'!$A$1:$F$46,MATCH($A168,'TT Around time'!$A:$A,0),6)&gt;='Discount Scheme Target'!$I$4,_xlfn.XLOOKUP(Workings!$E168,'Discount Scheme Target'!$B:$B,'Discount Scheme Target'!$I:$I,0,0),0)</f>
        <v>0</v>
      </c>
      <c r="M168" s="72">
        <f t="shared" si="22"/>
        <v>0</v>
      </c>
      <c r="N168" s="62">
        <f t="shared" si="30"/>
        <v>0</v>
      </c>
      <c r="T168" s="61">
        <f t="shared" si="23"/>
        <v>0</v>
      </c>
      <c r="U168" s="61">
        <f t="shared" si="24"/>
        <v>0</v>
      </c>
      <c r="V168" s="61">
        <f t="shared" si="25"/>
        <v>0</v>
      </c>
      <c r="W168" s="61">
        <f t="shared" si="26"/>
        <v>0</v>
      </c>
      <c r="X168" s="61">
        <f t="shared" si="31"/>
        <v>0</v>
      </c>
      <c r="Y168" s="61">
        <f t="shared" si="32"/>
        <v>0</v>
      </c>
    </row>
    <row r="169" spans="1:25" x14ac:dyDescent="0.25">
      <c r="A169" s="149">
        <v>1300006460</v>
      </c>
      <c r="B169" s="149" t="s">
        <v>516</v>
      </c>
      <c r="C169" s="51" t="s">
        <v>140</v>
      </c>
      <c r="D169" s="51" t="s">
        <v>141</v>
      </c>
      <c r="E169" s="51" t="s">
        <v>130</v>
      </c>
      <c r="F169" s="52">
        <f>SUMIF('Customer Budget Per Category'!$A:$A,$A169,'Customer Budget Per Category'!$G:$G)</f>
        <v>331.12676339548199</v>
      </c>
      <c r="G169" s="52">
        <f>SUMIFS('Navision sales Dump'!$E:$E,'Navision sales Dump'!$K:$K,$E169,'Navision sales Dump'!$A:$A,$A169)</f>
        <v>707</v>
      </c>
      <c r="H169" s="62">
        <f>SUMIFS('Navision sales Dump'!$G:$G,'Navision sales Dump'!$K:$K,$E169,'Navision sales Dump'!$A:$A,$A169)</f>
        <v>5461801.2400000002</v>
      </c>
      <c r="I169" s="72">
        <f>IFERROR(IF(($G169/$F169)&gt;='Discount Scheme Target'!$F$4,_xlfn.XLOOKUP($E169,'Discount Scheme Target'!$B:$B,'Discount Scheme Target'!$F:$F,0,0),IF(($G169/$F169)&gt;='Discount Scheme Target'!$E$4,_xlfn.XLOOKUP($E169,'Discount Scheme Target'!$B:$B,'Discount Scheme Target'!$E:$E,0,0),IF(($G169/$F169)&gt;='Discount Scheme Target'!$D$4,_xlfn.XLOOKUP($E169,'Discount Scheme Target'!$B:$B,'Discount Scheme Target'!$D:$D,0,0),0))),0)</f>
        <v>4.5000000000000005E-2</v>
      </c>
      <c r="J169" s="72">
        <f>IF(SUMIF('Customer Num Distr.'!$A:$A,Workings!$A169,'Customer Num Distr.'!$E:$E)&gt;='Discount Scheme Target'!$G$4,_xlfn.XLOOKUP(Workings!$E169,'Discount Scheme Target'!$B:$B,'Discount Scheme Target'!$G:$G,0,0),0)</f>
        <v>0</v>
      </c>
      <c r="K169" s="72">
        <f>IF(SUMIF('Bouclage EG Cust Cons_Decons'!$A:$A,Workings!$A169,'Bouclage EG Cust Cons_Decons'!$F:$F)&gt;='Discount Scheme Target'!$H$4,_xlfn.XLOOKUP(Workings!$E169,'Discount Scheme Target'!$B:$B,'Discount Scheme Target'!$H:$H,0,0),0)</f>
        <v>0</v>
      </c>
      <c r="L169" s="72">
        <f>IF(INDEX('TT Around time'!$A$1:$F$46,MATCH($A169,'TT Around time'!$A:$A,0),6)&gt;='Discount Scheme Target'!$I$4,_xlfn.XLOOKUP(Workings!$E169,'Discount Scheme Target'!$B:$B,'Discount Scheme Target'!$I:$I,0,0),0)</f>
        <v>0.01</v>
      </c>
      <c r="M169" s="72">
        <f t="shared" si="22"/>
        <v>5.5000000000000007E-2</v>
      </c>
      <c r="N169" s="62">
        <f t="shared" si="30"/>
        <v>140693.3114286912</v>
      </c>
      <c r="T169" s="61">
        <f t="shared" si="23"/>
        <v>115112.70935074733</v>
      </c>
      <c r="U169" s="61">
        <f t="shared" si="24"/>
        <v>0</v>
      </c>
      <c r="V169" s="61">
        <f t="shared" si="25"/>
        <v>0</v>
      </c>
      <c r="W169" s="61">
        <f t="shared" si="26"/>
        <v>25580.602077943851</v>
      </c>
      <c r="X169" s="61">
        <f t="shared" si="31"/>
        <v>140693.31142869117</v>
      </c>
      <c r="Y169" s="61">
        <f t="shared" si="32"/>
        <v>0</v>
      </c>
    </row>
    <row r="170" spans="1:25" x14ac:dyDescent="0.25">
      <c r="A170" s="149">
        <v>1300006460</v>
      </c>
      <c r="B170" s="149" t="s">
        <v>516</v>
      </c>
      <c r="C170" s="51" t="s">
        <v>140</v>
      </c>
      <c r="D170" s="51" t="s">
        <v>141</v>
      </c>
      <c r="E170" s="51" t="s">
        <v>131</v>
      </c>
      <c r="F170" s="52">
        <f>SUMIF('Customer Budget Per Category'!$A:$A,$A170,'Customer Budget Per Category'!$H:$H)</f>
        <v>59.714154005436122</v>
      </c>
      <c r="G170" s="52">
        <f>SUMIFS('Navision sales Dump'!$E:$E,'Navision sales Dump'!$K:$K,$E170,'Navision sales Dump'!$A:$A,$A170)</f>
        <v>69</v>
      </c>
      <c r="H170" s="62">
        <f>SUMIFS('Navision sales Dump'!$G:$G,'Navision sales Dump'!$K:$K,$E170,'Navision sales Dump'!$A:$A,$A170)</f>
        <v>2855061</v>
      </c>
      <c r="I170" s="72">
        <f>IFERROR(IF(($G170/$F170)&gt;='Discount Scheme Target'!$F$4,_xlfn.XLOOKUP($E170,'Discount Scheme Target'!$B:$B,'Discount Scheme Target'!$F:$F,0,0),IF(($G170/$F170)&gt;='Discount Scheme Target'!$E$4,_xlfn.XLOOKUP($E170,'Discount Scheme Target'!$B:$B,'Discount Scheme Target'!$E:$E,0,0),IF(($G170/$F170)&gt;='Discount Scheme Target'!$D$4,_xlfn.XLOOKUP($E170,'Discount Scheme Target'!$B:$B,'Discount Scheme Target'!$D:$D,0,0),0))),0)</f>
        <v>0.04</v>
      </c>
      <c r="J170" s="72">
        <f>IF(SUMIF('Customer Num Distr.'!$A:$A,Workings!$A170,'Customer Num Distr.'!$E:$E)&gt;='Discount Scheme Target'!$G$4,_xlfn.XLOOKUP(Workings!$E170,'Discount Scheme Target'!$B:$B,'Discount Scheme Target'!$G:$G,0,0),0)</f>
        <v>0</v>
      </c>
      <c r="K170" s="72">
        <f>IF(SUMIF('Bouclage EG Cust Cons_Decons'!$A:$A,Workings!$A170,'Bouclage EG Cust Cons_Decons'!$F:$F)&gt;='Discount Scheme Target'!$H$4,_xlfn.XLOOKUP(Workings!$E170,'Discount Scheme Target'!$B:$B,'Discount Scheme Target'!$H:$H,0,0),0)</f>
        <v>0</v>
      </c>
      <c r="L170" s="72">
        <f>IF(INDEX('TT Around time'!$A$1:$F$46,MATCH($A170,'TT Around time'!$A:$A,0),6)&gt;='Discount Scheme Target'!$I$4,_xlfn.XLOOKUP(Workings!$E170,'Discount Scheme Target'!$B:$B,'Discount Scheme Target'!$I:$I,0,0),0)</f>
        <v>5.0000000000000001E-3</v>
      </c>
      <c r="M170" s="72">
        <f t="shared" si="22"/>
        <v>4.4999999999999998E-2</v>
      </c>
      <c r="N170" s="62">
        <f t="shared" si="30"/>
        <v>111187.53407537899</v>
      </c>
      <c r="T170" s="61">
        <f t="shared" si="23"/>
        <v>98833.363622559104</v>
      </c>
      <c r="U170" s="61">
        <f t="shared" si="24"/>
        <v>0</v>
      </c>
      <c r="V170" s="61">
        <f t="shared" si="25"/>
        <v>0</v>
      </c>
      <c r="W170" s="61">
        <f t="shared" si="26"/>
        <v>12354.170452819888</v>
      </c>
      <c r="X170" s="61">
        <f t="shared" si="31"/>
        <v>111187.53407537899</v>
      </c>
      <c r="Y170" s="61">
        <f t="shared" si="32"/>
        <v>0</v>
      </c>
    </row>
    <row r="171" spans="1:25" x14ac:dyDescent="0.25">
      <c r="A171" s="149">
        <v>1300006460</v>
      </c>
      <c r="B171" s="149" t="s">
        <v>516</v>
      </c>
      <c r="C171" s="51" t="s">
        <v>140</v>
      </c>
      <c r="D171" s="51" t="s">
        <v>141</v>
      </c>
      <c r="E171" s="51" t="s">
        <v>514</v>
      </c>
      <c r="F171" s="52">
        <f>SUMIF('Customer Budget Per Category'!$A:$A,$A171,'Customer Budget Per Category'!$I:$I)</f>
        <v>6700</v>
      </c>
      <c r="G171" s="52">
        <f>SUMIFS('Navision sales Dump'!$E:$E,'Navision sales Dump'!$K:$K,$E171,'Navision sales Dump'!$A:$A,$A171)</f>
        <v>10520</v>
      </c>
      <c r="H171" s="62">
        <f>SUMIFS('Navision sales Dump'!$G:$G,'Navision sales Dump'!$K:$K,$E171,'Navision sales Dump'!$A:$A,$A171)</f>
        <v>41638475.600000001</v>
      </c>
      <c r="I171" s="72">
        <f>IFERROR(IF(($G171/$F171)&gt;='Discount Scheme Target'!$F$4,_xlfn.XLOOKUP($E171,'Discount Scheme Target'!$B:$B,'Discount Scheme Target'!$F:$F,0,0),IF(($G171/$F171)&gt;='Discount Scheme Target'!$E$4,_xlfn.XLOOKUP($E171,'Discount Scheme Target'!$B:$B,'Discount Scheme Target'!$E:$E,0,0),IF(($G171/$F171)&gt;='Discount Scheme Target'!$D$4,_xlfn.XLOOKUP($E171,'Discount Scheme Target'!$B:$B,'Discount Scheme Target'!$D:$D,0,0),0))),0)</f>
        <v>0.04</v>
      </c>
      <c r="J171" s="72">
        <f>IF(SUMIF('Customer Num Distr.'!$A:$A,Workings!$A171,'Customer Num Distr.'!$E:$E)&gt;='Discount Scheme Target'!$G$4,_xlfn.XLOOKUP(Workings!$E171,'Discount Scheme Target'!$B:$B,'Discount Scheme Target'!$G:$G,0,0),0)</f>
        <v>0</v>
      </c>
      <c r="K171" s="72">
        <f>IF(SUMIF('Bouclage EG Cust Cons_Decons'!$A:$A,Workings!$A171,'Bouclage EG Cust Cons_Decons'!$F:$F)&gt;='Discount Scheme Target'!$H$4,_xlfn.XLOOKUP(Workings!$E171,'Discount Scheme Target'!$B:$B,'Discount Scheme Target'!$H:$H,0,0),0)</f>
        <v>0</v>
      </c>
      <c r="L171" s="72">
        <f>IF(INDEX('TT Around time'!$A$1:$F$46,MATCH($A171,'TT Around time'!$A:$A,0),6)&gt;='Discount Scheme Target'!$I$4,_xlfn.XLOOKUP(Workings!$E171,'Discount Scheme Target'!$B:$B,'Discount Scheme Target'!$I:$I,0,0),0)</f>
        <v>5.0000000000000001E-3</v>
      </c>
      <c r="M171" s="72">
        <f t="shared" si="22"/>
        <v>4.4999999999999998E-2</v>
      </c>
      <c r="N171" s="62">
        <f t="shared" si="30"/>
        <v>1193346.0449999999</v>
      </c>
      <c r="T171" s="61">
        <f t="shared" si="23"/>
        <v>1060752.04</v>
      </c>
      <c r="U171" s="61">
        <f t="shared" si="24"/>
        <v>0</v>
      </c>
      <c r="V171" s="61">
        <f t="shared" si="25"/>
        <v>0</v>
      </c>
      <c r="W171" s="61">
        <f t="shared" si="26"/>
        <v>132594.005</v>
      </c>
      <c r="X171" s="61">
        <f t="shared" si="31"/>
        <v>1193346.0449999999</v>
      </c>
      <c r="Y171" s="61">
        <f t="shared" si="32"/>
        <v>0</v>
      </c>
    </row>
    <row r="172" spans="1:25" x14ac:dyDescent="0.25">
      <c r="A172" s="149">
        <v>1300006460</v>
      </c>
      <c r="B172" s="149" t="s">
        <v>516</v>
      </c>
      <c r="C172" s="51" t="s">
        <v>140</v>
      </c>
      <c r="D172" s="51" t="s">
        <v>141</v>
      </c>
      <c r="E172" s="51" t="s">
        <v>515</v>
      </c>
      <c r="F172" s="52">
        <f>SUMIF('Customer Budget Per Category'!$A:$A,$A172,'Customer Budget Per Category'!$J:$J)</f>
        <v>842.47903982017169</v>
      </c>
      <c r="G172" s="52">
        <f>SUMIFS('Navision sales Dump'!$E:$E,'Navision sales Dump'!$K:$K,$E172,'Navision sales Dump'!$A:$A,$A172)</f>
        <v>1438</v>
      </c>
      <c r="H172" s="62">
        <f>SUMIFS('Navision sales Dump'!$G:$G,'Navision sales Dump'!$K:$K,$E172,'Navision sales Dump'!$A:$A,$A172)</f>
        <v>4059330.2</v>
      </c>
      <c r="I172" s="72">
        <f>IFERROR(IF(($G172/$F172)&gt;='Discount Scheme Target'!$F$4,_xlfn.XLOOKUP($E172,'Discount Scheme Target'!$B:$B,'Discount Scheme Target'!$F:$F,0,0),IF(($G172/$F172)&gt;='Discount Scheme Target'!$E$4,_xlfn.XLOOKUP($E172,'Discount Scheme Target'!$B:$B,'Discount Scheme Target'!$E:$E,0,0),IF(($G172/$F172)&gt;='Discount Scheme Target'!$D$4,_xlfn.XLOOKUP($E172,'Discount Scheme Target'!$B:$B,'Discount Scheme Target'!$D:$D,0,0),0))),0)</f>
        <v>0.03</v>
      </c>
      <c r="J172" s="72">
        <f>IF(SUMIF('Customer Num Distr.'!$A:$A,Workings!$A172,'Customer Num Distr.'!$E:$E)&gt;='Discount Scheme Target'!$G$4,_xlfn.XLOOKUP(Workings!$E172,'Discount Scheme Target'!$B:$B,'Discount Scheme Target'!$G:$G,0,0),0)</f>
        <v>0</v>
      </c>
      <c r="K172" s="72">
        <f>IF(SUMIF('Bouclage EG Cust Cons_Decons'!$A:$A,Workings!$A172,'Bouclage EG Cust Cons_Decons'!$F:$F)&gt;='Discount Scheme Target'!$H$4,_xlfn.XLOOKUP(Workings!$E172,'Discount Scheme Target'!$B:$B,'Discount Scheme Target'!$H:$H,0,0),0)</f>
        <v>0</v>
      </c>
      <c r="L172" s="72">
        <f>IF(INDEX('TT Around time'!$A$1:$F$46,MATCH($A172,'TT Around time'!$A:$A,0),6)&gt;='Discount Scheme Target'!$I$4,_xlfn.XLOOKUP(Workings!$E172,'Discount Scheme Target'!$B:$B,'Discount Scheme Target'!$I:$I,0,0),0)</f>
        <v>5.0000000000000001E-3</v>
      </c>
      <c r="M172" s="72">
        <f t="shared" si="22"/>
        <v>3.4999999999999996E-2</v>
      </c>
      <c r="N172" s="62">
        <f t="shared" si="30"/>
        <v>83238.192852792679</v>
      </c>
      <c r="T172" s="61">
        <f t="shared" si="23"/>
        <v>71347.02244525087</v>
      </c>
      <c r="U172" s="61">
        <f t="shared" si="24"/>
        <v>0</v>
      </c>
      <c r="V172" s="61">
        <f t="shared" si="25"/>
        <v>0</v>
      </c>
      <c r="W172" s="61">
        <f t="shared" si="26"/>
        <v>11891.170407541813</v>
      </c>
      <c r="X172" s="61">
        <f t="shared" si="31"/>
        <v>83238.192852792679</v>
      </c>
      <c r="Y172" s="61">
        <f t="shared" si="32"/>
        <v>0</v>
      </c>
    </row>
    <row r="173" spans="1:25" x14ac:dyDescent="0.25">
      <c r="A173" s="149">
        <v>1300006460</v>
      </c>
      <c r="B173" s="149" t="s">
        <v>516</v>
      </c>
      <c r="C173" s="51" t="s">
        <v>140</v>
      </c>
      <c r="D173" s="51" t="s">
        <v>141</v>
      </c>
      <c r="E173" s="51" t="s">
        <v>161</v>
      </c>
      <c r="F173" s="52">
        <f>SUMIF('Customer Budget Per Category'!$A:$A,$A173,'Customer Budget Per Category'!$K:$K)</f>
        <v>0</v>
      </c>
      <c r="G173" s="52">
        <f>SUMIFS('Navision sales Dump'!$E:$E,'Navision sales Dump'!$K:$K,$E173,'Navision sales Dump'!$A:$A,$A173)</f>
        <v>0</v>
      </c>
      <c r="H173" s="62">
        <f>SUMIFS('Navision sales Dump'!$G:$G,'Navision sales Dump'!$K:$K,$E173,'Navision sales Dump'!$A:$A,$A173)</f>
        <v>0</v>
      </c>
      <c r="I173" s="72">
        <f>IFERROR(IF(($G173/$F173)&gt;='Discount Scheme Target'!$F$4,_xlfn.XLOOKUP($E173,'Discount Scheme Target'!$B:$B,'Discount Scheme Target'!$F:$F,0,0),IF(($G173/$F173)&gt;='Discount Scheme Target'!$E$4,_xlfn.XLOOKUP($E173,'Discount Scheme Target'!$B:$B,'Discount Scheme Target'!$E:$E,0,0),IF(($G173/$F173)&gt;='Discount Scheme Target'!$D$4,_xlfn.XLOOKUP($E173,'Discount Scheme Target'!$B:$B,'Discount Scheme Target'!$D:$D,0,0),0))),0)</f>
        <v>0</v>
      </c>
      <c r="J173" s="72">
        <f>IF(SUMIF('Customer Num Distr.'!$A:$A,Workings!$A173,'Customer Num Distr.'!$E:$E)&gt;='Discount Scheme Target'!$G$4,_xlfn.XLOOKUP(Workings!$E173,'Discount Scheme Target'!$B:$B,'Discount Scheme Target'!$G:$G,0,0),0)</f>
        <v>0</v>
      </c>
      <c r="K173" s="72">
        <f>IF(SUMIF('Bouclage EG Cust Cons_Decons'!$A:$A,Workings!$A173,'Bouclage EG Cust Cons_Decons'!$F:$F)&gt;='Discount Scheme Target'!$H$4,_xlfn.XLOOKUP(Workings!$E173,'Discount Scheme Target'!$B:$B,'Discount Scheme Target'!$H:$H,0,0),0)</f>
        <v>0</v>
      </c>
      <c r="L173" s="72">
        <f>IF(INDEX('TT Around time'!$A$1:$F$46,MATCH($A173,'TT Around time'!$A:$A,0),6)&gt;='Discount Scheme Target'!$I$4,_xlfn.XLOOKUP(Workings!$E173,'Discount Scheme Target'!$B:$B,'Discount Scheme Target'!$I:$I,0,0),0)</f>
        <v>0</v>
      </c>
      <c r="M173" s="72">
        <f t="shared" si="22"/>
        <v>0</v>
      </c>
      <c r="N173" s="62">
        <f t="shared" si="30"/>
        <v>0</v>
      </c>
      <c r="T173" s="61">
        <f t="shared" si="23"/>
        <v>0</v>
      </c>
      <c r="U173" s="61">
        <f t="shared" si="24"/>
        <v>0</v>
      </c>
      <c r="V173" s="61">
        <f t="shared" si="25"/>
        <v>0</v>
      </c>
      <c r="W173" s="61">
        <f t="shared" si="26"/>
        <v>0</v>
      </c>
      <c r="X173" s="61">
        <f t="shared" si="31"/>
        <v>0</v>
      </c>
      <c r="Y173" s="61">
        <f t="shared" si="32"/>
        <v>0</v>
      </c>
    </row>
    <row r="174" spans="1:25" x14ac:dyDescent="0.25">
      <c r="A174" s="149">
        <v>1300006460</v>
      </c>
      <c r="B174" s="149" t="s">
        <v>516</v>
      </c>
      <c r="C174" s="51" t="s">
        <v>140</v>
      </c>
      <c r="D174" s="51" t="s">
        <v>141</v>
      </c>
      <c r="E174" s="51" t="s">
        <v>354</v>
      </c>
      <c r="F174" s="52">
        <f>SUMIF('Customer Budget Per Category'!$A:$A,$A174,'Customer Budget Per Category'!$L:$L)</f>
        <v>1900</v>
      </c>
      <c r="G174" s="52">
        <f>SUMIFS('Navision sales Dump'!$E:$E,'Navision sales Dump'!$K:$K,$E174,'Navision sales Dump'!$A:$A,$A174)</f>
        <v>2224</v>
      </c>
      <c r="H174" s="62">
        <f>SUMIFS('Navision sales Dump'!$G:$G,'Navision sales Dump'!$K:$K,$E174,'Navision sales Dump'!$A:$A,$A174)</f>
        <v>7856032.2699999996</v>
      </c>
      <c r="I174" s="72">
        <f>IFERROR(IF(($G174/$F174)&gt;='Discount Scheme Target'!$F$4,_xlfn.XLOOKUP($E174,'Discount Scheme Target'!$B:$B,'Discount Scheme Target'!$F:$F,0,0),IF(($G174/$F174)&gt;='Discount Scheme Target'!$E$4,_xlfn.XLOOKUP($E174,'Discount Scheme Target'!$B:$B,'Discount Scheme Target'!$E:$E,0,0),IF(($G174/$F174)&gt;='Discount Scheme Target'!$D$4,_xlfn.XLOOKUP($E174,'Discount Scheme Target'!$B:$B,'Discount Scheme Target'!$D:$D,0,0),0))),0)</f>
        <v>0.04</v>
      </c>
      <c r="J174" s="72">
        <f>IF(SUMIF('Customer Num Distr.'!$A:$A,Workings!$A174,'Customer Num Distr.'!$E:$E)&gt;='Discount Scheme Target'!$G$4,_xlfn.XLOOKUP(Workings!$E174,'Discount Scheme Target'!$B:$B,'Discount Scheme Target'!$G:$G,0,0),0)</f>
        <v>0</v>
      </c>
      <c r="K174" s="72">
        <f>IF(SUMIF('Bouclage EG Cust Cons_Decons'!$A:$A,Workings!$A174,'Bouclage EG Cust Cons_Decons'!$F:$F)&gt;='Discount Scheme Target'!$H$4,_xlfn.XLOOKUP(Workings!$E174,'Discount Scheme Target'!$B:$B,'Discount Scheme Target'!$H:$H,0,0),0)</f>
        <v>0</v>
      </c>
      <c r="L174" s="72">
        <f>IF(INDEX('TT Around time'!$A$1:$F$46,MATCH($A174,'TT Around time'!$A:$A,0),6)&gt;='Discount Scheme Target'!$I$4,_xlfn.XLOOKUP(Workings!$E174,'Discount Scheme Target'!$B:$B,'Discount Scheme Target'!$I:$I,0,0),0)</f>
        <v>5.0000000000000001E-3</v>
      </c>
      <c r="M174" s="72">
        <f t="shared" si="22"/>
        <v>4.4999999999999998E-2</v>
      </c>
      <c r="N174" s="62">
        <f t="shared" si="30"/>
        <v>302019.22620728414</v>
      </c>
      <c r="T174" s="61">
        <f t="shared" si="23"/>
        <v>268461.53440647479</v>
      </c>
      <c r="U174" s="61">
        <f t="shared" si="24"/>
        <v>0</v>
      </c>
      <c r="V174" s="61">
        <f t="shared" si="25"/>
        <v>0</v>
      </c>
      <c r="W174" s="61">
        <f t="shared" si="26"/>
        <v>33557.691800809349</v>
      </c>
      <c r="X174" s="61">
        <f t="shared" si="31"/>
        <v>302019.22620728414</v>
      </c>
      <c r="Y174" s="61">
        <f t="shared" si="32"/>
        <v>0</v>
      </c>
    </row>
    <row r="175" spans="1:25" x14ac:dyDescent="0.25">
      <c r="A175" s="149">
        <v>1300006460</v>
      </c>
      <c r="B175" s="149" t="s">
        <v>516</v>
      </c>
      <c r="C175" s="51" t="s">
        <v>140</v>
      </c>
      <c r="D175" s="51" t="s">
        <v>141</v>
      </c>
      <c r="E175" s="51" t="s">
        <v>355</v>
      </c>
      <c r="F175" s="52">
        <f>SUMIF('Customer Budget Per Category'!$A:$A,$A175,'Customer Budget Per Category'!$M:$M)</f>
        <v>1600</v>
      </c>
      <c r="G175" s="52">
        <f>SUMIFS('Navision sales Dump'!$E:$E,'Navision sales Dump'!$K:$K,$E175,'Navision sales Dump'!$A:$A,$A175)</f>
        <v>1581</v>
      </c>
      <c r="H175" s="62">
        <f>SUMIFS('Navision sales Dump'!$G:$G,'Navision sales Dump'!$K:$K,$E175,'Navision sales Dump'!$A:$A,$A175)</f>
        <v>4114982.8899999997</v>
      </c>
      <c r="I175" s="72">
        <f>IFERROR(IF(($G175/$F175)&gt;='Discount Scheme Target'!$F$4,_xlfn.XLOOKUP($E175,'Discount Scheme Target'!$B:$B,'Discount Scheme Target'!$F:$F,0,0),IF(($G175/$F175)&gt;='Discount Scheme Target'!$E$4,_xlfn.XLOOKUP($E175,'Discount Scheme Target'!$B:$B,'Discount Scheme Target'!$E:$E,0,0),IF(($G175/$F175)&gt;='Discount Scheme Target'!$D$4,_xlfn.XLOOKUP($E175,'Discount Scheme Target'!$B:$B,'Discount Scheme Target'!$D:$D,0,0),0))),0)</f>
        <v>0</v>
      </c>
      <c r="J175" s="72">
        <f>IF(SUMIF('Customer Num Distr.'!$A:$A,Workings!$A175,'Customer Num Distr.'!$E:$E)&gt;='Discount Scheme Target'!$G$4,_xlfn.XLOOKUP(Workings!$E175,'Discount Scheme Target'!$B:$B,'Discount Scheme Target'!$G:$G,0,0),0)</f>
        <v>0</v>
      </c>
      <c r="K175" s="72">
        <f>IF(SUMIF('Bouclage EG Cust Cons_Decons'!$A:$A,Workings!$A175,'Bouclage EG Cust Cons_Decons'!$F:$F)&gt;='Discount Scheme Target'!$H$4,_xlfn.XLOOKUP(Workings!$E175,'Discount Scheme Target'!$B:$B,'Discount Scheme Target'!$H:$H,0,0),0)</f>
        <v>0</v>
      </c>
      <c r="L175" s="72">
        <f>IF(INDEX('TT Around time'!$A$1:$F$46,MATCH($A175,'TT Around time'!$A:$A,0),6)&gt;='Discount Scheme Target'!$I$4,_xlfn.XLOOKUP(Workings!$E175,'Discount Scheme Target'!$B:$B,'Discount Scheme Target'!$I:$I,0,0),0)</f>
        <v>5.0000000000000001E-3</v>
      </c>
      <c r="M175" s="72">
        <f t="shared" si="22"/>
        <v>5.0000000000000001E-3</v>
      </c>
      <c r="N175" s="62">
        <f t="shared" si="30"/>
        <v>20822.177811511701</v>
      </c>
      <c r="T175" s="61">
        <f t="shared" si="23"/>
        <v>0</v>
      </c>
      <c r="U175" s="61">
        <f t="shared" si="24"/>
        <v>0</v>
      </c>
      <c r="V175" s="61">
        <f t="shared" si="25"/>
        <v>0</v>
      </c>
      <c r="W175" s="61">
        <f t="shared" si="26"/>
        <v>20822.177811511701</v>
      </c>
      <c r="X175" s="61">
        <f t="shared" si="31"/>
        <v>20822.177811511701</v>
      </c>
      <c r="Y175" s="61">
        <f t="shared" si="32"/>
        <v>0</v>
      </c>
    </row>
    <row r="176" spans="1:25" x14ac:dyDescent="0.25">
      <c r="A176" s="149">
        <v>1300006460</v>
      </c>
      <c r="B176" s="149" t="s">
        <v>516</v>
      </c>
      <c r="C176" s="51" t="s">
        <v>140</v>
      </c>
      <c r="D176" s="51" t="s">
        <v>141</v>
      </c>
      <c r="E176" s="51" t="s">
        <v>132</v>
      </c>
      <c r="F176" s="52">
        <f>SUMIF('Customer Budget Per Category'!$A:$A,$A176,'Customer Budget Per Category'!$N:$N)</f>
        <v>350</v>
      </c>
      <c r="G176" s="52">
        <f>SUMIFS('Navision sales Dump'!$E:$E,'Navision sales Dump'!$K:$K,$E176,'Navision sales Dump'!$A:$A,$A176)</f>
        <v>0</v>
      </c>
      <c r="H176" s="62">
        <f>SUMIFS('Navision sales Dump'!$G:$G,'Navision sales Dump'!$K:$K,$E176,'Navision sales Dump'!$A:$A,$A176)</f>
        <v>0</v>
      </c>
      <c r="I176" s="72">
        <f>IFERROR(IF(($G176/$F176)&gt;='Discount Scheme Target'!$F$4,_xlfn.XLOOKUP($E176,'Discount Scheme Target'!$B:$B,'Discount Scheme Target'!$F:$F,0,0),IF(($G176/$F176)&gt;='Discount Scheme Target'!$E$4,_xlfn.XLOOKUP($E176,'Discount Scheme Target'!$B:$B,'Discount Scheme Target'!$E:$E,0,0),IF(($G176/$F176)&gt;='Discount Scheme Target'!$D$4,_xlfn.XLOOKUP($E176,'Discount Scheme Target'!$B:$B,'Discount Scheme Target'!$D:$D,0,0),0))),0)</f>
        <v>0</v>
      </c>
      <c r="J176" s="72">
        <f>IF(SUMIF('Customer Num Distr.'!$A:$A,Workings!$A176,'Customer Num Distr.'!$E:$E)&gt;='Discount Scheme Target'!$G$4,_xlfn.XLOOKUP(Workings!$E176,'Discount Scheme Target'!$B:$B,'Discount Scheme Target'!$G:$G,0,0),0)</f>
        <v>0</v>
      </c>
      <c r="K176" s="72">
        <f>IF(SUMIF('Bouclage EG Cust Cons_Decons'!$A:$A,Workings!$A176,'Bouclage EG Cust Cons_Decons'!$F:$F)&gt;='Discount Scheme Target'!$H$4,_xlfn.XLOOKUP(Workings!$E176,'Discount Scheme Target'!$B:$B,'Discount Scheme Target'!$H:$H,0,0),0)</f>
        <v>0</v>
      </c>
      <c r="L176" s="72">
        <f>IF(INDEX('TT Around time'!$A$1:$F$46,MATCH($A176,'TT Around time'!$A:$A,0),6)&gt;='Discount Scheme Target'!$I$4,_xlfn.XLOOKUP(Workings!$E176,'Discount Scheme Target'!$B:$B,'Discount Scheme Target'!$I:$I,0,0),0)</f>
        <v>5.0000000000000001E-3</v>
      </c>
      <c r="M176" s="72">
        <f t="shared" si="22"/>
        <v>5.0000000000000001E-3</v>
      </c>
      <c r="N176" s="62">
        <f t="shared" si="30"/>
        <v>0</v>
      </c>
      <c r="T176" s="61">
        <f t="shared" si="23"/>
        <v>0</v>
      </c>
      <c r="U176" s="61">
        <f t="shared" si="24"/>
        <v>0</v>
      </c>
      <c r="V176" s="61">
        <f t="shared" si="25"/>
        <v>0</v>
      </c>
      <c r="W176" s="61">
        <f t="shared" si="26"/>
        <v>0</v>
      </c>
      <c r="X176" s="61">
        <f t="shared" si="31"/>
        <v>0</v>
      </c>
      <c r="Y176" s="61">
        <f t="shared" si="32"/>
        <v>0</v>
      </c>
    </row>
    <row r="177" spans="1:25" x14ac:dyDescent="0.25">
      <c r="A177" s="149">
        <v>1300006460</v>
      </c>
      <c r="B177" s="149" t="s">
        <v>516</v>
      </c>
      <c r="C177" s="51" t="s">
        <v>140</v>
      </c>
      <c r="D177" s="51" t="s">
        <v>141</v>
      </c>
      <c r="E177" s="51" t="s">
        <v>133</v>
      </c>
      <c r="F177" s="52">
        <f>SUMIF('Customer Budget Per Category'!$A:$A,$A177,'Customer Budget Per Category'!$O:$O)</f>
        <v>750</v>
      </c>
      <c r="G177" s="52">
        <f>SUMIFS('Navision sales Dump'!$E:$E,'Navision sales Dump'!$K:$K,$E177,'Navision sales Dump'!$A:$A,$A177)</f>
        <v>288</v>
      </c>
      <c r="H177" s="62">
        <f>SUMIFS('Navision sales Dump'!$G:$G,'Navision sales Dump'!$K:$K,$E177,'Navision sales Dump'!$A:$A,$A177)</f>
        <v>2887885.44</v>
      </c>
      <c r="I177" s="72">
        <f>IFERROR(IF(($G177/$F177)&gt;='Discount Scheme Target'!$F$4,_xlfn.XLOOKUP($E177,'Discount Scheme Target'!$B:$B,'Discount Scheme Target'!$F:$F,0,0),IF(($G177/$F177)&gt;='Discount Scheme Target'!$E$4,_xlfn.XLOOKUP($E177,'Discount Scheme Target'!$B:$B,'Discount Scheme Target'!$E:$E,0,0),IF(($G177/$F177)&gt;='Discount Scheme Target'!$D$4,_xlfn.XLOOKUP($E177,'Discount Scheme Target'!$B:$B,'Discount Scheme Target'!$D:$D,0,0),0))),0)</f>
        <v>0</v>
      </c>
      <c r="J177" s="72">
        <f>IF(SUMIF('Customer Num Distr.'!$A:$A,Workings!$A177,'Customer Num Distr.'!$E:$E)&gt;='Discount Scheme Target'!$G$4,_xlfn.XLOOKUP(Workings!$E177,'Discount Scheme Target'!$B:$B,'Discount Scheme Target'!$G:$G,0,0),0)</f>
        <v>0</v>
      </c>
      <c r="K177" s="72">
        <f>IF(SUMIF('Bouclage EG Cust Cons_Decons'!$A:$A,Workings!$A177,'Bouclage EG Cust Cons_Decons'!$F:$F)&gt;='Discount Scheme Target'!$H$4,_xlfn.XLOOKUP(Workings!$E177,'Discount Scheme Target'!$B:$B,'Discount Scheme Target'!$H:$H,0,0),0)</f>
        <v>0</v>
      </c>
      <c r="L177" s="72">
        <f>IF(INDEX('TT Around time'!$A$1:$F$46,MATCH($A177,'TT Around time'!$A:$A,0),6)&gt;='Discount Scheme Target'!$I$4,_xlfn.XLOOKUP(Workings!$E177,'Discount Scheme Target'!$B:$B,'Discount Scheme Target'!$I:$I,0,0),0)</f>
        <v>5.0000000000000001E-3</v>
      </c>
      <c r="M177" s="72">
        <f t="shared" si="22"/>
        <v>5.0000000000000001E-3</v>
      </c>
      <c r="N177" s="62">
        <f t="shared" si="30"/>
        <v>37602.674999999996</v>
      </c>
      <c r="T177" s="61">
        <f t="shared" si="23"/>
        <v>0</v>
      </c>
      <c r="U177" s="61">
        <f t="shared" si="24"/>
        <v>0</v>
      </c>
      <c r="V177" s="61">
        <f t="shared" si="25"/>
        <v>0</v>
      </c>
      <c r="W177" s="61">
        <f t="shared" si="26"/>
        <v>37602.674999999996</v>
      </c>
      <c r="X177" s="61">
        <f t="shared" si="31"/>
        <v>37602.674999999996</v>
      </c>
      <c r="Y177" s="61">
        <f t="shared" si="32"/>
        <v>0</v>
      </c>
    </row>
    <row r="178" spans="1:25" x14ac:dyDescent="0.25">
      <c r="A178" s="149">
        <v>1300006461</v>
      </c>
      <c r="B178" s="149" t="s">
        <v>517</v>
      </c>
      <c r="C178" s="51" t="s">
        <v>140</v>
      </c>
      <c r="D178" s="51" t="s">
        <v>141</v>
      </c>
      <c r="E178" s="51" t="s">
        <v>417</v>
      </c>
      <c r="F178" s="52">
        <f>SUMIF('Customer Budget Per Category'!$A:$A,$A178,'Customer Budget Per Category'!$E:$E)</f>
        <v>4350</v>
      </c>
      <c r="G178" s="52">
        <f>SUMIFS('Navision sales Dump'!$E:$E,'Navision sales Dump'!$K:$K,$E178,'Navision sales Dump'!$A:$A,$A178)</f>
        <v>5842</v>
      </c>
      <c r="H178" s="62">
        <f>SUMIFS('Navision sales Dump'!$G:$G,'Navision sales Dump'!$K:$K,$E178,'Navision sales Dump'!$A:$A,$A178)</f>
        <v>42813732.32</v>
      </c>
      <c r="I178" s="72">
        <f>IFERROR(IF(($G178/$F178)&gt;='Discount Scheme Target'!$F$4,_xlfn.XLOOKUP($E178,'Discount Scheme Target'!$B:$B,'Discount Scheme Target'!$F:$F,0,0),IF(($G178/$F178)&gt;='Discount Scheme Target'!$E$4,_xlfn.XLOOKUP($E178,'Discount Scheme Target'!$B:$B,'Discount Scheme Target'!$E:$E,0,0),IF(($G178/$F178)&gt;='Discount Scheme Target'!$D$4,_xlfn.XLOOKUP($E178,'Discount Scheme Target'!$B:$B,'Discount Scheme Target'!$D:$D,0,0),0))),0)</f>
        <v>4.5000000000000005E-2</v>
      </c>
      <c r="J178" s="72">
        <f>IF(SUMIF('Customer Num Distr.'!$A:$A,Workings!$A178,'Customer Num Distr.'!$E:$E)&gt;='Discount Scheme Target'!$G$4,_xlfn.XLOOKUP(Workings!$E178,'Discount Scheme Target'!$B:$B,'Discount Scheme Target'!$G:$G,0,0),0)</f>
        <v>0</v>
      </c>
      <c r="K178" s="72">
        <f>IF(SUMIF('Bouclage EG Cust Cons_Decons'!$A:$A,Workings!$A178,'Bouclage EG Cust Cons_Decons'!$F:$F)&gt;='Discount Scheme Target'!$H$4,_xlfn.XLOOKUP(Workings!$E178,'Discount Scheme Target'!$B:$B,'Discount Scheme Target'!$H:$H,0,0),0)</f>
        <v>0</v>
      </c>
      <c r="L178" s="72">
        <f>IF(INDEX('TT Around time'!$A$1:$F$46,MATCH($A178,'TT Around time'!$A:$A,0),6)&gt;='Discount Scheme Target'!$I$4,_xlfn.XLOOKUP(Workings!$E178,'Discount Scheme Target'!$B:$B,'Discount Scheme Target'!$I:$I,0,0),0)</f>
        <v>0.01</v>
      </c>
      <c r="M178" s="72">
        <f t="shared" si="22"/>
        <v>5.5000000000000007E-2</v>
      </c>
      <c r="N178" s="62">
        <f t="shared" si="30"/>
        <v>1753369.6435398839</v>
      </c>
      <c r="T178" s="61">
        <f t="shared" si="23"/>
        <v>1434575.1628962685</v>
      </c>
      <c r="U178" s="61">
        <f t="shared" si="24"/>
        <v>0</v>
      </c>
      <c r="V178" s="61">
        <f t="shared" si="25"/>
        <v>0</v>
      </c>
      <c r="W178" s="61">
        <f t="shared" si="26"/>
        <v>318794.48064361518</v>
      </c>
      <c r="X178" s="61">
        <f t="shared" si="31"/>
        <v>1753369.6435398837</v>
      </c>
      <c r="Y178" s="61">
        <f t="shared" si="32"/>
        <v>0</v>
      </c>
    </row>
    <row r="179" spans="1:25" x14ac:dyDescent="0.25">
      <c r="A179" s="149">
        <v>1300006461</v>
      </c>
      <c r="B179" s="149" t="s">
        <v>517</v>
      </c>
      <c r="C179" s="51" t="s">
        <v>140</v>
      </c>
      <c r="D179" s="51" t="s">
        <v>141</v>
      </c>
      <c r="E179" s="51" t="s">
        <v>418</v>
      </c>
      <c r="F179" s="52">
        <f>SUMIF('Customer Budget Per Category'!$A:$A,$A179,'Customer Budget Per Category'!$F:$F)</f>
        <v>0</v>
      </c>
      <c r="G179" s="52">
        <f>SUMIFS('Navision sales Dump'!$E:$E,'Navision sales Dump'!$K:$K,$E179,'Navision sales Dump'!$A:$A,$A179)</f>
        <v>0</v>
      </c>
      <c r="H179" s="62">
        <f>SUMIFS('Navision sales Dump'!$G:$G,'Navision sales Dump'!$K:$K,$E179,'Navision sales Dump'!$A:$A,$A179)</f>
        <v>0</v>
      </c>
      <c r="I179" s="72">
        <f>IFERROR(IF(($G179/$F179)&gt;='Discount Scheme Target'!$F$4,_xlfn.XLOOKUP($E179,'Discount Scheme Target'!$B:$B,'Discount Scheme Target'!$F:$F,0,0),IF(($G179/$F179)&gt;='Discount Scheme Target'!$E$4,_xlfn.XLOOKUP($E179,'Discount Scheme Target'!$B:$B,'Discount Scheme Target'!$E:$E,0,0),IF(($G179/$F179)&gt;='Discount Scheme Target'!$D$4,_xlfn.XLOOKUP($E179,'Discount Scheme Target'!$B:$B,'Discount Scheme Target'!$D:$D,0,0),0))),0)</f>
        <v>0</v>
      </c>
      <c r="J179" s="72">
        <f>IF(SUMIF('Customer Num Distr.'!$A:$A,Workings!$A179,'Customer Num Distr.'!$E:$E)&gt;='Discount Scheme Target'!$G$4,_xlfn.XLOOKUP(Workings!$E179,'Discount Scheme Target'!$B:$B,'Discount Scheme Target'!$G:$G,0,0),0)</f>
        <v>0</v>
      </c>
      <c r="K179" s="72">
        <f>IF(SUMIF('Bouclage EG Cust Cons_Decons'!$A:$A,Workings!$A179,'Bouclage EG Cust Cons_Decons'!$F:$F)&gt;='Discount Scheme Target'!$H$4,_xlfn.XLOOKUP(Workings!$E179,'Discount Scheme Target'!$B:$B,'Discount Scheme Target'!$H:$H,0,0),0)</f>
        <v>0</v>
      </c>
      <c r="L179" s="72">
        <f>IF(INDEX('TT Around time'!$A$1:$F$46,MATCH($A179,'TT Around time'!$A:$A,0),6)&gt;='Discount Scheme Target'!$I$4,_xlfn.XLOOKUP(Workings!$E179,'Discount Scheme Target'!$B:$B,'Discount Scheme Target'!$I:$I,0,0),0)</f>
        <v>0</v>
      </c>
      <c r="M179" s="72">
        <f t="shared" si="22"/>
        <v>0</v>
      </c>
      <c r="N179" s="62">
        <f t="shared" si="30"/>
        <v>0</v>
      </c>
      <c r="T179" s="61">
        <f t="shared" si="23"/>
        <v>0</v>
      </c>
      <c r="U179" s="61">
        <f t="shared" si="24"/>
        <v>0</v>
      </c>
      <c r="V179" s="61">
        <f t="shared" si="25"/>
        <v>0</v>
      </c>
      <c r="W179" s="61">
        <f t="shared" si="26"/>
        <v>0</v>
      </c>
      <c r="X179" s="61">
        <f t="shared" si="31"/>
        <v>0</v>
      </c>
      <c r="Y179" s="61">
        <f t="shared" si="32"/>
        <v>0</v>
      </c>
    </row>
    <row r="180" spans="1:25" x14ac:dyDescent="0.25">
      <c r="A180" s="149">
        <v>1300006461</v>
      </c>
      <c r="B180" s="149" t="s">
        <v>517</v>
      </c>
      <c r="C180" s="51" t="s">
        <v>140</v>
      </c>
      <c r="D180" s="51" t="s">
        <v>141</v>
      </c>
      <c r="E180" s="51" t="s">
        <v>130</v>
      </c>
      <c r="F180" s="52">
        <f>SUMIF('Customer Budget Per Category'!$A:$A,$A180,'Customer Budget Per Category'!$G:$G)</f>
        <v>87.634098511426643</v>
      </c>
      <c r="G180" s="52">
        <f>SUMIFS('Navision sales Dump'!$E:$E,'Navision sales Dump'!$K:$K,$E180,'Navision sales Dump'!$A:$A,$A180)</f>
        <v>288</v>
      </c>
      <c r="H180" s="62">
        <f>SUMIFS('Navision sales Dump'!$G:$G,'Navision sales Dump'!$K:$K,$E180,'Navision sales Dump'!$A:$A,$A180)</f>
        <v>2224892.16</v>
      </c>
      <c r="I180" s="72">
        <f>IFERROR(IF(($G180/$F180)&gt;='Discount Scheme Target'!$F$4,_xlfn.XLOOKUP($E180,'Discount Scheme Target'!$B:$B,'Discount Scheme Target'!$F:$F,0,0),IF(($G180/$F180)&gt;='Discount Scheme Target'!$E$4,_xlfn.XLOOKUP($E180,'Discount Scheme Target'!$B:$B,'Discount Scheme Target'!$E:$E,0,0),IF(($G180/$F180)&gt;='Discount Scheme Target'!$D$4,_xlfn.XLOOKUP($E180,'Discount Scheme Target'!$B:$B,'Discount Scheme Target'!$D:$D,0,0),0))),0)</f>
        <v>4.5000000000000005E-2</v>
      </c>
      <c r="J180" s="72">
        <f>IF(SUMIF('Customer Num Distr.'!$A:$A,Workings!$A180,'Customer Num Distr.'!$E:$E)&gt;='Discount Scheme Target'!$G$4,_xlfn.XLOOKUP(Workings!$E180,'Discount Scheme Target'!$B:$B,'Discount Scheme Target'!$G:$G,0,0),0)</f>
        <v>0</v>
      </c>
      <c r="K180" s="72">
        <f>IF(SUMIF('Bouclage EG Cust Cons_Decons'!$A:$A,Workings!$A180,'Bouclage EG Cust Cons_Decons'!$F:$F)&gt;='Discount Scheme Target'!$H$4,_xlfn.XLOOKUP(Workings!$E180,'Discount Scheme Target'!$B:$B,'Discount Scheme Target'!$H:$H,0,0),0)</f>
        <v>0</v>
      </c>
      <c r="L180" s="72">
        <f>IF(INDEX('TT Around time'!$A$1:$F$46,MATCH($A180,'TT Around time'!$A:$A,0),6)&gt;='Discount Scheme Target'!$I$4,_xlfn.XLOOKUP(Workings!$E180,'Discount Scheme Target'!$B:$B,'Discount Scheme Target'!$I:$I,0,0),0)</f>
        <v>0.01</v>
      </c>
      <c r="M180" s="72">
        <f t="shared" si="22"/>
        <v>5.5000000000000007E-2</v>
      </c>
      <c r="N180" s="62">
        <f t="shared" si="30"/>
        <v>37235.079965176206</v>
      </c>
      <c r="T180" s="61">
        <f t="shared" si="23"/>
        <v>30465.065426053261</v>
      </c>
      <c r="U180" s="61">
        <f t="shared" si="24"/>
        <v>0</v>
      </c>
      <c r="V180" s="61">
        <f t="shared" si="25"/>
        <v>0</v>
      </c>
      <c r="W180" s="61">
        <f t="shared" si="26"/>
        <v>6770.0145391229462</v>
      </c>
      <c r="X180" s="61">
        <f t="shared" si="31"/>
        <v>37235.079965176206</v>
      </c>
      <c r="Y180" s="61">
        <f t="shared" si="32"/>
        <v>0</v>
      </c>
    </row>
    <row r="181" spans="1:25" x14ac:dyDescent="0.25">
      <c r="A181" s="149">
        <v>1300006461</v>
      </c>
      <c r="B181" s="149" t="s">
        <v>517</v>
      </c>
      <c r="C181" s="51" t="s">
        <v>140</v>
      </c>
      <c r="D181" s="51" t="s">
        <v>141</v>
      </c>
      <c r="E181" s="51" t="s">
        <v>131</v>
      </c>
      <c r="F181" s="52">
        <f>SUMIF('Customer Budget Per Category'!$A:$A,$A181,'Customer Budget Per Category'!$H:$H)</f>
        <v>28.790752824049562</v>
      </c>
      <c r="G181" s="52">
        <f>SUMIFS('Navision sales Dump'!$E:$E,'Navision sales Dump'!$K:$K,$E181,'Navision sales Dump'!$A:$A,$A181)</f>
        <v>35</v>
      </c>
      <c r="H181" s="62">
        <f>SUMIFS('Navision sales Dump'!$G:$G,'Navision sales Dump'!$K:$K,$E181,'Navision sales Dump'!$A:$A,$A181)</f>
        <v>1455375.7000000002</v>
      </c>
      <c r="I181" s="72">
        <f>IFERROR(IF(($G181/$F181)&gt;='Discount Scheme Target'!$F$4,_xlfn.XLOOKUP($E181,'Discount Scheme Target'!$B:$B,'Discount Scheme Target'!$F:$F,0,0),IF(($G181/$F181)&gt;='Discount Scheme Target'!$E$4,_xlfn.XLOOKUP($E181,'Discount Scheme Target'!$B:$B,'Discount Scheme Target'!$E:$E,0,0),IF(($G181/$F181)&gt;='Discount Scheme Target'!$D$4,_xlfn.XLOOKUP($E181,'Discount Scheme Target'!$B:$B,'Discount Scheme Target'!$D:$D,0,0),0))),0)</f>
        <v>0.04</v>
      </c>
      <c r="J181" s="72">
        <f>IF(SUMIF('Customer Num Distr.'!$A:$A,Workings!$A181,'Customer Num Distr.'!$E:$E)&gt;='Discount Scheme Target'!$G$4,_xlfn.XLOOKUP(Workings!$E181,'Discount Scheme Target'!$B:$B,'Discount Scheme Target'!$G:$G,0,0),0)</f>
        <v>0</v>
      </c>
      <c r="K181" s="72">
        <f>IF(SUMIF('Bouclage EG Cust Cons_Decons'!$A:$A,Workings!$A181,'Bouclage EG Cust Cons_Decons'!$F:$F)&gt;='Discount Scheme Target'!$H$4,_xlfn.XLOOKUP(Workings!$E181,'Discount Scheme Target'!$B:$B,'Discount Scheme Target'!$H:$H,0,0),0)</f>
        <v>0</v>
      </c>
      <c r="L181" s="72">
        <f>IF(INDEX('TT Around time'!$A$1:$F$46,MATCH($A181,'TT Around time'!$A:$A,0),6)&gt;='Discount Scheme Target'!$I$4,_xlfn.XLOOKUP(Workings!$E181,'Discount Scheme Target'!$B:$B,'Discount Scheme Target'!$I:$I,0,0),0)</f>
        <v>5.0000000000000001E-3</v>
      </c>
      <c r="M181" s="72">
        <f t="shared" si="22"/>
        <v>4.4999999999999998E-2</v>
      </c>
      <c r="N181" s="62">
        <f t="shared" si="30"/>
        <v>53873.179771921852</v>
      </c>
      <c r="T181" s="61">
        <f t="shared" si="23"/>
        <v>47887.27090837498</v>
      </c>
      <c r="U181" s="61">
        <f t="shared" si="24"/>
        <v>0</v>
      </c>
      <c r="V181" s="61">
        <f t="shared" si="25"/>
        <v>0</v>
      </c>
      <c r="W181" s="61">
        <f t="shared" si="26"/>
        <v>5985.9088635468725</v>
      </c>
      <c r="X181" s="61">
        <f t="shared" si="31"/>
        <v>53873.179771921852</v>
      </c>
      <c r="Y181" s="61">
        <f t="shared" si="32"/>
        <v>0</v>
      </c>
    </row>
    <row r="182" spans="1:25" x14ac:dyDescent="0.25">
      <c r="A182" s="149">
        <v>1300006461</v>
      </c>
      <c r="B182" s="149" t="s">
        <v>517</v>
      </c>
      <c r="C182" s="51" t="s">
        <v>140</v>
      </c>
      <c r="D182" s="51" t="s">
        <v>141</v>
      </c>
      <c r="E182" s="51" t="s">
        <v>514</v>
      </c>
      <c r="F182" s="52">
        <f>SUMIF('Customer Budget Per Category'!$A:$A,$A182,'Customer Budget Per Category'!$I:$I)</f>
        <v>3200</v>
      </c>
      <c r="G182" s="52">
        <f>SUMIFS('Navision sales Dump'!$E:$E,'Navision sales Dump'!$K:$K,$E182,'Navision sales Dump'!$A:$A,$A182)</f>
        <v>3096</v>
      </c>
      <c r="H182" s="62">
        <f>SUMIFS('Navision sales Dump'!$G:$G,'Navision sales Dump'!$K:$K,$E182,'Navision sales Dump'!$A:$A,$A182)</f>
        <v>12254060.880000001</v>
      </c>
      <c r="I182" s="72">
        <f>IFERROR(IF(($G182/$F182)&gt;='Discount Scheme Target'!$F$4,_xlfn.XLOOKUP($E182,'Discount Scheme Target'!$B:$B,'Discount Scheme Target'!$F:$F,0,0),IF(($G182/$F182)&gt;='Discount Scheme Target'!$E$4,_xlfn.XLOOKUP($E182,'Discount Scheme Target'!$B:$B,'Discount Scheme Target'!$E:$E,0,0),IF(($G182/$F182)&gt;='Discount Scheme Target'!$D$4,_xlfn.XLOOKUP($E182,'Discount Scheme Target'!$B:$B,'Discount Scheme Target'!$D:$D,0,0),0))),0)</f>
        <v>0</v>
      </c>
      <c r="J182" s="72">
        <f>IF(SUMIF('Customer Num Distr.'!$A:$A,Workings!$A182,'Customer Num Distr.'!$E:$E)&gt;='Discount Scheme Target'!$G$4,_xlfn.XLOOKUP(Workings!$E182,'Discount Scheme Target'!$B:$B,'Discount Scheme Target'!$G:$G,0,0),0)</f>
        <v>0</v>
      </c>
      <c r="K182" s="72">
        <f>IF(SUMIF('Bouclage EG Cust Cons_Decons'!$A:$A,Workings!$A182,'Bouclage EG Cust Cons_Decons'!$F:$F)&gt;='Discount Scheme Target'!$H$4,_xlfn.XLOOKUP(Workings!$E182,'Discount Scheme Target'!$B:$B,'Discount Scheme Target'!$H:$H,0,0),0)</f>
        <v>0</v>
      </c>
      <c r="L182" s="72">
        <f>IF(INDEX('TT Around time'!$A$1:$F$46,MATCH($A182,'TT Around time'!$A:$A,0),6)&gt;='Discount Scheme Target'!$I$4,_xlfn.XLOOKUP(Workings!$E182,'Discount Scheme Target'!$B:$B,'Discount Scheme Target'!$I:$I,0,0),0)</f>
        <v>5.0000000000000001E-3</v>
      </c>
      <c r="M182" s="72">
        <f t="shared" si="22"/>
        <v>5.0000000000000001E-3</v>
      </c>
      <c r="N182" s="62">
        <f t="shared" si="30"/>
        <v>63328.480000000003</v>
      </c>
      <c r="T182" s="61">
        <f t="shared" si="23"/>
        <v>0</v>
      </c>
      <c r="U182" s="61">
        <f t="shared" si="24"/>
        <v>0</v>
      </c>
      <c r="V182" s="61">
        <f t="shared" si="25"/>
        <v>0</v>
      </c>
      <c r="W182" s="61">
        <f t="shared" si="26"/>
        <v>63328.480000000003</v>
      </c>
      <c r="X182" s="61">
        <f t="shared" si="31"/>
        <v>63328.480000000003</v>
      </c>
      <c r="Y182" s="61">
        <f t="shared" si="32"/>
        <v>0</v>
      </c>
    </row>
    <row r="183" spans="1:25" x14ac:dyDescent="0.25">
      <c r="A183" s="149">
        <v>1300006461</v>
      </c>
      <c r="B183" s="149" t="s">
        <v>517</v>
      </c>
      <c r="C183" s="51" t="s">
        <v>140</v>
      </c>
      <c r="D183" s="51" t="s">
        <v>141</v>
      </c>
      <c r="E183" s="51" t="s">
        <v>515</v>
      </c>
      <c r="F183" s="52">
        <f>SUMIF('Customer Budget Per Category'!$A:$A,$A183,'Customer Budget Per Category'!$J:$J)</f>
        <v>450</v>
      </c>
      <c r="G183" s="52">
        <f>SUMIFS('Navision sales Dump'!$E:$E,'Navision sales Dump'!$K:$K,$E183,'Navision sales Dump'!$A:$A,$A183)</f>
        <v>720</v>
      </c>
      <c r="H183" s="62">
        <f>SUMIFS('Navision sales Dump'!$G:$G,'Navision sales Dump'!$K:$K,$E183,'Navision sales Dump'!$A:$A,$A183)</f>
        <v>2032488</v>
      </c>
      <c r="I183" s="72">
        <f>IFERROR(IF(($G183/$F183)&gt;='Discount Scheme Target'!$F$4,_xlfn.XLOOKUP($E183,'Discount Scheme Target'!$B:$B,'Discount Scheme Target'!$F:$F,0,0),IF(($G183/$F183)&gt;='Discount Scheme Target'!$E$4,_xlfn.XLOOKUP($E183,'Discount Scheme Target'!$B:$B,'Discount Scheme Target'!$E:$E,0,0),IF(($G183/$F183)&gt;='Discount Scheme Target'!$D$4,_xlfn.XLOOKUP($E183,'Discount Scheme Target'!$B:$B,'Discount Scheme Target'!$D:$D,0,0),0))),0)</f>
        <v>0.03</v>
      </c>
      <c r="J183" s="72">
        <f>IF(SUMIF('Customer Num Distr.'!$A:$A,Workings!$A183,'Customer Num Distr.'!$E:$E)&gt;='Discount Scheme Target'!$G$4,_xlfn.XLOOKUP(Workings!$E183,'Discount Scheme Target'!$B:$B,'Discount Scheme Target'!$G:$G,0,0),0)</f>
        <v>0</v>
      </c>
      <c r="K183" s="72">
        <f>IF(SUMIF('Bouclage EG Cust Cons_Decons'!$A:$A,Workings!$A183,'Bouclage EG Cust Cons_Decons'!$F:$F)&gt;='Discount Scheme Target'!$H$4,_xlfn.XLOOKUP(Workings!$E183,'Discount Scheme Target'!$B:$B,'Discount Scheme Target'!$H:$H,0,0),0)</f>
        <v>0</v>
      </c>
      <c r="L183" s="72">
        <f>IF(INDEX('TT Around time'!$A$1:$F$46,MATCH($A183,'TT Around time'!$A:$A,0),6)&gt;='Discount Scheme Target'!$I$4,_xlfn.XLOOKUP(Workings!$E183,'Discount Scheme Target'!$B:$B,'Discount Scheme Target'!$I:$I,0,0),0)</f>
        <v>5.0000000000000001E-3</v>
      </c>
      <c r="M183" s="72">
        <f t="shared" si="22"/>
        <v>3.4999999999999996E-2</v>
      </c>
      <c r="N183" s="62">
        <f t="shared" si="30"/>
        <v>44460.674999999996</v>
      </c>
      <c r="T183" s="61">
        <f t="shared" si="23"/>
        <v>38109.15</v>
      </c>
      <c r="U183" s="61">
        <f t="shared" si="24"/>
        <v>0</v>
      </c>
      <c r="V183" s="61">
        <f t="shared" si="25"/>
        <v>0</v>
      </c>
      <c r="W183" s="61">
        <f t="shared" si="26"/>
        <v>6351.5250000000005</v>
      </c>
      <c r="X183" s="61">
        <f t="shared" si="31"/>
        <v>44460.675000000003</v>
      </c>
      <c r="Y183" s="61">
        <f t="shared" si="32"/>
        <v>0</v>
      </c>
    </row>
    <row r="184" spans="1:25" x14ac:dyDescent="0.25">
      <c r="A184" s="149">
        <v>1300006461</v>
      </c>
      <c r="B184" s="149" t="s">
        <v>517</v>
      </c>
      <c r="C184" s="51" t="s">
        <v>140</v>
      </c>
      <c r="D184" s="51" t="s">
        <v>141</v>
      </c>
      <c r="E184" s="51" t="s">
        <v>161</v>
      </c>
      <c r="F184" s="52">
        <f>SUMIF('Customer Budget Per Category'!$A:$A,$A184,'Customer Budget Per Category'!$K:$K)</f>
        <v>0</v>
      </c>
      <c r="G184" s="52">
        <f>SUMIFS('Navision sales Dump'!$E:$E,'Navision sales Dump'!$K:$K,$E184,'Navision sales Dump'!$A:$A,$A184)</f>
        <v>0</v>
      </c>
      <c r="H184" s="62">
        <f>SUMIFS('Navision sales Dump'!$G:$G,'Navision sales Dump'!$K:$K,$E184,'Navision sales Dump'!$A:$A,$A184)</f>
        <v>0</v>
      </c>
      <c r="I184" s="72">
        <f>IFERROR(IF(($G184/$F184)&gt;='Discount Scheme Target'!$F$4,_xlfn.XLOOKUP($E184,'Discount Scheme Target'!$B:$B,'Discount Scheme Target'!$F:$F,0,0),IF(($G184/$F184)&gt;='Discount Scheme Target'!$E$4,_xlfn.XLOOKUP($E184,'Discount Scheme Target'!$B:$B,'Discount Scheme Target'!$E:$E,0,0),IF(($G184/$F184)&gt;='Discount Scheme Target'!$D$4,_xlfn.XLOOKUP($E184,'Discount Scheme Target'!$B:$B,'Discount Scheme Target'!$D:$D,0,0),0))),0)</f>
        <v>0</v>
      </c>
      <c r="J184" s="72">
        <f>IF(SUMIF('Customer Num Distr.'!$A:$A,Workings!$A184,'Customer Num Distr.'!$E:$E)&gt;='Discount Scheme Target'!$G$4,_xlfn.XLOOKUP(Workings!$E184,'Discount Scheme Target'!$B:$B,'Discount Scheme Target'!$G:$G,0,0),0)</f>
        <v>0</v>
      </c>
      <c r="K184" s="72">
        <f>IF(SUMIF('Bouclage EG Cust Cons_Decons'!$A:$A,Workings!$A184,'Bouclage EG Cust Cons_Decons'!$F:$F)&gt;='Discount Scheme Target'!$H$4,_xlfn.XLOOKUP(Workings!$E184,'Discount Scheme Target'!$B:$B,'Discount Scheme Target'!$H:$H,0,0),0)</f>
        <v>0</v>
      </c>
      <c r="L184" s="72">
        <f>IF(INDEX('TT Around time'!$A$1:$F$46,MATCH($A184,'TT Around time'!$A:$A,0),6)&gt;='Discount Scheme Target'!$I$4,_xlfn.XLOOKUP(Workings!$E184,'Discount Scheme Target'!$B:$B,'Discount Scheme Target'!$I:$I,0,0),0)</f>
        <v>0</v>
      </c>
      <c r="M184" s="72">
        <f t="shared" si="22"/>
        <v>0</v>
      </c>
      <c r="N184" s="62">
        <f t="shared" si="30"/>
        <v>0</v>
      </c>
      <c r="T184" s="61">
        <f t="shared" si="23"/>
        <v>0</v>
      </c>
      <c r="U184" s="61">
        <f t="shared" si="24"/>
        <v>0</v>
      </c>
      <c r="V184" s="61">
        <f t="shared" si="25"/>
        <v>0</v>
      </c>
      <c r="W184" s="61">
        <f t="shared" si="26"/>
        <v>0</v>
      </c>
      <c r="X184" s="61">
        <f t="shared" si="31"/>
        <v>0</v>
      </c>
      <c r="Y184" s="61">
        <f t="shared" si="32"/>
        <v>0</v>
      </c>
    </row>
    <row r="185" spans="1:25" x14ac:dyDescent="0.25">
      <c r="A185" s="149">
        <v>1300006461</v>
      </c>
      <c r="B185" s="149" t="s">
        <v>517</v>
      </c>
      <c r="C185" s="51" t="s">
        <v>140</v>
      </c>
      <c r="D185" s="51" t="s">
        <v>141</v>
      </c>
      <c r="E185" s="51" t="s">
        <v>354</v>
      </c>
      <c r="F185" s="52">
        <f>SUMIF('Customer Budget Per Category'!$A:$A,$A185,'Customer Budget Per Category'!$L:$L)</f>
        <v>960</v>
      </c>
      <c r="G185" s="52">
        <f>SUMIFS('Navision sales Dump'!$E:$E,'Navision sales Dump'!$K:$K,$E185,'Navision sales Dump'!$A:$A,$A185)</f>
        <v>1152</v>
      </c>
      <c r="H185" s="62">
        <f>SUMIFS('Navision sales Dump'!$G:$G,'Navision sales Dump'!$K:$K,$E185,'Navision sales Dump'!$A:$A,$A185)</f>
        <v>4084688.16</v>
      </c>
      <c r="I185" s="72">
        <f>IFERROR(IF(($G185/$F185)&gt;='Discount Scheme Target'!$F$4,_xlfn.XLOOKUP($E185,'Discount Scheme Target'!$B:$B,'Discount Scheme Target'!$F:$F,0,0),IF(($G185/$F185)&gt;='Discount Scheme Target'!$E$4,_xlfn.XLOOKUP($E185,'Discount Scheme Target'!$B:$B,'Discount Scheme Target'!$E:$E,0,0),IF(($G185/$F185)&gt;='Discount Scheme Target'!$D$4,_xlfn.XLOOKUP($E185,'Discount Scheme Target'!$B:$B,'Discount Scheme Target'!$D:$D,0,0),0))),0)</f>
        <v>0.04</v>
      </c>
      <c r="J185" s="72">
        <f>IF(SUMIF('Customer Num Distr.'!$A:$A,Workings!$A185,'Customer Num Distr.'!$E:$E)&gt;='Discount Scheme Target'!$G$4,_xlfn.XLOOKUP(Workings!$E185,'Discount Scheme Target'!$B:$B,'Discount Scheme Target'!$G:$G,0,0),0)</f>
        <v>0</v>
      </c>
      <c r="K185" s="72">
        <f>IF(SUMIF('Bouclage EG Cust Cons_Decons'!$A:$A,Workings!$A185,'Bouclage EG Cust Cons_Decons'!$F:$F)&gt;='Discount Scheme Target'!$H$4,_xlfn.XLOOKUP(Workings!$E185,'Discount Scheme Target'!$B:$B,'Discount Scheme Target'!$H:$H,0,0),0)</f>
        <v>0</v>
      </c>
      <c r="L185" s="72">
        <f>IF(INDEX('TT Around time'!$A$1:$F$46,MATCH($A185,'TT Around time'!$A:$A,0),6)&gt;='Discount Scheme Target'!$I$4,_xlfn.XLOOKUP(Workings!$E185,'Discount Scheme Target'!$B:$B,'Discount Scheme Target'!$I:$I,0,0),0)</f>
        <v>5.0000000000000001E-3</v>
      </c>
      <c r="M185" s="72">
        <f t="shared" si="22"/>
        <v>4.4999999999999998E-2</v>
      </c>
      <c r="N185" s="62">
        <f t="shared" si="30"/>
        <v>153175.80599999998</v>
      </c>
      <c r="T185" s="61">
        <f t="shared" si="23"/>
        <v>136156.272</v>
      </c>
      <c r="U185" s="61">
        <f t="shared" si="24"/>
        <v>0</v>
      </c>
      <c r="V185" s="61">
        <f t="shared" si="25"/>
        <v>0</v>
      </c>
      <c r="W185" s="61">
        <f t="shared" si="26"/>
        <v>17019.534</v>
      </c>
      <c r="X185" s="61">
        <f t="shared" si="31"/>
        <v>153175.80599999998</v>
      </c>
      <c r="Y185" s="61">
        <f t="shared" si="32"/>
        <v>0</v>
      </c>
    </row>
    <row r="186" spans="1:25" x14ac:dyDescent="0.25">
      <c r="A186" s="149">
        <v>1300006461</v>
      </c>
      <c r="B186" s="149" t="s">
        <v>517</v>
      </c>
      <c r="C186" s="51" t="s">
        <v>140</v>
      </c>
      <c r="D186" s="51" t="s">
        <v>141</v>
      </c>
      <c r="E186" s="51" t="s">
        <v>355</v>
      </c>
      <c r="F186" s="52">
        <f>SUMIF('Customer Budget Per Category'!$A:$A,$A186,'Customer Budget Per Category'!$M:$M)</f>
        <v>760</v>
      </c>
      <c r="G186" s="52">
        <f>SUMIFS('Navision sales Dump'!$E:$E,'Navision sales Dump'!$K:$K,$E186,'Navision sales Dump'!$A:$A,$A186)</f>
        <v>288</v>
      </c>
      <c r="H186" s="62">
        <f>SUMIFS('Navision sales Dump'!$G:$G,'Navision sales Dump'!$K:$K,$E186,'Navision sales Dump'!$A:$A,$A186)</f>
        <v>812995.2</v>
      </c>
      <c r="I186" s="72">
        <f>IFERROR(IF(($G186/$F186)&gt;='Discount Scheme Target'!$F$4,_xlfn.XLOOKUP($E186,'Discount Scheme Target'!$B:$B,'Discount Scheme Target'!$F:$F,0,0),IF(($G186/$F186)&gt;='Discount Scheme Target'!$E$4,_xlfn.XLOOKUP($E186,'Discount Scheme Target'!$B:$B,'Discount Scheme Target'!$E:$E,0,0),IF(($G186/$F186)&gt;='Discount Scheme Target'!$D$4,_xlfn.XLOOKUP($E186,'Discount Scheme Target'!$B:$B,'Discount Scheme Target'!$D:$D,0,0),0))),0)</f>
        <v>0</v>
      </c>
      <c r="J186" s="72">
        <f>IF(SUMIF('Customer Num Distr.'!$A:$A,Workings!$A186,'Customer Num Distr.'!$E:$E)&gt;='Discount Scheme Target'!$G$4,_xlfn.XLOOKUP(Workings!$E186,'Discount Scheme Target'!$B:$B,'Discount Scheme Target'!$G:$G,0,0),0)</f>
        <v>0</v>
      </c>
      <c r="K186" s="72">
        <f>IF(SUMIF('Bouclage EG Cust Cons_Decons'!$A:$A,Workings!$A186,'Bouclage EG Cust Cons_Decons'!$F:$F)&gt;='Discount Scheme Target'!$H$4,_xlfn.XLOOKUP(Workings!$E186,'Discount Scheme Target'!$B:$B,'Discount Scheme Target'!$H:$H,0,0),0)</f>
        <v>0</v>
      </c>
      <c r="L186" s="72">
        <f>IF(INDEX('TT Around time'!$A$1:$F$46,MATCH($A186,'TT Around time'!$A:$A,0),6)&gt;='Discount Scheme Target'!$I$4,_xlfn.XLOOKUP(Workings!$E186,'Discount Scheme Target'!$B:$B,'Discount Scheme Target'!$I:$I,0,0),0)</f>
        <v>5.0000000000000001E-3</v>
      </c>
      <c r="M186" s="72">
        <f t="shared" si="22"/>
        <v>5.0000000000000001E-3</v>
      </c>
      <c r="N186" s="62">
        <f t="shared" si="30"/>
        <v>10727.019999999999</v>
      </c>
      <c r="T186" s="61">
        <f t="shared" si="23"/>
        <v>0</v>
      </c>
      <c r="U186" s="61">
        <f t="shared" si="24"/>
        <v>0</v>
      </c>
      <c r="V186" s="61">
        <f t="shared" si="25"/>
        <v>0</v>
      </c>
      <c r="W186" s="61">
        <f t="shared" si="26"/>
        <v>10727.019999999999</v>
      </c>
      <c r="X186" s="61">
        <f t="shared" si="31"/>
        <v>10727.019999999999</v>
      </c>
      <c r="Y186" s="61">
        <f t="shared" si="32"/>
        <v>0</v>
      </c>
    </row>
    <row r="187" spans="1:25" x14ac:dyDescent="0.25">
      <c r="A187" s="149">
        <v>1300006461</v>
      </c>
      <c r="B187" s="149" t="s">
        <v>517</v>
      </c>
      <c r="C187" s="51" t="s">
        <v>140</v>
      </c>
      <c r="D187" s="51" t="s">
        <v>141</v>
      </c>
      <c r="E187" s="51" t="s">
        <v>132</v>
      </c>
      <c r="F187" s="52">
        <f>SUMIF('Customer Budget Per Category'!$A:$A,$A187,'Customer Budget Per Category'!$N:$N)</f>
        <v>212</v>
      </c>
      <c r="G187" s="52">
        <f>SUMIFS('Navision sales Dump'!$E:$E,'Navision sales Dump'!$K:$K,$E187,'Navision sales Dump'!$A:$A,$A187)</f>
        <v>144</v>
      </c>
      <c r="H187" s="62">
        <f>SUMIFS('Navision sales Dump'!$G:$G,'Navision sales Dump'!$K:$K,$E187,'Navision sales Dump'!$A:$A,$A187)</f>
        <v>314265.59999999998</v>
      </c>
      <c r="I187" s="72">
        <f>IFERROR(IF(($G187/$F187)&gt;='Discount Scheme Target'!$F$4,_xlfn.XLOOKUP($E187,'Discount Scheme Target'!$B:$B,'Discount Scheme Target'!$F:$F,0,0),IF(($G187/$F187)&gt;='Discount Scheme Target'!$E$4,_xlfn.XLOOKUP($E187,'Discount Scheme Target'!$B:$B,'Discount Scheme Target'!$E:$E,0,0),IF(($G187/$F187)&gt;='Discount Scheme Target'!$D$4,_xlfn.XLOOKUP($E187,'Discount Scheme Target'!$B:$B,'Discount Scheme Target'!$D:$D,0,0),0))),0)</f>
        <v>0</v>
      </c>
      <c r="J187" s="72">
        <f>IF(SUMIF('Customer Num Distr.'!$A:$A,Workings!$A187,'Customer Num Distr.'!$E:$E)&gt;='Discount Scheme Target'!$G$4,_xlfn.XLOOKUP(Workings!$E187,'Discount Scheme Target'!$B:$B,'Discount Scheme Target'!$G:$G,0,0),0)</f>
        <v>0</v>
      </c>
      <c r="K187" s="72">
        <f>IF(SUMIF('Bouclage EG Cust Cons_Decons'!$A:$A,Workings!$A187,'Bouclage EG Cust Cons_Decons'!$F:$F)&gt;='Discount Scheme Target'!$H$4,_xlfn.XLOOKUP(Workings!$E187,'Discount Scheme Target'!$B:$B,'Discount Scheme Target'!$H:$H,0,0),0)</f>
        <v>0</v>
      </c>
      <c r="L187" s="72">
        <f>IF(INDEX('TT Around time'!$A$1:$F$46,MATCH($A187,'TT Around time'!$A:$A,0),6)&gt;='Discount Scheme Target'!$I$4,_xlfn.XLOOKUP(Workings!$E187,'Discount Scheme Target'!$B:$B,'Discount Scheme Target'!$I:$I,0,0),0)</f>
        <v>5.0000000000000001E-3</v>
      </c>
      <c r="M187" s="72">
        <f t="shared" si="22"/>
        <v>5.0000000000000001E-3</v>
      </c>
      <c r="N187" s="62">
        <f t="shared" si="30"/>
        <v>2313.3439999999996</v>
      </c>
      <c r="T187" s="61">
        <f t="shared" si="23"/>
        <v>0</v>
      </c>
      <c r="U187" s="61">
        <f t="shared" si="24"/>
        <v>0</v>
      </c>
      <c r="V187" s="61">
        <f t="shared" si="25"/>
        <v>0</v>
      </c>
      <c r="W187" s="61">
        <f t="shared" si="26"/>
        <v>2313.3439999999996</v>
      </c>
      <c r="X187" s="61">
        <f t="shared" si="31"/>
        <v>2313.3439999999996</v>
      </c>
      <c r="Y187" s="61">
        <f t="shared" si="32"/>
        <v>0</v>
      </c>
    </row>
    <row r="188" spans="1:25" x14ac:dyDescent="0.25">
      <c r="A188" s="149">
        <v>1300006461</v>
      </c>
      <c r="B188" s="149" t="s">
        <v>517</v>
      </c>
      <c r="C188" s="51" t="s">
        <v>140</v>
      </c>
      <c r="D188" s="51" t="s">
        <v>141</v>
      </c>
      <c r="E188" s="51" t="s">
        <v>133</v>
      </c>
      <c r="F188" s="52">
        <f>SUMIF('Customer Budget Per Category'!$A:$A,$A188,'Customer Budget Per Category'!$O:$O)</f>
        <v>150</v>
      </c>
      <c r="G188" s="52">
        <f>SUMIFS('Navision sales Dump'!$E:$E,'Navision sales Dump'!$K:$K,$E188,'Navision sales Dump'!$A:$A,$A188)</f>
        <v>144</v>
      </c>
      <c r="H188" s="62">
        <f>SUMIFS('Navision sales Dump'!$G:$G,'Navision sales Dump'!$K:$K,$E188,'Navision sales Dump'!$A:$A,$A188)</f>
        <v>1443942.72</v>
      </c>
      <c r="I188" s="72">
        <f>IFERROR(IF(($G188/$F188)&gt;='Discount Scheme Target'!$F$4,_xlfn.XLOOKUP($E188,'Discount Scheme Target'!$B:$B,'Discount Scheme Target'!$F:$F,0,0),IF(($G188/$F188)&gt;='Discount Scheme Target'!$E$4,_xlfn.XLOOKUP($E188,'Discount Scheme Target'!$B:$B,'Discount Scheme Target'!$E:$E,0,0),IF(($G188/$F188)&gt;='Discount Scheme Target'!$D$4,_xlfn.XLOOKUP($E188,'Discount Scheme Target'!$B:$B,'Discount Scheme Target'!$D:$D,0,0),0))),0)</f>
        <v>0</v>
      </c>
      <c r="J188" s="72">
        <f>IF(SUMIF('Customer Num Distr.'!$A:$A,Workings!$A188,'Customer Num Distr.'!$E:$E)&gt;='Discount Scheme Target'!$G$4,_xlfn.XLOOKUP(Workings!$E188,'Discount Scheme Target'!$B:$B,'Discount Scheme Target'!$G:$G,0,0),0)</f>
        <v>0</v>
      </c>
      <c r="K188" s="72">
        <f>IF(SUMIF('Bouclage EG Cust Cons_Decons'!$A:$A,Workings!$A188,'Bouclage EG Cust Cons_Decons'!$F:$F)&gt;='Discount Scheme Target'!$H$4,_xlfn.XLOOKUP(Workings!$E188,'Discount Scheme Target'!$B:$B,'Discount Scheme Target'!$H:$H,0,0),0)</f>
        <v>0</v>
      </c>
      <c r="L188" s="72">
        <f>IF(INDEX('TT Around time'!$A$1:$F$46,MATCH($A188,'TT Around time'!$A:$A,0),6)&gt;='Discount Scheme Target'!$I$4,_xlfn.XLOOKUP(Workings!$E188,'Discount Scheme Target'!$B:$B,'Discount Scheme Target'!$I:$I,0,0),0)</f>
        <v>5.0000000000000001E-3</v>
      </c>
      <c r="M188" s="72">
        <f t="shared" si="22"/>
        <v>5.0000000000000001E-3</v>
      </c>
      <c r="N188" s="62">
        <f t="shared" si="30"/>
        <v>7520.5349999999989</v>
      </c>
      <c r="T188" s="61">
        <f t="shared" si="23"/>
        <v>0</v>
      </c>
      <c r="U188" s="61">
        <f t="shared" si="24"/>
        <v>0</v>
      </c>
      <c r="V188" s="61">
        <f t="shared" si="25"/>
        <v>0</v>
      </c>
      <c r="W188" s="61">
        <f t="shared" si="26"/>
        <v>7520.5349999999989</v>
      </c>
      <c r="X188" s="61">
        <f t="shared" si="31"/>
        <v>7520.5349999999989</v>
      </c>
      <c r="Y188" s="61">
        <f t="shared" si="32"/>
        <v>0</v>
      </c>
    </row>
    <row r="189" spans="1:25" x14ac:dyDescent="0.25">
      <c r="A189" s="51">
        <v>2010301012</v>
      </c>
      <c r="B189" s="51" t="s">
        <v>89</v>
      </c>
      <c r="C189" s="51" t="s">
        <v>145</v>
      </c>
      <c r="D189" s="51" t="s">
        <v>141</v>
      </c>
      <c r="E189" s="51" t="s">
        <v>417</v>
      </c>
      <c r="F189" s="52">
        <f>SUMIF('Customer Budget Per Category'!$A:$A,$A189,'Customer Budget Per Category'!$E:$E)</f>
        <v>20600</v>
      </c>
      <c r="G189" s="52">
        <f>SUMIFS('Navision sales Dump'!$E:$E,'Navision sales Dump'!$K:$K,$E189,'Navision sales Dump'!$A:$A,$A189)</f>
        <v>15367</v>
      </c>
      <c r="H189" s="62">
        <f>SUMIFS('Navision sales Dump'!$G:$G,'Navision sales Dump'!$K:$K,$E189,'Navision sales Dump'!$A:$A,$A189)</f>
        <v>110845490.43000002</v>
      </c>
      <c r="I189" s="72">
        <f>IFERROR(IF(($G189/$F189)&gt;='Discount Scheme Target'!$F$4,_xlfn.XLOOKUP($E189,'Discount Scheme Target'!$B:$B,'Discount Scheme Target'!$F:$F,0,0),IF(($G189/$F189)&gt;='Discount Scheme Target'!$E$4,_xlfn.XLOOKUP($E189,'Discount Scheme Target'!$B:$B,'Discount Scheme Target'!$E:$E,0,0),IF(($G189/$F189)&gt;='Discount Scheme Target'!$D$4,_xlfn.XLOOKUP($E189,'Discount Scheme Target'!$B:$B,'Discount Scheme Target'!$D:$D,0,0),0))),0)</f>
        <v>0</v>
      </c>
      <c r="J189" s="72">
        <f>IF(SUMIF('Customer Num Distr.'!$A:$A,Workings!$A189,'Customer Num Distr.'!$E:$E)&gt;='Discount Scheme Target'!$G$4,_xlfn.XLOOKUP(Workings!$E189,'Discount Scheme Target'!$B:$B,'Discount Scheme Target'!$G:$G,0,0),0)</f>
        <v>0</v>
      </c>
      <c r="K189" s="72">
        <f>IF(SUMIF('Bouclage EG Cust Cons_Decons'!$A:$A,Workings!$A189,'Bouclage EG Cust Cons_Decons'!$F:$F)&gt;='Discount Scheme Target'!$H$4,_xlfn.XLOOKUP(Workings!$E189,'Discount Scheme Target'!$B:$B,'Discount Scheme Target'!$H:$H,0,0),0)</f>
        <v>0</v>
      </c>
      <c r="L189" s="72">
        <f>IF(INDEX('TT Around time'!$A$1:$F$46,MATCH($A189,'TT Around time'!$A:$A,0),6)&gt;='Discount Scheme Target'!$I$4,_xlfn.XLOOKUP(Workings!$E189,'Discount Scheme Target'!$B:$B,'Discount Scheme Target'!$I:$I,0,0),0)</f>
        <v>0.01</v>
      </c>
      <c r="M189" s="72">
        <f t="shared" si="22"/>
        <v>0.01</v>
      </c>
      <c r="N189" s="62">
        <f t="shared" si="29"/>
        <v>1485922.4981180457</v>
      </c>
      <c r="T189" s="61">
        <f t="shared" si="23"/>
        <v>0</v>
      </c>
      <c r="U189" s="61">
        <f t="shared" si="24"/>
        <v>0</v>
      </c>
      <c r="V189" s="61">
        <f t="shared" si="25"/>
        <v>0</v>
      </c>
      <c r="W189" s="61">
        <f t="shared" si="26"/>
        <v>1485922.4981180457</v>
      </c>
      <c r="X189" s="61">
        <f t="shared" si="27"/>
        <v>1485922.4981180457</v>
      </c>
      <c r="Y189" s="61">
        <f t="shared" si="28"/>
        <v>0</v>
      </c>
    </row>
    <row r="190" spans="1:25" x14ac:dyDescent="0.25">
      <c r="A190" s="51">
        <v>2010301012</v>
      </c>
      <c r="B190" s="51" t="s">
        <v>89</v>
      </c>
      <c r="C190" s="51" t="s">
        <v>145</v>
      </c>
      <c r="D190" s="51" t="s">
        <v>141</v>
      </c>
      <c r="E190" s="51" t="s">
        <v>418</v>
      </c>
      <c r="F190" s="52">
        <f>SUMIF('Customer Budget Per Category'!$A:$A,$A190,'Customer Budget Per Category'!$F:$F)</f>
        <v>0</v>
      </c>
      <c r="G190" s="52">
        <f>SUMIFS('Navision sales Dump'!$E:$E,'Navision sales Dump'!$K:$K,$E190,'Navision sales Dump'!$A:$A,$A190)</f>
        <v>0</v>
      </c>
      <c r="H190" s="62">
        <f>SUMIFS('Navision sales Dump'!$G:$G,'Navision sales Dump'!$K:$K,$E190,'Navision sales Dump'!$A:$A,$A190)</f>
        <v>0</v>
      </c>
      <c r="I190" s="72">
        <f>IFERROR(IF(($G190/$F190)&gt;='Discount Scheme Target'!$F$4,_xlfn.XLOOKUP($E190,'Discount Scheme Target'!$B:$B,'Discount Scheme Target'!$F:$F,0,0),IF(($G190/$F190)&gt;='Discount Scheme Target'!$E$4,_xlfn.XLOOKUP($E190,'Discount Scheme Target'!$B:$B,'Discount Scheme Target'!$E:$E,0,0),IF(($G190/$F190)&gt;='Discount Scheme Target'!$D$4,_xlfn.XLOOKUP($E190,'Discount Scheme Target'!$B:$B,'Discount Scheme Target'!$D:$D,0,0),0))),0)</f>
        <v>0</v>
      </c>
      <c r="J190" s="72">
        <f>IF(SUMIF('Customer Num Distr.'!$A:$A,Workings!$A190,'Customer Num Distr.'!$E:$E)&gt;='Discount Scheme Target'!$G$4,_xlfn.XLOOKUP(Workings!$E190,'Discount Scheme Target'!$B:$B,'Discount Scheme Target'!$G:$G,0,0),0)</f>
        <v>0</v>
      </c>
      <c r="K190" s="72">
        <f>IF(SUMIF('Bouclage EG Cust Cons_Decons'!$A:$A,Workings!$A190,'Bouclage EG Cust Cons_Decons'!$F:$F)&gt;='Discount Scheme Target'!$H$4,_xlfn.XLOOKUP(Workings!$E190,'Discount Scheme Target'!$B:$B,'Discount Scheme Target'!$H:$H,0,0),0)</f>
        <v>0</v>
      </c>
      <c r="L190" s="72">
        <f>IF(INDEX('TT Around time'!$A$1:$F$46,MATCH($A190,'TT Around time'!$A:$A,0),6)&gt;='Discount Scheme Target'!$I$4,_xlfn.XLOOKUP(Workings!$E190,'Discount Scheme Target'!$B:$B,'Discount Scheme Target'!$I:$I,0,0),0)</f>
        <v>0</v>
      </c>
      <c r="M190" s="72">
        <f t="shared" si="22"/>
        <v>0</v>
      </c>
      <c r="N190" s="62">
        <f t="shared" si="29"/>
        <v>0</v>
      </c>
      <c r="T190" s="61">
        <f t="shared" si="23"/>
        <v>0</v>
      </c>
      <c r="U190" s="61">
        <f t="shared" si="24"/>
        <v>0</v>
      </c>
      <c r="V190" s="61">
        <f t="shared" si="25"/>
        <v>0</v>
      </c>
      <c r="W190" s="61">
        <f t="shared" si="26"/>
        <v>0</v>
      </c>
      <c r="X190" s="61">
        <f t="shared" si="27"/>
        <v>0</v>
      </c>
      <c r="Y190" s="61">
        <f t="shared" si="28"/>
        <v>0</v>
      </c>
    </row>
    <row r="191" spans="1:25" x14ac:dyDescent="0.25">
      <c r="A191" s="51">
        <v>2010301012</v>
      </c>
      <c r="B191" s="51" t="s">
        <v>89</v>
      </c>
      <c r="C191" s="51" t="s">
        <v>145</v>
      </c>
      <c r="D191" s="51" t="s">
        <v>141</v>
      </c>
      <c r="E191" s="51" t="s">
        <v>130</v>
      </c>
      <c r="F191" s="52">
        <f>SUMIF('Customer Budget Per Category'!$A:$A,$A191,'Customer Budget Per Category'!$G:$G)</f>
        <v>550</v>
      </c>
      <c r="G191" s="52">
        <f>SUMIFS('Navision sales Dump'!$E:$E,'Navision sales Dump'!$K:$K,$E191,'Navision sales Dump'!$A:$A,$A191)</f>
        <v>502</v>
      </c>
      <c r="H191" s="62">
        <f>SUMIFS('Navision sales Dump'!$G:$G,'Navision sales Dump'!$K:$K,$E191,'Navision sales Dump'!$A:$A,$A191)</f>
        <v>3878110.64</v>
      </c>
      <c r="I191" s="72">
        <f>IFERROR(IF(($G191/$F191)&gt;='Discount Scheme Target'!$F$4,_xlfn.XLOOKUP($E191,'Discount Scheme Target'!$B:$B,'Discount Scheme Target'!$F:$F,0,0),IF(($G191/$F191)&gt;='Discount Scheme Target'!$E$4,_xlfn.XLOOKUP($E191,'Discount Scheme Target'!$B:$B,'Discount Scheme Target'!$E:$E,0,0),IF(($G191/$F191)&gt;='Discount Scheme Target'!$D$4,_xlfn.XLOOKUP($E191,'Discount Scheme Target'!$B:$B,'Discount Scheme Target'!$D:$D,0,0),0))),0)</f>
        <v>0</v>
      </c>
      <c r="J191" s="72">
        <f>IF(SUMIF('Customer Num Distr.'!$A:$A,Workings!$A191,'Customer Num Distr.'!$E:$E)&gt;='Discount Scheme Target'!$G$4,_xlfn.XLOOKUP(Workings!$E191,'Discount Scheme Target'!$B:$B,'Discount Scheme Target'!$G:$G,0,0),0)</f>
        <v>0</v>
      </c>
      <c r="K191" s="72">
        <f>IF(SUMIF('Bouclage EG Cust Cons_Decons'!$A:$A,Workings!$A191,'Bouclage EG Cust Cons_Decons'!$F:$F)&gt;='Discount Scheme Target'!$H$4,_xlfn.XLOOKUP(Workings!$E191,'Discount Scheme Target'!$B:$B,'Discount Scheme Target'!$H:$H,0,0),0)</f>
        <v>0</v>
      </c>
      <c r="L191" s="72">
        <f>IF(INDEX('TT Around time'!$A$1:$F$46,MATCH($A191,'TT Around time'!$A:$A,0),6)&gt;='Discount Scheme Target'!$I$4,_xlfn.XLOOKUP(Workings!$E191,'Discount Scheme Target'!$B:$B,'Discount Scheme Target'!$I:$I,0,0),0)</f>
        <v>0.01</v>
      </c>
      <c r="M191" s="72">
        <f t="shared" si="22"/>
        <v>0.01</v>
      </c>
      <c r="N191" s="62">
        <f t="shared" si="29"/>
        <v>42489.26</v>
      </c>
      <c r="T191" s="61">
        <f t="shared" si="23"/>
        <v>0</v>
      </c>
      <c r="U191" s="61">
        <f t="shared" si="24"/>
        <v>0</v>
      </c>
      <c r="V191" s="61">
        <f t="shared" si="25"/>
        <v>0</v>
      </c>
      <c r="W191" s="61">
        <f t="shared" si="26"/>
        <v>42489.26</v>
      </c>
      <c r="X191" s="61">
        <f t="shared" si="27"/>
        <v>42489.26</v>
      </c>
      <c r="Y191" s="61">
        <f t="shared" si="28"/>
        <v>0</v>
      </c>
    </row>
    <row r="192" spans="1:25" x14ac:dyDescent="0.25">
      <c r="A192" s="51">
        <v>2010301012</v>
      </c>
      <c r="B192" s="51" t="s">
        <v>89</v>
      </c>
      <c r="C192" s="51" t="s">
        <v>145</v>
      </c>
      <c r="D192" s="51" t="s">
        <v>141</v>
      </c>
      <c r="E192" s="51" t="s">
        <v>131</v>
      </c>
      <c r="F192" s="52">
        <f>SUMIF('Customer Budget Per Category'!$A:$A,$A192,'Customer Budget Per Category'!$H:$H)</f>
        <v>144.1572088432188</v>
      </c>
      <c r="G192" s="52">
        <f>SUMIFS('Navision sales Dump'!$E:$E,'Navision sales Dump'!$K:$K,$E192,'Navision sales Dump'!$A:$A,$A192)</f>
        <v>159</v>
      </c>
      <c r="H192" s="62">
        <f>SUMIFS('Navision sales Dump'!$G:$G,'Navision sales Dump'!$K:$K,$E192,'Navision sales Dump'!$A:$A,$A192)</f>
        <v>5785118.0099999998</v>
      </c>
      <c r="I192" s="72">
        <f>IFERROR(IF(($G192/$F192)&gt;='Discount Scheme Target'!$F$4,_xlfn.XLOOKUP($E192,'Discount Scheme Target'!$B:$B,'Discount Scheme Target'!$F:$F,0,0),IF(($G192/$F192)&gt;='Discount Scheme Target'!$E$4,_xlfn.XLOOKUP($E192,'Discount Scheme Target'!$B:$B,'Discount Scheme Target'!$E:$E,0,0),IF(($G192/$F192)&gt;='Discount Scheme Target'!$D$4,_xlfn.XLOOKUP($E192,'Discount Scheme Target'!$B:$B,'Discount Scheme Target'!$D:$D,0,0),0))),0)</f>
        <v>0.03</v>
      </c>
      <c r="J192" s="72">
        <f>IF(SUMIF('Customer Num Distr.'!$A:$A,Workings!$A192,'Customer Num Distr.'!$E:$E)&gt;='Discount Scheme Target'!$G$4,_xlfn.XLOOKUP(Workings!$E192,'Discount Scheme Target'!$B:$B,'Discount Scheme Target'!$G:$G,0,0),0)</f>
        <v>0</v>
      </c>
      <c r="K192" s="72">
        <f>IF(SUMIF('Bouclage EG Cust Cons_Decons'!$A:$A,Workings!$A192,'Bouclage EG Cust Cons_Decons'!$F:$F)&gt;='Discount Scheme Target'!$H$4,_xlfn.XLOOKUP(Workings!$E192,'Discount Scheme Target'!$B:$B,'Discount Scheme Target'!$H:$H,0,0),0)</f>
        <v>0</v>
      </c>
      <c r="L192" s="72">
        <f>IF(INDEX('TT Around time'!$A$1:$F$46,MATCH($A192,'TT Around time'!$A:$A,0),6)&gt;='Discount Scheme Target'!$I$4,_xlfn.XLOOKUP(Workings!$E192,'Discount Scheme Target'!$B:$B,'Discount Scheme Target'!$I:$I,0,0),0)</f>
        <v>5.0000000000000001E-3</v>
      </c>
      <c r="M192" s="72">
        <f t="shared" si="22"/>
        <v>3.4999999999999996E-2</v>
      </c>
      <c r="N192" s="62">
        <f t="shared" si="29"/>
        <v>183577.52377520924</v>
      </c>
      <c r="T192" s="61">
        <f t="shared" si="23"/>
        <v>157352.16323589365</v>
      </c>
      <c r="U192" s="61">
        <f t="shared" si="24"/>
        <v>0</v>
      </c>
      <c r="V192" s="61">
        <f t="shared" si="25"/>
        <v>0</v>
      </c>
      <c r="W192" s="61">
        <f t="shared" si="26"/>
        <v>26225.36053931561</v>
      </c>
      <c r="X192" s="61">
        <f t="shared" si="27"/>
        <v>183577.52377520927</v>
      </c>
      <c r="Y192" s="61">
        <f t="shared" si="28"/>
        <v>0</v>
      </c>
    </row>
    <row r="193" spans="1:25" x14ac:dyDescent="0.25">
      <c r="A193" s="51">
        <v>2010301012</v>
      </c>
      <c r="B193" s="51" t="s">
        <v>89</v>
      </c>
      <c r="C193" s="51" t="s">
        <v>145</v>
      </c>
      <c r="D193" s="51" t="s">
        <v>141</v>
      </c>
      <c r="E193" s="51" t="s">
        <v>514</v>
      </c>
      <c r="F193" s="52">
        <f>SUMIF('Customer Budget Per Category'!$A:$A,$A193,'Customer Budget Per Category'!$I:$I)</f>
        <v>6619.064413274019</v>
      </c>
      <c r="G193" s="52">
        <f>SUMIFS('Navision sales Dump'!$E:$E,'Navision sales Dump'!$K:$K,$E193,'Navision sales Dump'!$A:$A,$A193)</f>
        <v>3950</v>
      </c>
      <c r="H193" s="62">
        <f>SUMIFS('Navision sales Dump'!$G:$G,'Navision sales Dump'!$K:$K,$E193,'Navision sales Dump'!$A:$A,$A193)</f>
        <v>15634218.5</v>
      </c>
      <c r="I193" s="72">
        <f>IFERROR(IF(($G193/$F193)&gt;='Discount Scheme Target'!$F$4,_xlfn.XLOOKUP($E193,'Discount Scheme Target'!$B:$B,'Discount Scheme Target'!$F:$F,0,0),IF(($G193/$F193)&gt;='Discount Scheme Target'!$E$4,_xlfn.XLOOKUP($E193,'Discount Scheme Target'!$B:$B,'Discount Scheme Target'!$E:$E,0,0),IF(($G193/$F193)&gt;='Discount Scheme Target'!$D$4,_xlfn.XLOOKUP($E193,'Discount Scheme Target'!$B:$B,'Discount Scheme Target'!$D:$D,0,0),0))),0)</f>
        <v>0</v>
      </c>
      <c r="J193" s="72">
        <f>IF(SUMIF('Customer Num Distr.'!$A:$A,Workings!$A193,'Customer Num Distr.'!$E:$E)&gt;='Discount Scheme Target'!$G$4,_xlfn.XLOOKUP(Workings!$E193,'Discount Scheme Target'!$B:$B,'Discount Scheme Target'!$G:$G,0,0),0)</f>
        <v>0</v>
      </c>
      <c r="K193" s="72">
        <f>IF(SUMIF('Bouclage EG Cust Cons_Decons'!$A:$A,Workings!$A193,'Bouclage EG Cust Cons_Decons'!$F:$F)&gt;='Discount Scheme Target'!$H$4,_xlfn.XLOOKUP(Workings!$E193,'Discount Scheme Target'!$B:$B,'Discount Scheme Target'!$H:$H,0,0),0)</f>
        <v>0</v>
      </c>
      <c r="L193" s="72">
        <f>IF(INDEX('TT Around time'!$A$1:$F$46,MATCH($A193,'TT Around time'!$A:$A,0),6)&gt;='Discount Scheme Target'!$I$4,_xlfn.XLOOKUP(Workings!$E193,'Discount Scheme Target'!$B:$B,'Discount Scheme Target'!$I:$I,0,0),0)</f>
        <v>5.0000000000000001E-3</v>
      </c>
      <c r="M193" s="72">
        <f t="shared" si="22"/>
        <v>5.0000000000000001E-3</v>
      </c>
      <c r="N193" s="62">
        <f t="shared" si="29"/>
        <v>130992.27759835483</v>
      </c>
      <c r="T193" s="61">
        <f t="shared" si="23"/>
        <v>0</v>
      </c>
      <c r="U193" s="61">
        <f t="shared" si="24"/>
        <v>0</v>
      </c>
      <c r="V193" s="61">
        <f t="shared" si="25"/>
        <v>0</v>
      </c>
      <c r="W193" s="61">
        <f t="shared" si="26"/>
        <v>130992.27759835483</v>
      </c>
      <c r="X193" s="61">
        <f t="shared" si="27"/>
        <v>130992.27759835483</v>
      </c>
      <c r="Y193" s="61">
        <f t="shared" si="28"/>
        <v>0</v>
      </c>
    </row>
    <row r="194" spans="1:25" x14ac:dyDescent="0.25">
      <c r="A194" s="51">
        <v>2010301012</v>
      </c>
      <c r="B194" s="51" t="s">
        <v>89</v>
      </c>
      <c r="C194" s="51" t="s">
        <v>145</v>
      </c>
      <c r="D194" s="51" t="s">
        <v>141</v>
      </c>
      <c r="E194" s="51" t="s">
        <v>515</v>
      </c>
      <c r="F194" s="52">
        <f>SUMIF('Customer Budget Per Category'!$A:$A,$A194,'Customer Budget Per Category'!$J:$J)</f>
        <v>937.2252943751804</v>
      </c>
      <c r="G194" s="52">
        <f>SUMIFS('Navision sales Dump'!$E:$E,'Navision sales Dump'!$K:$K,$E194,'Navision sales Dump'!$A:$A,$A194)</f>
        <v>863</v>
      </c>
      <c r="H194" s="62">
        <f>SUMIFS('Navision sales Dump'!$G:$G,'Navision sales Dump'!$K:$K,$E194,'Navision sales Dump'!$A:$A,$A194)</f>
        <v>2436162.7000000002</v>
      </c>
      <c r="I194" s="72">
        <f>IFERROR(IF(($G194/$F194)&gt;='Discount Scheme Target'!$F$4,_xlfn.XLOOKUP($E194,'Discount Scheme Target'!$B:$B,'Discount Scheme Target'!$F:$F,0,0),IF(($G194/$F194)&gt;='Discount Scheme Target'!$E$4,_xlfn.XLOOKUP($E194,'Discount Scheme Target'!$B:$B,'Discount Scheme Target'!$E:$E,0,0),IF(($G194/$F194)&gt;='Discount Scheme Target'!$D$4,_xlfn.XLOOKUP($E194,'Discount Scheme Target'!$B:$B,'Discount Scheme Target'!$D:$D,0,0),0))),0)</f>
        <v>0</v>
      </c>
      <c r="J194" s="72">
        <f>IF(SUMIF('Customer Num Distr.'!$A:$A,Workings!$A194,'Customer Num Distr.'!$E:$E)&gt;='Discount Scheme Target'!$G$4,_xlfn.XLOOKUP(Workings!$E194,'Discount Scheme Target'!$B:$B,'Discount Scheme Target'!$G:$G,0,0),0)</f>
        <v>0</v>
      </c>
      <c r="K194" s="72">
        <f>IF(SUMIF('Bouclage EG Cust Cons_Decons'!$A:$A,Workings!$A194,'Bouclage EG Cust Cons_Decons'!$F:$F)&gt;='Discount Scheme Target'!$H$4,_xlfn.XLOOKUP(Workings!$E194,'Discount Scheme Target'!$B:$B,'Discount Scheme Target'!$H:$H,0,0),0)</f>
        <v>0</v>
      </c>
      <c r="L194" s="72">
        <f>IF(INDEX('TT Around time'!$A$1:$F$46,MATCH($A194,'TT Around time'!$A:$A,0),6)&gt;='Discount Scheme Target'!$I$4,_xlfn.XLOOKUP(Workings!$E194,'Discount Scheme Target'!$B:$B,'Discount Scheme Target'!$I:$I,0,0),0)</f>
        <v>5.0000000000000001E-3</v>
      </c>
      <c r="M194" s="72">
        <f t="shared" si="22"/>
        <v>5.0000000000000001E-3</v>
      </c>
      <c r="N194" s="62">
        <f t="shared" si="29"/>
        <v>13228.466417458483</v>
      </c>
      <c r="T194" s="61">
        <f t="shared" si="23"/>
        <v>0</v>
      </c>
      <c r="U194" s="61">
        <f t="shared" si="24"/>
        <v>0</v>
      </c>
      <c r="V194" s="61">
        <f t="shared" si="25"/>
        <v>0</v>
      </c>
      <c r="W194" s="61">
        <f t="shared" si="26"/>
        <v>13228.466417458483</v>
      </c>
      <c r="X194" s="61">
        <f t="shared" si="27"/>
        <v>13228.466417458483</v>
      </c>
      <c r="Y194" s="61">
        <f t="shared" si="28"/>
        <v>0</v>
      </c>
    </row>
    <row r="195" spans="1:25" x14ac:dyDescent="0.25">
      <c r="A195" s="51">
        <v>2010301012</v>
      </c>
      <c r="B195" s="51" t="s">
        <v>89</v>
      </c>
      <c r="C195" s="51" t="s">
        <v>145</v>
      </c>
      <c r="D195" s="51" t="s">
        <v>141</v>
      </c>
      <c r="E195" s="51" t="s">
        <v>161</v>
      </c>
      <c r="F195" s="52">
        <f>SUMIF('Customer Budget Per Category'!$A:$A,$A195,'Customer Budget Per Category'!$K:$K)</f>
        <v>0</v>
      </c>
      <c r="G195" s="52">
        <f>SUMIFS('Navision sales Dump'!$E:$E,'Navision sales Dump'!$K:$K,$E195,'Navision sales Dump'!$A:$A,$A195)</f>
        <v>0</v>
      </c>
      <c r="H195" s="62">
        <f>SUMIFS('Navision sales Dump'!$G:$G,'Navision sales Dump'!$K:$K,$E195,'Navision sales Dump'!$A:$A,$A195)</f>
        <v>0</v>
      </c>
      <c r="I195" s="72">
        <f>IFERROR(IF(($G195/$F195)&gt;='Discount Scheme Target'!$F$4,_xlfn.XLOOKUP($E195,'Discount Scheme Target'!$B:$B,'Discount Scheme Target'!$F:$F,0,0),IF(($G195/$F195)&gt;='Discount Scheme Target'!$E$4,_xlfn.XLOOKUP($E195,'Discount Scheme Target'!$B:$B,'Discount Scheme Target'!$E:$E,0,0),IF(($G195/$F195)&gt;='Discount Scheme Target'!$D$4,_xlfn.XLOOKUP($E195,'Discount Scheme Target'!$B:$B,'Discount Scheme Target'!$D:$D,0,0),0))),0)</f>
        <v>0</v>
      </c>
      <c r="J195" s="72">
        <f>IF(SUMIF('Customer Num Distr.'!$A:$A,Workings!$A195,'Customer Num Distr.'!$E:$E)&gt;='Discount Scheme Target'!$G$4,_xlfn.XLOOKUP(Workings!$E195,'Discount Scheme Target'!$B:$B,'Discount Scheme Target'!$G:$G,0,0),0)</f>
        <v>0</v>
      </c>
      <c r="K195" s="72">
        <f>IF(SUMIF('Bouclage EG Cust Cons_Decons'!$A:$A,Workings!$A195,'Bouclage EG Cust Cons_Decons'!$F:$F)&gt;='Discount Scheme Target'!$H$4,_xlfn.XLOOKUP(Workings!$E195,'Discount Scheme Target'!$B:$B,'Discount Scheme Target'!$H:$H,0,0),0)</f>
        <v>0</v>
      </c>
      <c r="L195" s="72">
        <f>IF(INDEX('TT Around time'!$A$1:$F$46,MATCH($A195,'TT Around time'!$A:$A,0),6)&gt;='Discount Scheme Target'!$I$4,_xlfn.XLOOKUP(Workings!$E195,'Discount Scheme Target'!$B:$B,'Discount Scheme Target'!$I:$I,0,0),0)</f>
        <v>0</v>
      </c>
      <c r="M195" s="72">
        <f t="shared" si="22"/>
        <v>0</v>
      </c>
      <c r="N195" s="62">
        <f t="shared" si="29"/>
        <v>0</v>
      </c>
      <c r="T195" s="61">
        <f t="shared" si="23"/>
        <v>0</v>
      </c>
      <c r="U195" s="61">
        <f t="shared" si="24"/>
        <v>0</v>
      </c>
      <c r="V195" s="61">
        <f t="shared" si="25"/>
        <v>0</v>
      </c>
      <c r="W195" s="61">
        <f t="shared" si="26"/>
        <v>0</v>
      </c>
      <c r="X195" s="61">
        <f t="shared" si="27"/>
        <v>0</v>
      </c>
      <c r="Y195" s="61">
        <f t="shared" si="28"/>
        <v>0</v>
      </c>
    </row>
    <row r="196" spans="1:25" x14ac:dyDescent="0.25">
      <c r="A196" s="51">
        <v>2010301012</v>
      </c>
      <c r="B196" s="51" t="s">
        <v>89</v>
      </c>
      <c r="C196" s="51" t="s">
        <v>145</v>
      </c>
      <c r="D196" s="51" t="s">
        <v>141</v>
      </c>
      <c r="E196" s="51" t="s">
        <v>354</v>
      </c>
      <c r="F196" s="52">
        <f>SUMIF('Customer Budget Per Category'!$A:$A,$A196,'Customer Budget Per Category'!$L:$L)</f>
        <v>2833.5188633864655</v>
      </c>
      <c r="G196" s="52">
        <f>SUMIFS('Navision sales Dump'!$E:$E,'Navision sales Dump'!$K:$K,$E196,'Navision sales Dump'!$A:$A,$A196)</f>
        <v>1004</v>
      </c>
      <c r="H196" s="62">
        <f>SUMIFS('Navision sales Dump'!$G:$G,'Navision sales Dump'!$K:$K,$E196,'Navision sales Dump'!$A:$A,$A196)</f>
        <v>3311553.44</v>
      </c>
      <c r="I196" s="72">
        <f>IFERROR(IF(($G196/$F196)&gt;='Discount Scheme Target'!$F$4,_xlfn.XLOOKUP($E196,'Discount Scheme Target'!$B:$B,'Discount Scheme Target'!$F:$F,0,0),IF(($G196/$F196)&gt;='Discount Scheme Target'!$E$4,_xlfn.XLOOKUP($E196,'Discount Scheme Target'!$B:$B,'Discount Scheme Target'!$E:$E,0,0),IF(($G196/$F196)&gt;='Discount Scheme Target'!$D$4,_xlfn.XLOOKUP($E196,'Discount Scheme Target'!$B:$B,'Discount Scheme Target'!$D:$D,0,0),0))),0)</f>
        <v>0</v>
      </c>
      <c r="J196" s="72">
        <f>IF(SUMIF('Customer Num Distr.'!$A:$A,Workings!$A196,'Customer Num Distr.'!$E:$E)&gt;='Discount Scheme Target'!$G$4,_xlfn.XLOOKUP(Workings!$E196,'Discount Scheme Target'!$B:$B,'Discount Scheme Target'!$G:$G,0,0),0)</f>
        <v>0</v>
      </c>
      <c r="K196" s="72">
        <f>IF(SUMIF('Bouclage EG Cust Cons_Decons'!$A:$A,Workings!$A196,'Bouclage EG Cust Cons_Decons'!$F:$F)&gt;='Discount Scheme Target'!$H$4,_xlfn.XLOOKUP(Workings!$E196,'Discount Scheme Target'!$B:$B,'Discount Scheme Target'!$H:$H,0,0),0)</f>
        <v>0</v>
      </c>
      <c r="L196" s="72">
        <f>IF(INDEX('TT Around time'!$A$1:$F$46,MATCH($A196,'TT Around time'!$A:$A,0),6)&gt;='Discount Scheme Target'!$I$4,_xlfn.XLOOKUP(Workings!$E196,'Discount Scheme Target'!$B:$B,'Discount Scheme Target'!$I:$I,0,0),0)</f>
        <v>5.0000000000000001E-3</v>
      </c>
      <c r="M196" s="72">
        <f t="shared" si="22"/>
        <v>5.0000000000000001E-3</v>
      </c>
      <c r="N196" s="62">
        <f t="shared" si="29"/>
        <v>46729.826391196912</v>
      </c>
      <c r="T196" s="61">
        <f t="shared" si="23"/>
        <v>0</v>
      </c>
      <c r="U196" s="61">
        <f t="shared" si="24"/>
        <v>0</v>
      </c>
      <c r="V196" s="61">
        <f t="shared" si="25"/>
        <v>0</v>
      </c>
      <c r="W196" s="61">
        <f t="shared" si="26"/>
        <v>46729.826391196912</v>
      </c>
      <c r="X196" s="61">
        <f t="shared" si="27"/>
        <v>46729.826391196912</v>
      </c>
      <c r="Y196" s="61">
        <f t="shared" si="28"/>
        <v>0</v>
      </c>
    </row>
    <row r="197" spans="1:25" x14ac:dyDescent="0.25">
      <c r="A197" s="51">
        <v>2010301012</v>
      </c>
      <c r="B197" s="51" t="s">
        <v>89</v>
      </c>
      <c r="C197" s="51" t="s">
        <v>145</v>
      </c>
      <c r="D197" s="51" t="s">
        <v>141</v>
      </c>
      <c r="E197" s="51" t="s">
        <v>355</v>
      </c>
      <c r="F197" s="52">
        <f>SUMIF('Customer Budget Per Category'!$A:$A,$A197,'Customer Budget Per Category'!$M:$M)</f>
        <v>1601.4799496982764</v>
      </c>
      <c r="G197" s="52">
        <f>SUMIFS('Navision sales Dump'!$E:$E,'Navision sales Dump'!$K:$K,$E197,'Navision sales Dump'!$A:$A,$A197)</f>
        <v>1151</v>
      </c>
      <c r="H197" s="62">
        <f>SUMIFS('Navision sales Dump'!$G:$G,'Navision sales Dump'!$K:$K,$E197,'Navision sales Dump'!$A:$A,$A197)</f>
        <v>2784994.13</v>
      </c>
      <c r="I197" s="72">
        <f>IFERROR(IF(($G197/$F197)&gt;='Discount Scheme Target'!$F$4,_xlfn.XLOOKUP($E197,'Discount Scheme Target'!$B:$B,'Discount Scheme Target'!$F:$F,0,0),IF(($G197/$F197)&gt;='Discount Scheme Target'!$E$4,_xlfn.XLOOKUP($E197,'Discount Scheme Target'!$B:$B,'Discount Scheme Target'!$E:$E,0,0),IF(($G197/$F197)&gt;='Discount Scheme Target'!$D$4,_xlfn.XLOOKUP($E197,'Discount Scheme Target'!$B:$B,'Discount Scheme Target'!$D:$D,0,0),0))),0)</f>
        <v>0</v>
      </c>
      <c r="J197" s="72">
        <f>IF(SUMIF('Customer Num Distr.'!$A:$A,Workings!$A197,'Customer Num Distr.'!$E:$E)&gt;='Discount Scheme Target'!$G$4,_xlfn.XLOOKUP(Workings!$E197,'Discount Scheme Target'!$B:$B,'Discount Scheme Target'!$G:$G,0,0),0)</f>
        <v>0</v>
      </c>
      <c r="K197" s="72">
        <f>IF(SUMIF('Bouclage EG Cust Cons_Decons'!$A:$A,Workings!$A197,'Bouclage EG Cust Cons_Decons'!$F:$F)&gt;='Discount Scheme Target'!$H$4,_xlfn.XLOOKUP(Workings!$E197,'Discount Scheme Target'!$B:$B,'Discount Scheme Target'!$H:$H,0,0),0)</f>
        <v>0</v>
      </c>
      <c r="L197" s="72">
        <f>IF(INDEX('TT Around time'!$A$1:$F$46,MATCH($A197,'TT Around time'!$A:$A,0),6)&gt;='Discount Scheme Target'!$I$4,_xlfn.XLOOKUP(Workings!$E197,'Discount Scheme Target'!$B:$B,'Discount Scheme Target'!$I:$I,0,0),0)</f>
        <v>5.0000000000000001E-3</v>
      </c>
      <c r="M197" s="72">
        <f t="shared" si="22"/>
        <v>5.0000000000000001E-3</v>
      </c>
      <c r="N197" s="62">
        <f t="shared" si="29"/>
        <v>19374.944653442206</v>
      </c>
      <c r="T197" s="61">
        <f t="shared" si="23"/>
        <v>0</v>
      </c>
      <c r="U197" s="61">
        <f t="shared" si="24"/>
        <v>0</v>
      </c>
      <c r="V197" s="61">
        <f t="shared" si="25"/>
        <v>0</v>
      </c>
      <c r="W197" s="61">
        <f t="shared" si="26"/>
        <v>19374.944653442206</v>
      </c>
      <c r="X197" s="61">
        <f t="shared" si="27"/>
        <v>19374.944653442206</v>
      </c>
      <c r="Y197" s="61">
        <f t="shared" si="28"/>
        <v>0</v>
      </c>
    </row>
    <row r="198" spans="1:25" x14ac:dyDescent="0.25">
      <c r="A198" s="51">
        <v>2010301012</v>
      </c>
      <c r="B198" s="51" t="s">
        <v>89</v>
      </c>
      <c r="C198" s="51" t="s">
        <v>145</v>
      </c>
      <c r="D198" s="51" t="s">
        <v>141</v>
      </c>
      <c r="E198" s="51" t="s">
        <v>132</v>
      </c>
      <c r="F198" s="52">
        <f>SUMIF('Customer Budget Per Category'!$A:$A,$A198,'Customer Budget Per Category'!$N:$N)</f>
        <v>417.06228400197125</v>
      </c>
      <c r="G198" s="52">
        <f>SUMIFS('Navision sales Dump'!$E:$E,'Navision sales Dump'!$K:$K,$E198,'Navision sales Dump'!$A:$A,$A198)</f>
        <v>0</v>
      </c>
      <c r="H198" s="62">
        <f>SUMIFS('Navision sales Dump'!$G:$G,'Navision sales Dump'!$K:$K,$E198,'Navision sales Dump'!$A:$A,$A198)</f>
        <v>0</v>
      </c>
      <c r="I198" s="72">
        <f>IFERROR(IF(($G198/$F198)&gt;='Discount Scheme Target'!$F$4,_xlfn.XLOOKUP($E198,'Discount Scheme Target'!$B:$B,'Discount Scheme Target'!$F:$F,0,0),IF(($G198/$F198)&gt;='Discount Scheme Target'!$E$4,_xlfn.XLOOKUP($E198,'Discount Scheme Target'!$B:$B,'Discount Scheme Target'!$E:$E,0,0),IF(($G198/$F198)&gt;='Discount Scheme Target'!$D$4,_xlfn.XLOOKUP($E198,'Discount Scheme Target'!$B:$B,'Discount Scheme Target'!$D:$D,0,0),0))),0)</f>
        <v>0</v>
      </c>
      <c r="J198" s="72">
        <f>IF(SUMIF('Customer Num Distr.'!$A:$A,Workings!$A198,'Customer Num Distr.'!$E:$E)&gt;='Discount Scheme Target'!$G$4,_xlfn.XLOOKUP(Workings!$E198,'Discount Scheme Target'!$B:$B,'Discount Scheme Target'!$G:$G,0,0),0)</f>
        <v>0</v>
      </c>
      <c r="K198" s="72">
        <f>IF(SUMIF('Bouclage EG Cust Cons_Decons'!$A:$A,Workings!$A198,'Bouclage EG Cust Cons_Decons'!$F:$F)&gt;='Discount Scheme Target'!$H$4,_xlfn.XLOOKUP(Workings!$E198,'Discount Scheme Target'!$B:$B,'Discount Scheme Target'!$H:$H,0,0),0)</f>
        <v>0</v>
      </c>
      <c r="L198" s="72">
        <f>IF(INDEX('TT Around time'!$A$1:$F$46,MATCH($A198,'TT Around time'!$A:$A,0),6)&gt;='Discount Scheme Target'!$I$4,_xlfn.XLOOKUP(Workings!$E198,'Discount Scheme Target'!$B:$B,'Discount Scheme Target'!$I:$I,0,0),0)</f>
        <v>5.0000000000000001E-3</v>
      </c>
      <c r="M198" s="72">
        <f t="shared" si="22"/>
        <v>5.0000000000000001E-3</v>
      </c>
      <c r="N198" s="62">
        <f t="shared" si="29"/>
        <v>0</v>
      </c>
      <c r="T198" s="61">
        <f t="shared" si="23"/>
        <v>0</v>
      </c>
      <c r="U198" s="61">
        <f t="shared" si="24"/>
        <v>0</v>
      </c>
      <c r="V198" s="61">
        <f t="shared" si="25"/>
        <v>0</v>
      </c>
      <c r="W198" s="61">
        <f t="shared" si="26"/>
        <v>0</v>
      </c>
      <c r="X198" s="61">
        <f t="shared" si="27"/>
        <v>0</v>
      </c>
      <c r="Y198" s="61">
        <f t="shared" si="28"/>
        <v>0</v>
      </c>
    </row>
    <row r="199" spans="1:25" x14ac:dyDescent="0.25">
      <c r="A199" s="51">
        <v>2010301012</v>
      </c>
      <c r="B199" s="51" t="s">
        <v>89</v>
      </c>
      <c r="C199" s="51" t="s">
        <v>145</v>
      </c>
      <c r="D199" s="51" t="s">
        <v>141</v>
      </c>
      <c r="E199" s="51" t="s">
        <v>133</v>
      </c>
      <c r="F199" s="52">
        <f>SUMIF('Customer Budget Per Category'!$A:$A,$A199,'Customer Budget Per Category'!$O:$O)</f>
        <v>435.94774564592086</v>
      </c>
      <c r="G199" s="52">
        <f>SUMIFS('Navision sales Dump'!$E:$E,'Navision sales Dump'!$K:$K,$E199,'Navision sales Dump'!$A:$A,$A199)</f>
        <v>72</v>
      </c>
      <c r="H199" s="62">
        <f>SUMIFS('Navision sales Dump'!$G:$G,'Navision sales Dump'!$K:$K,$E199,'Navision sales Dump'!$A:$A,$A199)</f>
        <v>721971.36</v>
      </c>
      <c r="I199" s="72">
        <f>IFERROR(IF(($G199/$F199)&gt;='Discount Scheme Target'!$F$4,_xlfn.XLOOKUP($E199,'Discount Scheme Target'!$B:$B,'Discount Scheme Target'!$F:$F,0,0),IF(($G199/$F199)&gt;='Discount Scheme Target'!$E$4,_xlfn.XLOOKUP($E199,'Discount Scheme Target'!$B:$B,'Discount Scheme Target'!$E:$E,0,0),IF(($G199/$F199)&gt;='Discount Scheme Target'!$D$4,_xlfn.XLOOKUP($E199,'Discount Scheme Target'!$B:$B,'Discount Scheme Target'!$D:$D,0,0),0))),0)</f>
        <v>0</v>
      </c>
      <c r="J199" s="72">
        <f>IF(SUMIF('Customer Num Distr.'!$A:$A,Workings!$A199,'Customer Num Distr.'!$E:$E)&gt;='Discount Scheme Target'!$G$4,_xlfn.XLOOKUP(Workings!$E199,'Discount Scheme Target'!$B:$B,'Discount Scheme Target'!$G:$G,0,0),0)</f>
        <v>0</v>
      </c>
      <c r="K199" s="72">
        <f>IF(SUMIF('Bouclage EG Cust Cons_Decons'!$A:$A,Workings!$A199,'Bouclage EG Cust Cons_Decons'!$F:$F)&gt;='Discount Scheme Target'!$H$4,_xlfn.XLOOKUP(Workings!$E199,'Discount Scheme Target'!$B:$B,'Discount Scheme Target'!$H:$H,0,0),0)</f>
        <v>0</v>
      </c>
      <c r="L199" s="72">
        <f>IF(INDEX('TT Around time'!$A$1:$F$46,MATCH($A199,'TT Around time'!$A:$A,0),6)&gt;='Discount Scheme Target'!$I$4,_xlfn.XLOOKUP(Workings!$E199,'Discount Scheme Target'!$B:$B,'Discount Scheme Target'!$I:$I,0,0),0)</f>
        <v>5.0000000000000001E-3</v>
      </c>
      <c r="M199" s="72">
        <f t="shared" si="22"/>
        <v>5.0000000000000001E-3</v>
      </c>
      <c r="N199" s="62">
        <f t="shared" si="29"/>
        <v>21857.068528674969</v>
      </c>
      <c r="T199" s="61">
        <f t="shared" si="23"/>
        <v>0</v>
      </c>
      <c r="U199" s="61">
        <f t="shared" si="24"/>
        <v>0</v>
      </c>
      <c r="V199" s="61">
        <f t="shared" si="25"/>
        <v>0</v>
      </c>
      <c r="W199" s="61">
        <f t="shared" si="26"/>
        <v>21857.068528674969</v>
      </c>
      <c r="X199" s="61">
        <f t="shared" si="27"/>
        <v>21857.068528674969</v>
      </c>
      <c r="Y199" s="61">
        <f t="shared" si="28"/>
        <v>0</v>
      </c>
    </row>
    <row r="200" spans="1:25" x14ac:dyDescent="0.25">
      <c r="A200" s="51">
        <v>2300004647</v>
      </c>
      <c r="B200" s="51" t="s">
        <v>344</v>
      </c>
      <c r="C200" s="51" t="s">
        <v>145</v>
      </c>
      <c r="D200" s="51" t="s">
        <v>141</v>
      </c>
      <c r="E200" s="51" t="s">
        <v>417</v>
      </c>
      <c r="F200" s="52">
        <f>SUMIF('Customer Budget Per Category'!$A:$A,$A200,'Customer Budget Per Category'!$E:$E)</f>
        <v>12569.509184368439</v>
      </c>
      <c r="G200" s="52">
        <f>SUMIFS('Navision sales Dump'!$E:$E,'Navision sales Dump'!$K:$K,$E200,'Navision sales Dump'!$A:$A,$A200)</f>
        <v>8197</v>
      </c>
      <c r="H200" s="62">
        <f>SUMIFS('Navision sales Dump'!$G:$G,'Navision sales Dump'!$K:$K,$E200,'Navision sales Dump'!$A:$A,$A200)</f>
        <v>59893129.420000009</v>
      </c>
      <c r="I200" s="72">
        <f>IFERROR(IF(($G200/$F200)&gt;='Discount Scheme Target'!$F$4,_xlfn.XLOOKUP($E200,'Discount Scheme Target'!$B:$B,'Discount Scheme Target'!$F:$F,0,0),IF(($G200/$F200)&gt;='Discount Scheme Target'!$E$4,_xlfn.XLOOKUP($E200,'Discount Scheme Target'!$B:$B,'Discount Scheme Target'!$E:$E,0,0),IF(($G200/$F200)&gt;='Discount Scheme Target'!$D$4,_xlfn.XLOOKUP($E200,'Discount Scheme Target'!$B:$B,'Discount Scheme Target'!$D:$D,0,0),0))),0)</f>
        <v>0</v>
      </c>
      <c r="J200" s="72">
        <f>IF(SUMIF('Customer Num Distr.'!$A:$A,Workings!$A200,'Customer Num Distr.'!$E:$E)&gt;='Discount Scheme Target'!$G$4,_xlfn.XLOOKUP(Workings!$E200,'Discount Scheme Target'!$B:$B,'Discount Scheme Target'!$G:$G,0,0),0)</f>
        <v>0</v>
      </c>
      <c r="K200" s="72">
        <f>IF(SUMIF('Bouclage EG Cust Cons_Decons'!$A:$A,Workings!$A200,'Bouclage EG Cust Cons_Decons'!$F:$F)&gt;='Discount Scheme Target'!$H$4,_xlfn.XLOOKUP(Workings!$E200,'Discount Scheme Target'!$B:$B,'Discount Scheme Target'!$H:$H,0,0),0)</f>
        <v>0</v>
      </c>
      <c r="L200" s="72">
        <f>IF(INDEX('TT Around time'!$A$1:$F$46,MATCH($A200,'TT Around time'!$A:$A,0),6)&gt;='Discount Scheme Target'!$I$4,_xlfn.XLOOKUP(Workings!$E200,'Discount Scheme Target'!$B:$B,'Discount Scheme Target'!$I:$I,0,0),0)</f>
        <v>0.01</v>
      </c>
      <c r="M200" s="72">
        <f t="shared" si="22"/>
        <v>0.01</v>
      </c>
      <c r="N200" s="62">
        <f t="shared" si="29"/>
        <v>918418.00698457693</v>
      </c>
      <c r="T200" s="61">
        <f t="shared" si="23"/>
        <v>0</v>
      </c>
      <c r="U200" s="61">
        <f t="shared" si="24"/>
        <v>0</v>
      </c>
      <c r="V200" s="61">
        <f t="shared" si="25"/>
        <v>0</v>
      </c>
      <c r="W200" s="61">
        <f t="shared" si="26"/>
        <v>918418.00698457693</v>
      </c>
      <c r="X200" s="61">
        <f t="shared" si="27"/>
        <v>918418.00698457693</v>
      </c>
      <c r="Y200" s="61">
        <f t="shared" si="28"/>
        <v>0</v>
      </c>
    </row>
    <row r="201" spans="1:25" x14ac:dyDescent="0.25">
      <c r="A201" s="51">
        <v>2300004647</v>
      </c>
      <c r="B201" s="51" t="s">
        <v>344</v>
      </c>
      <c r="C201" s="51" t="s">
        <v>145</v>
      </c>
      <c r="D201" s="51" t="s">
        <v>141</v>
      </c>
      <c r="E201" s="51" t="s">
        <v>418</v>
      </c>
      <c r="F201" s="52">
        <f>SUMIF('Customer Budget Per Category'!$A:$A,$A201,'Customer Budget Per Category'!$F:$F)</f>
        <v>0</v>
      </c>
      <c r="G201" s="52">
        <f>SUMIFS('Navision sales Dump'!$E:$E,'Navision sales Dump'!$K:$K,$E201,'Navision sales Dump'!$A:$A,$A201)</f>
        <v>0</v>
      </c>
      <c r="H201" s="62">
        <f>SUMIFS('Navision sales Dump'!$G:$G,'Navision sales Dump'!$K:$K,$E201,'Navision sales Dump'!$A:$A,$A201)</f>
        <v>0</v>
      </c>
      <c r="I201" s="72">
        <f>IFERROR(IF(($G201/$F201)&gt;='Discount Scheme Target'!$F$4,_xlfn.XLOOKUP($E201,'Discount Scheme Target'!$B:$B,'Discount Scheme Target'!$F:$F,0,0),IF(($G201/$F201)&gt;='Discount Scheme Target'!$E$4,_xlfn.XLOOKUP($E201,'Discount Scheme Target'!$B:$B,'Discount Scheme Target'!$E:$E,0,0),IF(($G201/$F201)&gt;='Discount Scheme Target'!$D$4,_xlfn.XLOOKUP($E201,'Discount Scheme Target'!$B:$B,'Discount Scheme Target'!$D:$D,0,0),0))),0)</f>
        <v>0</v>
      </c>
      <c r="J201" s="72">
        <f>IF(SUMIF('Customer Num Distr.'!$A:$A,Workings!$A201,'Customer Num Distr.'!$E:$E)&gt;='Discount Scheme Target'!$G$4,_xlfn.XLOOKUP(Workings!$E201,'Discount Scheme Target'!$B:$B,'Discount Scheme Target'!$G:$G,0,0),0)</f>
        <v>0</v>
      </c>
      <c r="K201" s="72">
        <f>IF(SUMIF('Bouclage EG Cust Cons_Decons'!$A:$A,Workings!$A201,'Bouclage EG Cust Cons_Decons'!$F:$F)&gt;='Discount Scheme Target'!$H$4,_xlfn.XLOOKUP(Workings!$E201,'Discount Scheme Target'!$B:$B,'Discount Scheme Target'!$H:$H,0,0),0)</f>
        <v>0</v>
      </c>
      <c r="L201" s="72">
        <f>IF(INDEX('TT Around time'!$A$1:$F$46,MATCH($A201,'TT Around time'!$A:$A,0),6)&gt;='Discount Scheme Target'!$I$4,_xlfn.XLOOKUP(Workings!$E201,'Discount Scheme Target'!$B:$B,'Discount Scheme Target'!$I:$I,0,0),0)</f>
        <v>0</v>
      </c>
      <c r="M201" s="72">
        <f t="shared" si="22"/>
        <v>0</v>
      </c>
      <c r="N201" s="62">
        <f t="shared" si="29"/>
        <v>0</v>
      </c>
      <c r="T201" s="61">
        <f t="shared" si="23"/>
        <v>0</v>
      </c>
      <c r="U201" s="61">
        <f t="shared" si="24"/>
        <v>0</v>
      </c>
      <c r="V201" s="61">
        <f t="shared" si="25"/>
        <v>0</v>
      </c>
      <c r="W201" s="61">
        <f t="shared" si="26"/>
        <v>0</v>
      </c>
      <c r="X201" s="61">
        <f t="shared" si="27"/>
        <v>0</v>
      </c>
      <c r="Y201" s="61">
        <f t="shared" si="28"/>
        <v>0</v>
      </c>
    </row>
    <row r="202" spans="1:25" x14ac:dyDescent="0.25">
      <c r="A202" s="51">
        <v>2300004647</v>
      </c>
      <c r="B202" s="51" t="s">
        <v>344</v>
      </c>
      <c r="C202" s="51" t="s">
        <v>145</v>
      </c>
      <c r="D202" s="51" t="s">
        <v>141</v>
      </c>
      <c r="E202" s="51" t="s">
        <v>130</v>
      </c>
      <c r="F202" s="52">
        <f>SUMIF('Customer Budget Per Category'!$A:$A,$A202,'Customer Budget Per Category'!$G:$G)</f>
        <v>273.77229657795328</v>
      </c>
      <c r="G202" s="52">
        <f>SUMIFS('Navision sales Dump'!$E:$E,'Navision sales Dump'!$K:$K,$E202,'Navision sales Dump'!$A:$A,$A202)</f>
        <v>215</v>
      </c>
      <c r="H202" s="62">
        <f>SUMIFS('Navision sales Dump'!$G:$G,'Navision sales Dump'!$K:$K,$E202,'Navision sales Dump'!$A:$A,$A202)</f>
        <v>1660943.8</v>
      </c>
      <c r="I202" s="72">
        <f>IFERROR(IF(($G202/$F202)&gt;='Discount Scheme Target'!$F$4,_xlfn.XLOOKUP($E202,'Discount Scheme Target'!$B:$B,'Discount Scheme Target'!$F:$F,0,0),IF(($G202/$F202)&gt;='Discount Scheme Target'!$E$4,_xlfn.XLOOKUP($E202,'Discount Scheme Target'!$B:$B,'Discount Scheme Target'!$E:$E,0,0),IF(($G202/$F202)&gt;='Discount Scheme Target'!$D$4,_xlfn.XLOOKUP($E202,'Discount Scheme Target'!$B:$B,'Discount Scheme Target'!$D:$D,0,0),0))),0)</f>
        <v>0</v>
      </c>
      <c r="J202" s="72">
        <f>IF(SUMIF('Customer Num Distr.'!$A:$A,Workings!$A202,'Customer Num Distr.'!$E:$E)&gt;='Discount Scheme Target'!$G$4,_xlfn.XLOOKUP(Workings!$E202,'Discount Scheme Target'!$B:$B,'Discount Scheme Target'!$G:$G,0,0),0)</f>
        <v>0</v>
      </c>
      <c r="K202" s="72">
        <f>IF(SUMIF('Bouclage EG Cust Cons_Decons'!$A:$A,Workings!$A202,'Bouclage EG Cust Cons_Decons'!$F:$F)&gt;='Discount Scheme Target'!$H$4,_xlfn.XLOOKUP(Workings!$E202,'Discount Scheme Target'!$B:$B,'Discount Scheme Target'!$H:$H,0,0),0)</f>
        <v>0</v>
      </c>
      <c r="L202" s="72">
        <f>IF(INDEX('TT Around time'!$A$1:$F$46,MATCH($A202,'TT Around time'!$A:$A,0),6)&gt;='Discount Scheme Target'!$I$4,_xlfn.XLOOKUP(Workings!$E202,'Discount Scheme Target'!$B:$B,'Discount Scheme Target'!$I:$I,0,0),0)</f>
        <v>0.01</v>
      </c>
      <c r="M202" s="72">
        <f t="shared" si="22"/>
        <v>0.01</v>
      </c>
      <c r="N202" s="62">
        <f t="shared" si="29"/>
        <v>21149.785981995945</v>
      </c>
      <c r="T202" s="61">
        <f t="shared" si="23"/>
        <v>0</v>
      </c>
      <c r="U202" s="61">
        <f t="shared" si="24"/>
        <v>0</v>
      </c>
      <c r="V202" s="61">
        <f t="shared" si="25"/>
        <v>0</v>
      </c>
      <c r="W202" s="61">
        <f t="shared" si="26"/>
        <v>21149.785981995945</v>
      </c>
      <c r="X202" s="61">
        <f t="shared" si="27"/>
        <v>21149.785981995945</v>
      </c>
      <c r="Y202" s="61">
        <f t="shared" si="28"/>
        <v>0</v>
      </c>
    </row>
    <row r="203" spans="1:25" x14ac:dyDescent="0.25">
      <c r="A203" s="51">
        <v>2300004647</v>
      </c>
      <c r="B203" s="51" t="s">
        <v>344</v>
      </c>
      <c r="C203" s="51" t="s">
        <v>145</v>
      </c>
      <c r="D203" s="51" t="s">
        <v>141</v>
      </c>
      <c r="E203" s="51" t="s">
        <v>131</v>
      </c>
      <c r="F203" s="52">
        <f>SUMIF('Customer Budget Per Category'!$A:$A,$A203,'Customer Budget Per Category'!$H:$H)</f>
        <v>92.60157792506169</v>
      </c>
      <c r="G203" s="52">
        <f>SUMIFS('Navision sales Dump'!$E:$E,'Navision sales Dump'!$K:$K,$E203,'Navision sales Dump'!$A:$A,$A203)</f>
        <v>54</v>
      </c>
      <c r="H203" s="62">
        <f>SUMIFS('Navision sales Dump'!$G:$G,'Navision sales Dump'!$K:$K,$E203,'Navision sales Dump'!$A:$A,$A203)</f>
        <v>2061287.11</v>
      </c>
      <c r="I203" s="72">
        <f>IFERROR(IF(($G203/$F203)&gt;='Discount Scheme Target'!$F$4,_xlfn.XLOOKUP($E203,'Discount Scheme Target'!$B:$B,'Discount Scheme Target'!$F:$F,0,0),IF(($G203/$F203)&gt;='Discount Scheme Target'!$E$4,_xlfn.XLOOKUP($E203,'Discount Scheme Target'!$B:$B,'Discount Scheme Target'!$E:$E,0,0),IF(($G203/$F203)&gt;='Discount Scheme Target'!$D$4,_xlfn.XLOOKUP($E203,'Discount Scheme Target'!$B:$B,'Discount Scheme Target'!$D:$D,0,0),0))),0)</f>
        <v>0</v>
      </c>
      <c r="J203" s="72">
        <f>IF(SUMIF('Customer Num Distr.'!$A:$A,Workings!$A203,'Customer Num Distr.'!$E:$E)&gt;='Discount Scheme Target'!$G$4,_xlfn.XLOOKUP(Workings!$E203,'Discount Scheme Target'!$B:$B,'Discount Scheme Target'!$G:$G,0,0),0)</f>
        <v>0</v>
      </c>
      <c r="K203" s="72">
        <f>IF(SUMIF('Bouclage EG Cust Cons_Decons'!$A:$A,Workings!$A203,'Bouclage EG Cust Cons_Decons'!$F:$F)&gt;='Discount Scheme Target'!$H$4,_xlfn.XLOOKUP(Workings!$E203,'Discount Scheme Target'!$B:$B,'Discount Scheme Target'!$H:$H,0,0),0)</f>
        <v>0</v>
      </c>
      <c r="L203" s="72">
        <f>IF(INDEX('TT Around time'!$A$1:$F$46,MATCH($A203,'TT Around time'!$A:$A,0),6)&gt;='Discount Scheme Target'!$I$4,_xlfn.XLOOKUP(Workings!$E203,'Discount Scheme Target'!$B:$B,'Discount Scheme Target'!$I:$I,0,0),0)</f>
        <v>5.0000000000000001E-3</v>
      </c>
      <c r="M203" s="72">
        <f t="shared" si="22"/>
        <v>5.0000000000000001E-3</v>
      </c>
      <c r="N203" s="62">
        <f t="shared" si="29"/>
        <v>17673.929531721318</v>
      </c>
      <c r="T203" s="61">
        <f t="shared" si="23"/>
        <v>0</v>
      </c>
      <c r="U203" s="61">
        <f t="shared" si="24"/>
        <v>0</v>
      </c>
      <c r="V203" s="61">
        <f t="shared" si="25"/>
        <v>0</v>
      </c>
      <c r="W203" s="61">
        <f t="shared" si="26"/>
        <v>17673.929531721318</v>
      </c>
      <c r="X203" s="61">
        <f t="shared" si="27"/>
        <v>17673.929531721318</v>
      </c>
      <c r="Y203" s="61">
        <f t="shared" si="28"/>
        <v>0</v>
      </c>
    </row>
    <row r="204" spans="1:25" x14ac:dyDescent="0.25">
      <c r="A204" s="51">
        <v>2300004647</v>
      </c>
      <c r="B204" s="51" t="s">
        <v>344</v>
      </c>
      <c r="C204" s="51" t="s">
        <v>145</v>
      </c>
      <c r="D204" s="51" t="s">
        <v>141</v>
      </c>
      <c r="E204" s="51" t="s">
        <v>514</v>
      </c>
      <c r="F204" s="52">
        <f>SUMIF('Customer Budget Per Category'!$A:$A,$A204,'Customer Budget Per Category'!$I:$I)</f>
        <v>5300</v>
      </c>
      <c r="G204" s="52">
        <f>SUMIFS('Navision sales Dump'!$E:$E,'Navision sales Dump'!$K:$K,$E204,'Navision sales Dump'!$A:$A,$A204)</f>
        <v>2085</v>
      </c>
      <c r="H204" s="62">
        <f>SUMIFS('Navision sales Dump'!$G:$G,'Navision sales Dump'!$K:$K,$E204,'Navision sales Dump'!$A:$A,$A204)</f>
        <v>8252492.5500000007</v>
      </c>
      <c r="I204" s="72">
        <f>IFERROR(IF(($G204/$F204)&gt;='Discount Scheme Target'!$F$4,_xlfn.XLOOKUP($E204,'Discount Scheme Target'!$B:$B,'Discount Scheme Target'!$F:$F,0,0),IF(($G204/$F204)&gt;='Discount Scheme Target'!$E$4,_xlfn.XLOOKUP($E204,'Discount Scheme Target'!$B:$B,'Discount Scheme Target'!$E:$E,0,0),IF(($G204/$F204)&gt;='Discount Scheme Target'!$D$4,_xlfn.XLOOKUP($E204,'Discount Scheme Target'!$B:$B,'Discount Scheme Target'!$D:$D,0,0),0))),0)</f>
        <v>0</v>
      </c>
      <c r="J204" s="72">
        <f>IF(SUMIF('Customer Num Distr.'!$A:$A,Workings!$A204,'Customer Num Distr.'!$E:$E)&gt;='Discount Scheme Target'!$G$4,_xlfn.XLOOKUP(Workings!$E204,'Discount Scheme Target'!$B:$B,'Discount Scheme Target'!$G:$G,0,0),0)</f>
        <v>0</v>
      </c>
      <c r="K204" s="72">
        <f>IF(SUMIF('Bouclage EG Cust Cons_Decons'!$A:$A,Workings!$A204,'Bouclage EG Cust Cons_Decons'!$F:$F)&gt;='Discount Scheme Target'!$H$4,_xlfn.XLOOKUP(Workings!$E204,'Discount Scheme Target'!$B:$B,'Discount Scheme Target'!$H:$H,0,0),0)</f>
        <v>0</v>
      </c>
      <c r="L204" s="72">
        <f>IF(INDEX('TT Around time'!$A$1:$F$46,MATCH($A204,'TT Around time'!$A:$A,0),6)&gt;='Discount Scheme Target'!$I$4,_xlfn.XLOOKUP(Workings!$E204,'Discount Scheme Target'!$B:$B,'Discount Scheme Target'!$I:$I,0,0),0)</f>
        <v>5.0000000000000001E-3</v>
      </c>
      <c r="M204" s="72">
        <f t="shared" si="22"/>
        <v>5.0000000000000001E-3</v>
      </c>
      <c r="N204" s="62">
        <f t="shared" si="29"/>
        <v>104887.795</v>
      </c>
      <c r="T204" s="61">
        <f t="shared" si="23"/>
        <v>0</v>
      </c>
      <c r="U204" s="61">
        <f t="shared" si="24"/>
        <v>0</v>
      </c>
      <c r="V204" s="61">
        <f t="shared" si="25"/>
        <v>0</v>
      </c>
      <c r="W204" s="61">
        <f t="shared" si="26"/>
        <v>104887.795</v>
      </c>
      <c r="X204" s="61">
        <f t="shared" si="27"/>
        <v>104887.795</v>
      </c>
      <c r="Y204" s="61">
        <f t="shared" si="28"/>
        <v>0</v>
      </c>
    </row>
    <row r="205" spans="1:25" x14ac:dyDescent="0.25">
      <c r="A205" s="51">
        <v>2300004647</v>
      </c>
      <c r="B205" s="51" t="s">
        <v>344</v>
      </c>
      <c r="C205" s="51" t="s">
        <v>145</v>
      </c>
      <c r="D205" s="51" t="s">
        <v>141</v>
      </c>
      <c r="E205" s="51" t="s">
        <v>515</v>
      </c>
      <c r="F205" s="52">
        <f>SUMIF('Customer Budget Per Category'!$A:$A,$A205,'Customer Budget Per Category'!$J:$J)</f>
        <v>622.09651202990324</v>
      </c>
      <c r="G205" s="52">
        <f>SUMIFS('Navision sales Dump'!$E:$E,'Navision sales Dump'!$K:$K,$E205,'Navision sales Dump'!$A:$A,$A205)</f>
        <v>432</v>
      </c>
      <c r="H205" s="62">
        <f>SUMIFS('Navision sales Dump'!$G:$G,'Navision sales Dump'!$K:$K,$E205,'Navision sales Dump'!$A:$A,$A205)</f>
        <v>1219492.7999999998</v>
      </c>
      <c r="I205" s="72">
        <f>IFERROR(IF(($G205/$F205)&gt;='Discount Scheme Target'!$F$4,_xlfn.XLOOKUP($E205,'Discount Scheme Target'!$B:$B,'Discount Scheme Target'!$F:$F,0,0),IF(($G205/$F205)&gt;='Discount Scheme Target'!$E$4,_xlfn.XLOOKUP($E205,'Discount Scheme Target'!$B:$B,'Discount Scheme Target'!$E:$E,0,0),IF(($G205/$F205)&gt;='Discount Scheme Target'!$D$4,_xlfn.XLOOKUP($E205,'Discount Scheme Target'!$B:$B,'Discount Scheme Target'!$D:$D,0,0),0))),0)</f>
        <v>0</v>
      </c>
      <c r="J205" s="72">
        <f>IF(SUMIF('Customer Num Distr.'!$A:$A,Workings!$A205,'Customer Num Distr.'!$E:$E)&gt;='Discount Scheme Target'!$G$4,_xlfn.XLOOKUP(Workings!$E205,'Discount Scheme Target'!$B:$B,'Discount Scheme Target'!$G:$G,0,0),0)</f>
        <v>0</v>
      </c>
      <c r="K205" s="72">
        <f>IF(SUMIF('Bouclage EG Cust Cons_Decons'!$A:$A,Workings!$A205,'Bouclage EG Cust Cons_Decons'!$F:$F)&gt;='Discount Scheme Target'!$H$4,_xlfn.XLOOKUP(Workings!$E205,'Discount Scheme Target'!$B:$B,'Discount Scheme Target'!$H:$H,0,0),0)</f>
        <v>0</v>
      </c>
      <c r="L205" s="72">
        <f>IF(INDEX('TT Around time'!$A$1:$F$46,MATCH($A205,'TT Around time'!$A:$A,0),6)&gt;='Discount Scheme Target'!$I$4,_xlfn.XLOOKUP(Workings!$E205,'Discount Scheme Target'!$B:$B,'Discount Scheme Target'!$I:$I,0,0),0)</f>
        <v>5.0000000000000001E-3</v>
      </c>
      <c r="M205" s="72">
        <f t="shared" si="22"/>
        <v>5.0000000000000001E-3</v>
      </c>
      <c r="N205" s="62">
        <f t="shared" si="29"/>
        <v>8780.5812190460692</v>
      </c>
      <c r="T205" s="61">
        <f t="shared" si="23"/>
        <v>0</v>
      </c>
      <c r="U205" s="61">
        <f t="shared" si="24"/>
        <v>0</v>
      </c>
      <c r="V205" s="61">
        <f t="shared" si="25"/>
        <v>0</v>
      </c>
      <c r="W205" s="61">
        <f t="shared" si="26"/>
        <v>8780.5812190460692</v>
      </c>
      <c r="X205" s="61">
        <f t="shared" si="27"/>
        <v>8780.5812190460692</v>
      </c>
      <c r="Y205" s="61">
        <f t="shared" si="28"/>
        <v>0</v>
      </c>
    </row>
    <row r="206" spans="1:25" x14ac:dyDescent="0.25">
      <c r="A206" s="51">
        <v>2300004647</v>
      </c>
      <c r="B206" s="51" t="s">
        <v>344</v>
      </c>
      <c r="C206" s="51" t="s">
        <v>145</v>
      </c>
      <c r="D206" s="51" t="s">
        <v>141</v>
      </c>
      <c r="E206" s="51" t="s">
        <v>161</v>
      </c>
      <c r="F206" s="52">
        <f>SUMIF('Customer Budget Per Category'!$A:$A,$A206,'Customer Budget Per Category'!$K:$K)</f>
        <v>0</v>
      </c>
      <c r="G206" s="52">
        <f>SUMIFS('Navision sales Dump'!$E:$E,'Navision sales Dump'!$K:$K,$E206,'Navision sales Dump'!$A:$A,$A206)</f>
        <v>0</v>
      </c>
      <c r="H206" s="62">
        <f>SUMIFS('Navision sales Dump'!$G:$G,'Navision sales Dump'!$K:$K,$E206,'Navision sales Dump'!$A:$A,$A206)</f>
        <v>0</v>
      </c>
      <c r="I206" s="72">
        <f>IFERROR(IF(($G206/$F206)&gt;='Discount Scheme Target'!$F$4,_xlfn.XLOOKUP($E206,'Discount Scheme Target'!$B:$B,'Discount Scheme Target'!$F:$F,0,0),IF(($G206/$F206)&gt;='Discount Scheme Target'!$E$4,_xlfn.XLOOKUP($E206,'Discount Scheme Target'!$B:$B,'Discount Scheme Target'!$E:$E,0,0),IF(($G206/$F206)&gt;='Discount Scheme Target'!$D$4,_xlfn.XLOOKUP($E206,'Discount Scheme Target'!$B:$B,'Discount Scheme Target'!$D:$D,0,0),0))),0)</f>
        <v>0</v>
      </c>
      <c r="J206" s="72">
        <f>IF(SUMIF('Customer Num Distr.'!$A:$A,Workings!$A206,'Customer Num Distr.'!$E:$E)&gt;='Discount Scheme Target'!$G$4,_xlfn.XLOOKUP(Workings!$E206,'Discount Scheme Target'!$B:$B,'Discount Scheme Target'!$G:$G,0,0),0)</f>
        <v>0</v>
      </c>
      <c r="K206" s="72">
        <f>IF(SUMIF('Bouclage EG Cust Cons_Decons'!$A:$A,Workings!$A206,'Bouclage EG Cust Cons_Decons'!$F:$F)&gt;='Discount Scheme Target'!$H$4,_xlfn.XLOOKUP(Workings!$E206,'Discount Scheme Target'!$B:$B,'Discount Scheme Target'!$H:$H,0,0),0)</f>
        <v>0</v>
      </c>
      <c r="L206" s="72">
        <f>IF(INDEX('TT Around time'!$A$1:$F$46,MATCH($A206,'TT Around time'!$A:$A,0),6)&gt;='Discount Scheme Target'!$I$4,_xlfn.XLOOKUP(Workings!$E206,'Discount Scheme Target'!$B:$B,'Discount Scheme Target'!$I:$I,0,0),0)</f>
        <v>0</v>
      </c>
      <c r="M206" s="72">
        <f t="shared" ref="M206:M269" si="33">SUM($I206:$L206)</f>
        <v>0</v>
      </c>
      <c r="N206" s="62">
        <f t="shared" si="29"/>
        <v>0</v>
      </c>
      <c r="T206" s="61">
        <f t="shared" ref="T206:T269" si="34">IFERROR(($H206/$G206)*$F206*$I206,)</f>
        <v>0</v>
      </c>
      <c r="U206" s="61">
        <f t="shared" ref="U206:U269" si="35">IFERROR(($H206/$G206)*$F206*$J206,)</f>
        <v>0</v>
      </c>
      <c r="V206" s="61">
        <f t="shared" ref="V206:V269" si="36">IFERROR(($H206/$G206)*$F206*$K206,)</f>
        <v>0</v>
      </c>
      <c r="W206" s="61">
        <f t="shared" ref="W206:W269" si="37">IFERROR(($H206/$G206)*$F206*$L206,)</f>
        <v>0</v>
      </c>
      <c r="X206" s="61">
        <f t="shared" ref="X206:X269" si="38">SUM(T206:W206)</f>
        <v>0</v>
      </c>
      <c r="Y206" s="61">
        <f t="shared" ref="Y206:Y269" si="39">N206-X206</f>
        <v>0</v>
      </c>
    </row>
    <row r="207" spans="1:25" x14ac:dyDescent="0.25">
      <c r="A207" s="51">
        <v>2300004647</v>
      </c>
      <c r="B207" s="51" t="s">
        <v>344</v>
      </c>
      <c r="C207" s="51" t="s">
        <v>145</v>
      </c>
      <c r="D207" s="51" t="s">
        <v>141</v>
      </c>
      <c r="E207" s="51" t="s">
        <v>354</v>
      </c>
      <c r="F207" s="52">
        <f>SUMIF('Customer Budget Per Category'!$A:$A,$A207,'Customer Budget Per Category'!$L:$L)</f>
        <v>2100</v>
      </c>
      <c r="G207" s="52">
        <f>SUMIFS('Navision sales Dump'!$E:$E,'Navision sales Dump'!$K:$K,$E207,'Navision sales Dump'!$A:$A,$A207)</f>
        <v>646</v>
      </c>
      <c r="H207" s="62">
        <f>SUMIFS('Navision sales Dump'!$G:$G,'Navision sales Dump'!$K:$K,$E207,'Navision sales Dump'!$A:$A,$A207)</f>
        <v>2178236.7999999998</v>
      </c>
      <c r="I207" s="72">
        <f>IFERROR(IF(($G207/$F207)&gt;='Discount Scheme Target'!$F$4,_xlfn.XLOOKUP($E207,'Discount Scheme Target'!$B:$B,'Discount Scheme Target'!$F:$F,0,0),IF(($G207/$F207)&gt;='Discount Scheme Target'!$E$4,_xlfn.XLOOKUP($E207,'Discount Scheme Target'!$B:$B,'Discount Scheme Target'!$E:$E,0,0),IF(($G207/$F207)&gt;='Discount Scheme Target'!$D$4,_xlfn.XLOOKUP($E207,'Discount Scheme Target'!$B:$B,'Discount Scheme Target'!$D:$D,0,0),0))),0)</f>
        <v>0</v>
      </c>
      <c r="J207" s="72">
        <f>IF(SUMIF('Customer Num Distr.'!$A:$A,Workings!$A207,'Customer Num Distr.'!$E:$E)&gt;='Discount Scheme Target'!$G$4,_xlfn.XLOOKUP(Workings!$E207,'Discount Scheme Target'!$B:$B,'Discount Scheme Target'!$G:$G,0,0),0)</f>
        <v>0</v>
      </c>
      <c r="K207" s="72">
        <f>IF(SUMIF('Bouclage EG Cust Cons_Decons'!$A:$A,Workings!$A207,'Bouclage EG Cust Cons_Decons'!$F:$F)&gt;='Discount Scheme Target'!$H$4,_xlfn.XLOOKUP(Workings!$E207,'Discount Scheme Target'!$B:$B,'Discount Scheme Target'!$H:$H,0,0),0)</f>
        <v>0</v>
      </c>
      <c r="L207" s="72">
        <f>IF(INDEX('TT Around time'!$A$1:$F$46,MATCH($A207,'TT Around time'!$A:$A,0),6)&gt;='Discount Scheme Target'!$I$4,_xlfn.XLOOKUP(Workings!$E207,'Discount Scheme Target'!$B:$B,'Discount Scheme Target'!$I:$I,0,0),0)</f>
        <v>5.0000000000000001E-3</v>
      </c>
      <c r="M207" s="72">
        <f t="shared" si="33"/>
        <v>5.0000000000000001E-3</v>
      </c>
      <c r="N207" s="62">
        <f t="shared" si="29"/>
        <v>35404.777708978327</v>
      </c>
      <c r="T207" s="61">
        <f t="shared" si="34"/>
        <v>0</v>
      </c>
      <c r="U207" s="61">
        <f t="shared" si="35"/>
        <v>0</v>
      </c>
      <c r="V207" s="61">
        <f t="shared" si="36"/>
        <v>0</v>
      </c>
      <c r="W207" s="61">
        <f t="shared" si="37"/>
        <v>35404.777708978327</v>
      </c>
      <c r="X207" s="61">
        <f t="shared" si="38"/>
        <v>35404.777708978327</v>
      </c>
      <c r="Y207" s="61">
        <f t="shared" si="39"/>
        <v>0</v>
      </c>
    </row>
    <row r="208" spans="1:25" x14ac:dyDescent="0.25">
      <c r="A208" s="51">
        <v>2300004647</v>
      </c>
      <c r="B208" s="51" t="s">
        <v>344</v>
      </c>
      <c r="C208" s="51" t="s">
        <v>145</v>
      </c>
      <c r="D208" s="51" t="s">
        <v>141</v>
      </c>
      <c r="E208" s="51" t="s">
        <v>355</v>
      </c>
      <c r="F208" s="52">
        <f>SUMIF('Customer Budget Per Category'!$A:$A,$A208,'Customer Budget Per Category'!$M:$M)</f>
        <v>1129.434266207908</v>
      </c>
      <c r="G208" s="52">
        <f>SUMIFS('Navision sales Dump'!$E:$E,'Navision sales Dump'!$K:$K,$E208,'Navision sales Dump'!$A:$A,$A208)</f>
        <v>0</v>
      </c>
      <c r="H208" s="62">
        <f>SUMIFS('Navision sales Dump'!$G:$G,'Navision sales Dump'!$K:$K,$E208,'Navision sales Dump'!$A:$A,$A208)</f>
        <v>0</v>
      </c>
      <c r="I208" s="72">
        <f>IFERROR(IF(($G208/$F208)&gt;='Discount Scheme Target'!$F$4,_xlfn.XLOOKUP($E208,'Discount Scheme Target'!$B:$B,'Discount Scheme Target'!$F:$F,0,0),IF(($G208/$F208)&gt;='Discount Scheme Target'!$E$4,_xlfn.XLOOKUP($E208,'Discount Scheme Target'!$B:$B,'Discount Scheme Target'!$E:$E,0,0),IF(($G208/$F208)&gt;='Discount Scheme Target'!$D$4,_xlfn.XLOOKUP($E208,'Discount Scheme Target'!$B:$B,'Discount Scheme Target'!$D:$D,0,0),0))),0)</f>
        <v>0</v>
      </c>
      <c r="J208" s="72">
        <f>IF(SUMIF('Customer Num Distr.'!$A:$A,Workings!$A208,'Customer Num Distr.'!$E:$E)&gt;='Discount Scheme Target'!$G$4,_xlfn.XLOOKUP(Workings!$E208,'Discount Scheme Target'!$B:$B,'Discount Scheme Target'!$G:$G,0,0),0)</f>
        <v>0</v>
      </c>
      <c r="K208" s="72">
        <f>IF(SUMIF('Bouclage EG Cust Cons_Decons'!$A:$A,Workings!$A208,'Bouclage EG Cust Cons_Decons'!$F:$F)&gt;='Discount Scheme Target'!$H$4,_xlfn.XLOOKUP(Workings!$E208,'Discount Scheme Target'!$B:$B,'Discount Scheme Target'!$H:$H,0,0),0)</f>
        <v>0</v>
      </c>
      <c r="L208" s="72">
        <f>IF(INDEX('TT Around time'!$A$1:$F$46,MATCH($A208,'TT Around time'!$A:$A,0),6)&gt;='Discount Scheme Target'!$I$4,_xlfn.XLOOKUP(Workings!$E208,'Discount Scheme Target'!$B:$B,'Discount Scheme Target'!$I:$I,0,0),0)</f>
        <v>5.0000000000000001E-3</v>
      </c>
      <c r="M208" s="72">
        <f t="shared" si="33"/>
        <v>5.0000000000000001E-3</v>
      </c>
      <c r="N208" s="62">
        <f t="shared" si="29"/>
        <v>0</v>
      </c>
      <c r="T208" s="61">
        <f t="shared" si="34"/>
        <v>0</v>
      </c>
      <c r="U208" s="61">
        <f t="shared" si="35"/>
        <v>0</v>
      </c>
      <c r="V208" s="61">
        <f t="shared" si="36"/>
        <v>0</v>
      </c>
      <c r="W208" s="61">
        <f t="shared" si="37"/>
        <v>0</v>
      </c>
      <c r="X208" s="61">
        <f t="shared" si="38"/>
        <v>0</v>
      </c>
      <c r="Y208" s="61">
        <f t="shared" si="39"/>
        <v>0</v>
      </c>
    </row>
    <row r="209" spans="1:25" x14ac:dyDescent="0.25">
      <c r="A209" s="51">
        <v>2300004647</v>
      </c>
      <c r="B209" s="51" t="s">
        <v>344</v>
      </c>
      <c r="C209" s="51" t="s">
        <v>145</v>
      </c>
      <c r="D209" s="51" t="s">
        <v>141</v>
      </c>
      <c r="E209" s="51" t="s">
        <v>132</v>
      </c>
      <c r="F209" s="52">
        <f>SUMIF('Customer Budget Per Category'!$A:$A,$A209,'Customer Budget Per Category'!$N:$N)</f>
        <v>284.78844300108494</v>
      </c>
      <c r="G209" s="52">
        <f>SUMIFS('Navision sales Dump'!$E:$E,'Navision sales Dump'!$K:$K,$E209,'Navision sales Dump'!$A:$A,$A209)</f>
        <v>144</v>
      </c>
      <c r="H209" s="62">
        <f>SUMIFS('Navision sales Dump'!$G:$G,'Navision sales Dump'!$K:$K,$E209,'Navision sales Dump'!$A:$A,$A209)</f>
        <v>314265.59999999998</v>
      </c>
      <c r="I209" s="72">
        <f>IFERROR(IF(($G209/$F209)&gt;='Discount Scheme Target'!$F$4,_xlfn.XLOOKUP($E209,'Discount Scheme Target'!$B:$B,'Discount Scheme Target'!$F:$F,0,0),IF(($G209/$F209)&gt;='Discount Scheme Target'!$E$4,_xlfn.XLOOKUP($E209,'Discount Scheme Target'!$B:$B,'Discount Scheme Target'!$E:$E,0,0),IF(($G209/$F209)&gt;='Discount Scheme Target'!$D$4,_xlfn.XLOOKUP($E209,'Discount Scheme Target'!$B:$B,'Discount Scheme Target'!$D:$D,0,0),0))),0)</f>
        <v>0</v>
      </c>
      <c r="J209" s="72">
        <f>IF(SUMIF('Customer Num Distr.'!$A:$A,Workings!$A209,'Customer Num Distr.'!$E:$E)&gt;='Discount Scheme Target'!$G$4,_xlfn.XLOOKUP(Workings!$E209,'Discount Scheme Target'!$B:$B,'Discount Scheme Target'!$G:$G,0,0),0)</f>
        <v>0</v>
      </c>
      <c r="K209" s="72">
        <f>IF(SUMIF('Bouclage EG Cust Cons_Decons'!$A:$A,Workings!$A209,'Bouclage EG Cust Cons_Decons'!$F:$F)&gt;='Discount Scheme Target'!$H$4,_xlfn.XLOOKUP(Workings!$E209,'Discount Scheme Target'!$B:$B,'Discount Scheme Target'!$H:$H,0,0),0)</f>
        <v>0</v>
      </c>
      <c r="L209" s="72">
        <f>IF(INDEX('TT Around time'!$A$1:$F$46,MATCH($A209,'TT Around time'!$A:$A,0),6)&gt;='Discount Scheme Target'!$I$4,_xlfn.XLOOKUP(Workings!$E209,'Discount Scheme Target'!$B:$B,'Discount Scheme Target'!$I:$I,0,0),0)</f>
        <v>5.0000000000000001E-3</v>
      </c>
      <c r="M209" s="72">
        <f t="shared" si="33"/>
        <v>5.0000000000000001E-3</v>
      </c>
      <c r="N209" s="62">
        <f t="shared" si="29"/>
        <v>3107.611490027838</v>
      </c>
      <c r="T209" s="61">
        <f t="shared" si="34"/>
        <v>0</v>
      </c>
      <c r="U209" s="61">
        <f t="shared" si="35"/>
        <v>0</v>
      </c>
      <c r="V209" s="61">
        <f t="shared" si="36"/>
        <v>0</v>
      </c>
      <c r="W209" s="61">
        <f t="shared" si="37"/>
        <v>3107.611490027838</v>
      </c>
      <c r="X209" s="61">
        <f t="shared" si="38"/>
        <v>3107.611490027838</v>
      </c>
      <c r="Y209" s="61">
        <f t="shared" si="39"/>
        <v>0</v>
      </c>
    </row>
    <row r="210" spans="1:25" x14ac:dyDescent="0.25">
      <c r="A210" s="51">
        <v>2300004647</v>
      </c>
      <c r="B210" s="51" t="s">
        <v>344</v>
      </c>
      <c r="C210" s="51" t="s">
        <v>145</v>
      </c>
      <c r="D210" s="51" t="s">
        <v>141</v>
      </c>
      <c r="E210" s="51" t="s">
        <v>133</v>
      </c>
      <c r="F210" s="52">
        <f>SUMIF('Customer Budget Per Category'!$A:$A,$A210,'Customer Budget Per Category'!$O:$O)</f>
        <v>248.67441826455826</v>
      </c>
      <c r="G210" s="52">
        <f>SUMIFS('Navision sales Dump'!$E:$E,'Navision sales Dump'!$K:$K,$E210,'Navision sales Dump'!$A:$A,$A210)</f>
        <v>72</v>
      </c>
      <c r="H210" s="62">
        <f>SUMIFS('Navision sales Dump'!$G:$G,'Navision sales Dump'!$K:$K,$E210,'Navision sales Dump'!$A:$A,$A210)</f>
        <v>721971.36</v>
      </c>
      <c r="I210" s="72">
        <f>IFERROR(IF(($G210/$F210)&gt;='Discount Scheme Target'!$F$4,_xlfn.XLOOKUP($E210,'Discount Scheme Target'!$B:$B,'Discount Scheme Target'!$F:$F,0,0),IF(($G210/$F210)&gt;='Discount Scheme Target'!$E$4,_xlfn.XLOOKUP($E210,'Discount Scheme Target'!$B:$B,'Discount Scheme Target'!$E:$E,0,0),IF(($G210/$F210)&gt;='Discount Scheme Target'!$D$4,_xlfn.XLOOKUP($E210,'Discount Scheme Target'!$B:$B,'Discount Scheme Target'!$D:$D,0,0),0))),0)</f>
        <v>0</v>
      </c>
      <c r="J210" s="72">
        <f>IF(SUMIF('Customer Num Distr.'!$A:$A,Workings!$A210,'Customer Num Distr.'!$E:$E)&gt;='Discount Scheme Target'!$G$4,_xlfn.XLOOKUP(Workings!$E210,'Discount Scheme Target'!$B:$B,'Discount Scheme Target'!$G:$G,0,0),0)</f>
        <v>0</v>
      </c>
      <c r="K210" s="72">
        <f>IF(SUMIF('Bouclage EG Cust Cons_Decons'!$A:$A,Workings!$A210,'Bouclage EG Cust Cons_Decons'!$F:$F)&gt;='Discount Scheme Target'!$H$4,_xlfn.XLOOKUP(Workings!$E210,'Discount Scheme Target'!$B:$B,'Discount Scheme Target'!$H:$H,0,0),0)</f>
        <v>0</v>
      </c>
      <c r="L210" s="72">
        <f>IF(INDEX('TT Around time'!$A$1:$F$46,MATCH($A210,'TT Around time'!$A:$A,0),6)&gt;='Discount Scheme Target'!$I$4,_xlfn.XLOOKUP(Workings!$E210,'Discount Scheme Target'!$B:$B,'Discount Scheme Target'!$I:$I,0,0),0)</f>
        <v>5.0000000000000001E-3</v>
      </c>
      <c r="M210" s="72">
        <f t="shared" si="33"/>
        <v>5.0000000000000001E-3</v>
      </c>
      <c r="N210" s="62">
        <f t="shared" si="29"/>
        <v>12467.764441088331</v>
      </c>
      <c r="T210" s="61">
        <f t="shared" si="34"/>
        <v>0</v>
      </c>
      <c r="U210" s="61">
        <f t="shared" si="35"/>
        <v>0</v>
      </c>
      <c r="V210" s="61">
        <f t="shared" si="36"/>
        <v>0</v>
      </c>
      <c r="W210" s="61">
        <f t="shared" si="37"/>
        <v>12467.764441088331</v>
      </c>
      <c r="X210" s="61">
        <f t="shared" si="38"/>
        <v>12467.764441088331</v>
      </c>
      <c r="Y210" s="61">
        <f t="shared" si="39"/>
        <v>0</v>
      </c>
    </row>
    <row r="211" spans="1:25" x14ac:dyDescent="0.25">
      <c r="A211" s="51">
        <v>2010625010</v>
      </c>
      <c r="B211" s="51" t="s">
        <v>90</v>
      </c>
      <c r="C211" s="51" t="s">
        <v>145</v>
      </c>
      <c r="D211" s="51" t="s">
        <v>141</v>
      </c>
      <c r="E211" s="51" t="s">
        <v>417</v>
      </c>
      <c r="F211" s="52">
        <f>SUMIF('Customer Budget Per Category'!$A:$A,$A211,'Customer Budget Per Category'!$E:$E)</f>
        <v>19499</v>
      </c>
      <c r="G211" s="52">
        <f>SUMIFS('Navision sales Dump'!$E:$E,'Navision sales Dump'!$K:$K,$E211,'Navision sales Dump'!$A:$A,$A211)</f>
        <v>17528</v>
      </c>
      <c r="H211" s="62">
        <f>SUMIFS('Navision sales Dump'!$G:$G,'Navision sales Dump'!$K:$K,$E211,'Navision sales Dump'!$A:$A,$A211)</f>
        <v>128087118.53</v>
      </c>
      <c r="I211" s="72">
        <f>IFERROR(IF(($G211/$F211)&gt;='Discount Scheme Target'!$F$4,_xlfn.XLOOKUP($E211,'Discount Scheme Target'!$B:$B,'Discount Scheme Target'!$F:$F,0,0),IF(($G211/$F211)&gt;='Discount Scheme Target'!$E$4,_xlfn.XLOOKUP($E211,'Discount Scheme Target'!$B:$B,'Discount Scheme Target'!$E:$E,0,0),IF(($G211/$F211)&gt;='Discount Scheme Target'!$D$4,_xlfn.XLOOKUP($E211,'Discount Scheme Target'!$B:$B,'Discount Scheme Target'!$D:$D,0,0),0))),0)</f>
        <v>0</v>
      </c>
      <c r="J211" s="72">
        <f>IF(SUMIF('Customer Num Distr.'!$A:$A,Workings!$A211,'Customer Num Distr.'!$E:$E)&gt;='Discount Scheme Target'!$G$4,_xlfn.XLOOKUP(Workings!$E211,'Discount Scheme Target'!$B:$B,'Discount Scheme Target'!$G:$G,0,0),0)</f>
        <v>0</v>
      </c>
      <c r="K211" s="72">
        <f>IF(SUMIF('Bouclage EG Cust Cons_Decons'!$A:$A,Workings!$A211,'Bouclage EG Cust Cons_Decons'!$F:$F)&gt;='Discount Scheme Target'!$H$4,_xlfn.XLOOKUP(Workings!$E211,'Discount Scheme Target'!$B:$B,'Discount Scheme Target'!$H:$H,0,0),0)</f>
        <v>0</v>
      </c>
      <c r="L211" s="72">
        <f>IF(INDEX('TT Around time'!$A$1:$F$46,MATCH($A211,'TT Around time'!$A:$A,0),6)&gt;='Discount Scheme Target'!$I$4,_xlfn.XLOOKUP(Workings!$E211,'Discount Scheme Target'!$B:$B,'Discount Scheme Target'!$I:$I,0,0),0)</f>
        <v>0.01</v>
      </c>
      <c r="M211" s="72">
        <f t="shared" si="33"/>
        <v>0.01</v>
      </c>
      <c r="N211" s="62">
        <f t="shared" si="29"/>
        <v>1424903.4255000402</v>
      </c>
      <c r="T211" s="61">
        <f t="shared" si="34"/>
        <v>0</v>
      </c>
      <c r="U211" s="61">
        <f t="shared" si="35"/>
        <v>0</v>
      </c>
      <c r="V211" s="61">
        <f t="shared" si="36"/>
        <v>0</v>
      </c>
      <c r="W211" s="61">
        <f t="shared" si="37"/>
        <v>1424903.4255000402</v>
      </c>
      <c r="X211" s="61">
        <f t="shared" si="38"/>
        <v>1424903.4255000402</v>
      </c>
      <c r="Y211" s="61">
        <f t="shared" si="39"/>
        <v>0</v>
      </c>
    </row>
    <row r="212" spans="1:25" x14ac:dyDescent="0.25">
      <c r="A212" s="51">
        <v>2010625010</v>
      </c>
      <c r="B212" s="51" t="s">
        <v>90</v>
      </c>
      <c r="C212" s="51" t="s">
        <v>145</v>
      </c>
      <c r="D212" s="51" t="s">
        <v>141</v>
      </c>
      <c r="E212" s="51" t="s">
        <v>418</v>
      </c>
      <c r="F212" s="52">
        <f>SUMIF('Customer Budget Per Category'!$A:$A,$A212,'Customer Budget Per Category'!$F:$F)</f>
        <v>0</v>
      </c>
      <c r="G212" s="52">
        <f>SUMIFS('Navision sales Dump'!$E:$E,'Navision sales Dump'!$K:$K,$E212,'Navision sales Dump'!$A:$A,$A212)</f>
        <v>0</v>
      </c>
      <c r="H212" s="62">
        <f>SUMIFS('Navision sales Dump'!$G:$G,'Navision sales Dump'!$K:$K,$E212,'Navision sales Dump'!$A:$A,$A212)</f>
        <v>0</v>
      </c>
      <c r="I212" s="72">
        <f>IFERROR(IF(($G212/$F212)&gt;='Discount Scheme Target'!$F$4,_xlfn.XLOOKUP($E212,'Discount Scheme Target'!$B:$B,'Discount Scheme Target'!$F:$F,0,0),IF(($G212/$F212)&gt;='Discount Scheme Target'!$E$4,_xlfn.XLOOKUP($E212,'Discount Scheme Target'!$B:$B,'Discount Scheme Target'!$E:$E,0,0),IF(($G212/$F212)&gt;='Discount Scheme Target'!$D$4,_xlfn.XLOOKUP($E212,'Discount Scheme Target'!$B:$B,'Discount Scheme Target'!$D:$D,0,0),0))),0)</f>
        <v>0</v>
      </c>
      <c r="J212" s="72">
        <f>IF(SUMIF('Customer Num Distr.'!$A:$A,Workings!$A212,'Customer Num Distr.'!$E:$E)&gt;='Discount Scheme Target'!$G$4,_xlfn.XLOOKUP(Workings!$E212,'Discount Scheme Target'!$B:$B,'Discount Scheme Target'!$G:$G,0,0),0)</f>
        <v>0</v>
      </c>
      <c r="K212" s="72">
        <f>IF(SUMIF('Bouclage EG Cust Cons_Decons'!$A:$A,Workings!$A212,'Bouclage EG Cust Cons_Decons'!$F:$F)&gt;='Discount Scheme Target'!$H$4,_xlfn.XLOOKUP(Workings!$E212,'Discount Scheme Target'!$B:$B,'Discount Scheme Target'!$H:$H,0,0),0)</f>
        <v>0</v>
      </c>
      <c r="L212" s="72">
        <f>IF(INDEX('TT Around time'!$A$1:$F$46,MATCH($A212,'TT Around time'!$A:$A,0),6)&gt;='Discount Scheme Target'!$I$4,_xlfn.XLOOKUP(Workings!$E212,'Discount Scheme Target'!$B:$B,'Discount Scheme Target'!$I:$I,0,0),0)</f>
        <v>0</v>
      </c>
      <c r="M212" s="72">
        <f t="shared" si="33"/>
        <v>0</v>
      </c>
      <c r="N212" s="62">
        <f t="shared" si="29"/>
        <v>0</v>
      </c>
      <c r="T212" s="61">
        <f t="shared" si="34"/>
        <v>0</v>
      </c>
      <c r="U212" s="61">
        <f t="shared" si="35"/>
        <v>0</v>
      </c>
      <c r="V212" s="61">
        <f t="shared" si="36"/>
        <v>0</v>
      </c>
      <c r="W212" s="61">
        <f t="shared" si="37"/>
        <v>0</v>
      </c>
      <c r="X212" s="61">
        <f t="shared" si="38"/>
        <v>0</v>
      </c>
      <c r="Y212" s="61">
        <f t="shared" si="39"/>
        <v>0</v>
      </c>
    </row>
    <row r="213" spans="1:25" x14ac:dyDescent="0.25">
      <c r="A213" s="51">
        <v>2010625010</v>
      </c>
      <c r="B213" s="51" t="s">
        <v>90</v>
      </c>
      <c r="C213" s="51" t="s">
        <v>145</v>
      </c>
      <c r="D213" s="51" t="s">
        <v>141</v>
      </c>
      <c r="E213" s="51" t="s">
        <v>130</v>
      </c>
      <c r="F213" s="52">
        <f>SUMIF('Customer Budget Per Category'!$A:$A,$A213,'Customer Budget Per Category'!$G:$G)</f>
        <v>572</v>
      </c>
      <c r="G213" s="52">
        <f>SUMIFS('Navision sales Dump'!$E:$E,'Navision sales Dump'!$K:$K,$E213,'Navision sales Dump'!$A:$A,$A213)</f>
        <v>358</v>
      </c>
      <c r="H213" s="62">
        <f>SUMIFS('Navision sales Dump'!$G:$G,'Navision sales Dump'!$K:$K,$E213,'Navision sales Dump'!$A:$A,$A213)</f>
        <v>2765664.56</v>
      </c>
      <c r="I213" s="72">
        <f>IFERROR(IF(($G213/$F213)&gt;='Discount Scheme Target'!$F$4,_xlfn.XLOOKUP($E213,'Discount Scheme Target'!$B:$B,'Discount Scheme Target'!$F:$F,0,0),IF(($G213/$F213)&gt;='Discount Scheme Target'!$E$4,_xlfn.XLOOKUP($E213,'Discount Scheme Target'!$B:$B,'Discount Scheme Target'!$E:$E,0,0),IF(($G213/$F213)&gt;='Discount Scheme Target'!$D$4,_xlfn.XLOOKUP($E213,'Discount Scheme Target'!$B:$B,'Discount Scheme Target'!$D:$D,0,0),0))),0)</f>
        <v>0</v>
      </c>
      <c r="J213" s="72">
        <f>IF(SUMIF('Customer Num Distr.'!$A:$A,Workings!$A213,'Customer Num Distr.'!$E:$E)&gt;='Discount Scheme Target'!$G$4,_xlfn.XLOOKUP(Workings!$E213,'Discount Scheme Target'!$B:$B,'Discount Scheme Target'!$G:$G,0,0),0)</f>
        <v>0</v>
      </c>
      <c r="K213" s="72">
        <f>IF(SUMIF('Bouclage EG Cust Cons_Decons'!$A:$A,Workings!$A213,'Bouclage EG Cust Cons_Decons'!$F:$F)&gt;='Discount Scheme Target'!$H$4,_xlfn.XLOOKUP(Workings!$E213,'Discount Scheme Target'!$B:$B,'Discount Scheme Target'!$H:$H,0,0),0)</f>
        <v>0</v>
      </c>
      <c r="L213" s="72">
        <f>IF(INDEX('TT Around time'!$A$1:$F$46,MATCH($A213,'TT Around time'!$A:$A,0),6)&gt;='Discount Scheme Target'!$I$4,_xlfn.XLOOKUP(Workings!$E213,'Discount Scheme Target'!$B:$B,'Discount Scheme Target'!$I:$I,0,0),0)</f>
        <v>0.01</v>
      </c>
      <c r="M213" s="72">
        <f t="shared" si="33"/>
        <v>0.01</v>
      </c>
      <c r="N213" s="62">
        <f t="shared" si="29"/>
        <v>44188.830399999999</v>
      </c>
      <c r="T213" s="61">
        <f t="shared" si="34"/>
        <v>0</v>
      </c>
      <c r="U213" s="61">
        <f t="shared" si="35"/>
        <v>0</v>
      </c>
      <c r="V213" s="61">
        <f t="shared" si="36"/>
        <v>0</v>
      </c>
      <c r="W213" s="61">
        <f t="shared" si="37"/>
        <v>44188.830399999999</v>
      </c>
      <c r="X213" s="61">
        <f t="shared" si="38"/>
        <v>44188.830399999999</v>
      </c>
      <c r="Y213" s="61">
        <f t="shared" si="39"/>
        <v>0</v>
      </c>
    </row>
    <row r="214" spans="1:25" x14ac:dyDescent="0.25">
      <c r="A214" s="51">
        <v>2010625010</v>
      </c>
      <c r="B214" s="51" t="s">
        <v>90</v>
      </c>
      <c r="C214" s="51" t="s">
        <v>145</v>
      </c>
      <c r="D214" s="51" t="s">
        <v>141</v>
      </c>
      <c r="E214" s="51" t="s">
        <v>131</v>
      </c>
      <c r="F214" s="52">
        <f>SUMIF('Customer Budget Per Category'!$A:$A,$A214,'Customer Budget Per Category'!$H:$H)</f>
        <v>169</v>
      </c>
      <c r="G214" s="52">
        <f>SUMIFS('Navision sales Dump'!$E:$E,'Navision sales Dump'!$K:$K,$E214,'Navision sales Dump'!$A:$A,$A214)</f>
        <v>199</v>
      </c>
      <c r="H214" s="62">
        <f>SUMIFS('Navision sales Dump'!$G:$G,'Navision sales Dump'!$K:$K,$E214,'Navision sales Dump'!$A:$A,$A214)</f>
        <v>8205794.1100000003</v>
      </c>
      <c r="I214" s="72">
        <f>IFERROR(IF(($G214/$F214)&gt;='Discount Scheme Target'!$F$4,_xlfn.XLOOKUP($E214,'Discount Scheme Target'!$B:$B,'Discount Scheme Target'!$F:$F,0,0),IF(($G214/$F214)&gt;='Discount Scheme Target'!$E$4,_xlfn.XLOOKUP($E214,'Discount Scheme Target'!$B:$B,'Discount Scheme Target'!$E:$E,0,0),IF(($G214/$F214)&gt;='Discount Scheme Target'!$D$4,_xlfn.XLOOKUP($E214,'Discount Scheme Target'!$B:$B,'Discount Scheme Target'!$D:$D,0,0),0))),0)</f>
        <v>0.04</v>
      </c>
      <c r="J214" s="72">
        <f>IF(SUMIF('Customer Num Distr.'!$A:$A,Workings!$A214,'Customer Num Distr.'!$E:$E)&gt;='Discount Scheme Target'!$G$4,_xlfn.XLOOKUP(Workings!$E214,'Discount Scheme Target'!$B:$B,'Discount Scheme Target'!$G:$G,0,0),0)</f>
        <v>0</v>
      </c>
      <c r="K214" s="72">
        <f>IF(SUMIF('Bouclage EG Cust Cons_Decons'!$A:$A,Workings!$A214,'Bouclage EG Cust Cons_Decons'!$F:$F)&gt;='Discount Scheme Target'!$H$4,_xlfn.XLOOKUP(Workings!$E214,'Discount Scheme Target'!$B:$B,'Discount Scheme Target'!$H:$H,0,0),0)</f>
        <v>0</v>
      </c>
      <c r="L214" s="72">
        <f>IF(INDEX('TT Around time'!$A$1:$F$46,MATCH($A214,'TT Around time'!$A:$A,0),6)&gt;='Discount Scheme Target'!$I$4,_xlfn.XLOOKUP(Workings!$E214,'Discount Scheme Target'!$B:$B,'Discount Scheme Target'!$I:$I,0,0),0)</f>
        <v>5.0000000000000001E-3</v>
      </c>
      <c r="M214" s="72">
        <f t="shared" si="33"/>
        <v>4.4999999999999998E-2</v>
      </c>
      <c r="N214" s="62">
        <f t="shared" si="29"/>
        <v>313593.28747010051</v>
      </c>
      <c r="T214" s="61">
        <f t="shared" si="34"/>
        <v>278749.58886231156</v>
      </c>
      <c r="U214" s="61">
        <f t="shared" si="35"/>
        <v>0</v>
      </c>
      <c r="V214" s="61">
        <f t="shared" si="36"/>
        <v>0</v>
      </c>
      <c r="W214" s="61">
        <f t="shared" si="37"/>
        <v>34843.698607788945</v>
      </c>
      <c r="X214" s="61">
        <f t="shared" si="38"/>
        <v>313593.28747010051</v>
      </c>
      <c r="Y214" s="61">
        <f t="shared" si="39"/>
        <v>0</v>
      </c>
    </row>
    <row r="215" spans="1:25" x14ac:dyDescent="0.25">
      <c r="A215" s="51">
        <v>2010625010</v>
      </c>
      <c r="B215" s="51" t="s">
        <v>90</v>
      </c>
      <c r="C215" s="51" t="s">
        <v>145</v>
      </c>
      <c r="D215" s="51" t="s">
        <v>141</v>
      </c>
      <c r="E215" s="51" t="s">
        <v>514</v>
      </c>
      <c r="F215" s="52">
        <f>SUMIF('Customer Budget Per Category'!$A:$A,$A215,'Customer Budget Per Category'!$I:$I)</f>
        <v>6546.5407948462716</v>
      </c>
      <c r="G215" s="52">
        <f>SUMIFS('Navision sales Dump'!$E:$E,'Navision sales Dump'!$K:$K,$E215,'Navision sales Dump'!$A:$A,$A215)</f>
        <v>5961</v>
      </c>
      <c r="H215" s="62">
        <f>SUMIFS('Navision sales Dump'!$G:$G,'Navision sales Dump'!$K:$K,$E215,'Navision sales Dump'!$A:$A,$A215)</f>
        <v>23593816.829999998</v>
      </c>
      <c r="I215" s="72">
        <f>IFERROR(IF(($G215/$F215)&gt;='Discount Scheme Target'!$F$4,_xlfn.XLOOKUP($E215,'Discount Scheme Target'!$B:$B,'Discount Scheme Target'!$F:$F,0,0),IF(($G215/$F215)&gt;='Discount Scheme Target'!$E$4,_xlfn.XLOOKUP($E215,'Discount Scheme Target'!$B:$B,'Discount Scheme Target'!$E:$E,0,0),IF(($G215/$F215)&gt;='Discount Scheme Target'!$D$4,_xlfn.XLOOKUP($E215,'Discount Scheme Target'!$B:$B,'Discount Scheme Target'!$D:$D,0,0),0))),0)</f>
        <v>0</v>
      </c>
      <c r="J215" s="72">
        <f>IF(SUMIF('Customer Num Distr.'!$A:$A,Workings!$A215,'Customer Num Distr.'!$E:$E)&gt;='Discount Scheme Target'!$G$4,_xlfn.XLOOKUP(Workings!$E215,'Discount Scheme Target'!$B:$B,'Discount Scheme Target'!$G:$G,0,0),0)</f>
        <v>0</v>
      </c>
      <c r="K215" s="72">
        <f>IF(SUMIF('Bouclage EG Cust Cons_Decons'!$A:$A,Workings!$A215,'Bouclage EG Cust Cons_Decons'!$F:$F)&gt;='Discount Scheme Target'!$H$4,_xlfn.XLOOKUP(Workings!$E215,'Discount Scheme Target'!$B:$B,'Discount Scheme Target'!$H:$H,0,0),0)</f>
        <v>0</v>
      </c>
      <c r="L215" s="72">
        <f>IF(INDEX('TT Around time'!$A$1:$F$46,MATCH($A215,'TT Around time'!$A:$A,0),6)&gt;='Discount Scheme Target'!$I$4,_xlfn.XLOOKUP(Workings!$E215,'Discount Scheme Target'!$B:$B,'Discount Scheme Target'!$I:$I,0,0),0)</f>
        <v>5.0000000000000001E-3</v>
      </c>
      <c r="M215" s="72">
        <f t="shared" si="33"/>
        <v>5.0000000000000001E-3</v>
      </c>
      <c r="N215" s="62">
        <f t="shared" si="29"/>
        <v>129557.02431112694</v>
      </c>
      <c r="T215" s="61">
        <f t="shared" si="34"/>
        <v>0</v>
      </c>
      <c r="U215" s="61">
        <f t="shared" si="35"/>
        <v>0</v>
      </c>
      <c r="V215" s="61">
        <f t="shared" si="36"/>
        <v>0</v>
      </c>
      <c r="W215" s="61">
        <f t="shared" si="37"/>
        <v>129557.02431112694</v>
      </c>
      <c r="X215" s="61">
        <f t="shared" si="38"/>
        <v>129557.02431112694</v>
      </c>
      <c r="Y215" s="61">
        <f t="shared" si="39"/>
        <v>0</v>
      </c>
    </row>
    <row r="216" spans="1:25" x14ac:dyDescent="0.25">
      <c r="A216" s="51">
        <v>2010625010</v>
      </c>
      <c r="B216" s="51" t="s">
        <v>90</v>
      </c>
      <c r="C216" s="51" t="s">
        <v>145</v>
      </c>
      <c r="D216" s="51" t="s">
        <v>141</v>
      </c>
      <c r="E216" s="51" t="s">
        <v>515</v>
      </c>
      <c r="F216" s="52">
        <f>SUMIF('Customer Budget Per Category'!$A:$A,$A216,'Customer Budget Per Category'!$J:$J)</f>
        <v>910.95092450822756</v>
      </c>
      <c r="G216" s="52">
        <f>SUMIFS('Navision sales Dump'!$E:$E,'Navision sales Dump'!$K:$K,$E216,'Navision sales Dump'!$A:$A,$A216)</f>
        <v>432</v>
      </c>
      <c r="H216" s="62">
        <f>SUMIFS('Navision sales Dump'!$G:$G,'Navision sales Dump'!$K:$K,$E216,'Navision sales Dump'!$A:$A,$A216)</f>
        <v>1219492.7999999998</v>
      </c>
      <c r="I216" s="72">
        <f>IFERROR(IF(($G216/$F216)&gt;='Discount Scheme Target'!$F$4,_xlfn.XLOOKUP($E216,'Discount Scheme Target'!$B:$B,'Discount Scheme Target'!$F:$F,0,0),IF(($G216/$F216)&gt;='Discount Scheme Target'!$E$4,_xlfn.XLOOKUP($E216,'Discount Scheme Target'!$B:$B,'Discount Scheme Target'!$E:$E,0,0),IF(($G216/$F216)&gt;='Discount Scheme Target'!$D$4,_xlfn.XLOOKUP($E216,'Discount Scheme Target'!$B:$B,'Discount Scheme Target'!$D:$D,0,0),0))),0)</f>
        <v>0</v>
      </c>
      <c r="J216" s="72">
        <f>IF(SUMIF('Customer Num Distr.'!$A:$A,Workings!$A216,'Customer Num Distr.'!$E:$E)&gt;='Discount Scheme Target'!$G$4,_xlfn.XLOOKUP(Workings!$E216,'Discount Scheme Target'!$B:$B,'Discount Scheme Target'!$G:$G,0,0),0)</f>
        <v>0</v>
      </c>
      <c r="K216" s="72">
        <f>IF(SUMIF('Bouclage EG Cust Cons_Decons'!$A:$A,Workings!$A216,'Bouclage EG Cust Cons_Decons'!$F:$F)&gt;='Discount Scheme Target'!$H$4,_xlfn.XLOOKUP(Workings!$E216,'Discount Scheme Target'!$B:$B,'Discount Scheme Target'!$H:$H,0,0),0)</f>
        <v>0</v>
      </c>
      <c r="L216" s="72">
        <f>IF(INDEX('TT Around time'!$A$1:$F$46,MATCH($A216,'TT Around time'!$A:$A,0),6)&gt;='Discount Scheme Target'!$I$4,_xlfn.XLOOKUP(Workings!$E216,'Discount Scheme Target'!$B:$B,'Discount Scheme Target'!$I:$I,0,0),0)</f>
        <v>5.0000000000000001E-3</v>
      </c>
      <c r="M216" s="72">
        <f t="shared" si="33"/>
        <v>5.0000000000000001E-3</v>
      </c>
      <c r="N216" s="62">
        <f t="shared" si="29"/>
        <v>12857.616823971377</v>
      </c>
      <c r="T216" s="61">
        <f t="shared" si="34"/>
        <v>0</v>
      </c>
      <c r="U216" s="61">
        <f t="shared" si="35"/>
        <v>0</v>
      </c>
      <c r="V216" s="61">
        <f t="shared" si="36"/>
        <v>0</v>
      </c>
      <c r="W216" s="61">
        <f t="shared" si="37"/>
        <v>12857.616823971377</v>
      </c>
      <c r="X216" s="61">
        <f t="shared" si="38"/>
        <v>12857.616823971377</v>
      </c>
      <c r="Y216" s="61">
        <f t="shared" si="39"/>
        <v>0</v>
      </c>
    </row>
    <row r="217" spans="1:25" x14ac:dyDescent="0.25">
      <c r="A217" s="51">
        <v>2010625010</v>
      </c>
      <c r="B217" s="51" t="s">
        <v>90</v>
      </c>
      <c r="C217" s="51" t="s">
        <v>145</v>
      </c>
      <c r="D217" s="51" t="s">
        <v>141</v>
      </c>
      <c r="E217" s="51" t="s">
        <v>161</v>
      </c>
      <c r="F217" s="52">
        <f>SUMIF('Customer Budget Per Category'!$A:$A,$A217,'Customer Budget Per Category'!$K:$K)</f>
        <v>0</v>
      </c>
      <c r="G217" s="52">
        <f>SUMIFS('Navision sales Dump'!$E:$E,'Navision sales Dump'!$K:$K,$E217,'Navision sales Dump'!$A:$A,$A217)</f>
        <v>0</v>
      </c>
      <c r="H217" s="62">
        <f>SUMIFS('Navision sales Dump'!$G:$G,'Navision sales Dump'!$K:$K,$E217,'Navision sales Dump'!$A:$A,$A217)</f>
        <v>0</v>
      </c>
      <c r="I217" s="72">
        <f>IFERROR(IF(($G217/$F217)&gt;='Discount Scheme Target'!$F$4,_xlfn.XLOOKUP($E217,'Discount Scheme Target'!$B:$B,'Discount Scheme Target'!$F:$F,0,0),IF(($G217/$F217)&gt;='Discount Scheme Target'!$E$4,_xlfn.XLOOKUP($E217,'Discount Scheme Target'!$B:$B,'Discount Scheme Target'!$E:$E,0,0),IF(($G217/$F217)&gt;='Discount Scheme Target'!$D$4,_xlfn.XLOOKUP($E217,'Discount Scheme Target'!$B:$B,'Discount Scheme Target'!$D:$D,0,0),0))),0)</f>
        <v>0</v>
      </c>
      <c r="J217" s="72">
        <f>IF(SUMIF('Customer Num Distr.'!$A:$A,Workings!$A217,'Customer Num Distr.'!$E:$E)&gt;='Discount Scheme Target'!$G$4,_xlfn.XLOOKUP(Workings!$E217,'Discount Scheme Target'!$B:$B,'Discount Scheme Target'!$G:$G,0,0),0)</f>
        <v>0</v>
      </c>
      <c r="K217" s="72">
        <f>IF(SUMIF('Bouclage EG Cust Cons_Decons'!$A:$A,Workings!$A217,'Bouclage EG Cust Cons_Decons'!$F:$F)&gt;='Discount Scheme Target'!$H$4,_xlfn.XLOOKUP(Workings!$E217,'Discount Scheme Target'!$B:$B,'Discount Scheme Target'!$H:$H,0,0),0)</f>
        <v>0</v>
      </c>
      <c r="L217" s="72">
        <f>IF(INDEX('TT Around time'!$A$1:$F$46,MATCH($A217,'TT Around time'!$A:$A,0),6)&gt;='Discount Scheme Target'!$I$4,_xlfn.XLOOKUP(Workings!$E217,'Discount Scheme Target'!$B:$B,'Discount Scheme Target'!$I:$I,0,0),0)</f>
        <v>0</v>
      </c>
      <c r="M217" s="72">
        <f t="shared" si="33"/>
        <v>0</v>
      </c>
      <c r="N217" s="62">
        <f t="shared" si="29"/>
        <v>0</v>
      </c>
      <c r="T217" s="61">
        <f t="shared" si="34"/>
        <v>0</v>
      </c>
      <c r="U217" s="61">
        <f t="shared" si="35"/>
        <v>0</v>
      </c>
      <c r="V217" s="61">
        <f t="shared" si="36"/>
        <v>0</v>
      </c>
      <c r="W217" s="61">
        <f t="shared" si="37"/>
        <v>0</v>
      </c>
      <c r="X217" s="61">
        <f t="shared" si="38"/>
        <v>0</v>
      </c>
      <c r="Y217" s="61">
        <f t="shared" si="39"/>
        <v>0</v>
      </c>
    </row>
    <row r="218" spans="1:25" x14ac:dyDescent="0.25">
      <c r="A218" s="51">
        <v>2010625010</v>
      </c>
      <c r="B218" s="51" t="s">
        <v>90</v>
      </c>
      <c r="C218" s="51" t="s">
        <v>145</v>
      </c>
      <c r="D218" s="51" t="s">
        <v>141</v>
      </c>
      <c r="E218" s="51" t="s">
        <v>354</v>
      </c>
      <c r="F218" s="52">
        <f>SUMIF('Customer Budget Per Category'!$A:$A,$A218,'Customer Budget Per Category'!$L:$L)</f>
        <v>2367.6922329467002</v>
      </c>
      <c r="G218" s="52">
        <f>SUMIFS('Navision sales Dump'!$E:$E,'Navision sales Dump'!$K:$K,$E218,'Navision sales Dump'!$A:$A,$A218)</f>
        <v>1934</v>
      </c>
      <c r="H218" s="62">
        <f>SUMIFS('Navision sales Dump'!$G:$G,'Navision sales Dump'!$K:$K,$E218,'Navision sales Dump'!$A:$A,$A218)</f>
        <v>6520857.29</v>
      </c>
      <c r="I218" s="72">
        <f>IFERROR(IF(($G218/$F218)&gt;='Discount Scheme Target'!$F$4,_xlfn.XLOOKUP($E218,'Discount Scheme Target'!$B:$B,'Discount Scheme Target'!$F:$F,0,0),IF(($G218/$F218)&gt;='Discount Scheme Target'!$E$4,_xlfn.XLOOKUP($E218,'Discount Scheme Target'!$B:$B,'Discount Scheme Target'!$E:$E,0,0),IF(($G218/$F218)&gt;='Discount Scheme Target'!$D$4,_xlfn.XLOOKUP($E218,'Discount Scheme Target'!$B:$B,'Discount Scheme Target'!$D:$D,0,0),0))),0)</f>
        <v>0</v>
      </c>
      <c r="J218" s="72">
        <f>IF(SUMIF('Customer Num Distr.'!$A:$A,Workings!$A218,'Customer Num Distr.'!$E:$E)&gt;='Discount Scheme Target'!$G$4,_xlfn.XLOOKUP(Workings!$E218,'Discount Scheme Target'!$B:$B,'Discount Scheme Target'!$G:$G,0,0),0)</f>
        <v>0</v>
      </c>
      <c r="K218" s="72">
        <f>IF(SUMIF('Bouclage EG Cust Cons_Decons'!$A:$A,Workings!$A218,'Bouclage EG Cust Cons_Decons'!$F:$F)&gt;='Discount Scheme Target'!$H$4,_xlfn.XLOOKUP(Workings!$E218,'Discount Scheme Target'!$B:$B,'Discount Scheme Target'!$H:$H,0,0),0)</f>
        <v>0</v>
      </c>
      <c r="L218" s="72">
        <f>IF(INDEX('TT Around time'!$A$1:$F$46,MATCH($A218,'TT Around time'!$A:$A,0),6)&gt;='Discount Scheme Target'!$I$4,_xlfn.XLOOKUP(Workings!$E218,'Discount Scheme Target'!$B:$B,'Discount Scheme Target'!$I:$I,0,0),0)</f>
        <v>5.0000000000000001E-3</v>
      </c>
      <c r="M218" s="72">
        <f t="shared" si="33"/>
        <v>5.0000000000000001E-3</v>
      </c>
      <c r="N218" s="62">
        <f t="shared" ref="N218:N276" si="40">IFERROR((H218/G218)*F218*M218,)</f>
        <v>39915.675174991906</v>
      </c>
      <c r="T218" s="61">
        <f t="shared" si="34"/>
        <v>0</v>
      </c>
      <c r="U218" s="61">
        <f t="shared" si="35"/>
        <v>0</v>
      </c>
      <c r="V218" s="61">
        <f t="shared" si="36"/>
        <v>0</v>
      </c>
      <c r="W218" s="61">
        <f t="shared" si="37"/>
        <v>39915.675174991906</v>
      </c>
      <c r="X218" s="61">
        <f t="shared" si="38"/>
        <v>39915.675174991906</v>
      </c>
      <c r="Y218" s="61">
        <f t="shared" si="39"/>
        <v>0</v>
      </c>
    </row>
    <row r="219" spans="1:25" x14ac:dyDescent="0.25">
      <c r="A219" s="51">
        <v>2010625010</v>
      </c>
      <c r="B219" s="51" t="s">
        <v>90</v>
      </c>
      <c r="C219" s="51" t="s">
        <v>145</v>
      </c>
      <c r="D219" s="51" t="s">
        <v>141</v>
      </c>
      <c r="E219" s="51" t="s">
        <v>355</v>
      </c>
      <c r="F219" s="52">
        <f>SUMIF('Customer Budget Per Category'!$A:$A,$A219,'Customer Budget Per Category'!$M:$M)</f>
        <v>1691.5789746724879</v>
      </c>
      <c r="G219" s="52">
        <f>SUMIFS('Navision sales Dump'!$E:$E,'Navision sales Dump'!$K:$K,$E219,'Navision sales Dump'!$A:$A,$A219)</f>
        <v>1008</v>
      </c>
      <c r="H219" s="62">
        <f>SUMIFS('Navision sales Dump'!$G:$G,'Navision sales Dump'!$K:$K,$E219,'Navision sales Dump'!$A:$A,$A219)</f>
        <v>2438987.04</v>
      </c>
      <c r="I219" s="72">
        <f>IFERROR(IF(($G219/$F219)&gt;='Discount Scheme Target'!$F$4,_xlfn.XLOOKUP($E219,'Discount Scheme Target'!$B:$B,'Discount Scheme Target'!$F:$F,0,0),IF(($G219/$F219)&gt;='Discount Scheme Target'!$E$4,_xlfn.XLOOKUP($E219,'Discount Scheme Target'!$B:$B,'Discount Scheme Target'!$E:$E,0,0),IF(($G219/$F219)&gt;='Discount Scheme Target'!$D$4,_xlfn.XLOOKUP($E219,'Discount Scheme Target'!$B:$B,'Discount Scheme Target'!$D:$D,0,0),0))),0)</f>
        <v>0</v>
      </c>
      <c r="J219" s="72">
        <f>IF(SUMIF('Customer Num Distr.'!$A:$A,Workings!$A219,'Customer Num Distr.'!$E:$E)&gt;='Discount Scheme Target'!$G$4,_xlfn.XLOOKUP(Workings!$E219,'Discount Scheme Target'!$B:$B,'Discount Scheme Target'!$G:$G,0,0),0)</f>
        <v>0</v>
      </c>
      <c r="K219" s="72">
        <f>IF(SUMIF('Bouclage EG Cust Cons_Decons'!$A:$A,Workings!$A219,'Bouclage EG Cust Cons_Decons'!$F:$F)&gt;='Discount Scheme Target'!$H$4,_xlfn.XLOOKUP(Workings!$E219,'Discount Scheme Target'!$B:$B,'Discount Scheme Target'!$H:$H,0,0),0)</f>
        <v>0</v>
      </c>
      <c r="L219" s="72">
        <f>IF(INDEX('TT Around time'!$A$1:$F$46,MATCH($A219,'TT Around time'!$A:$A,0),6)&gt;='Discount Scheme Target'!$I$4,_xlfn.XLOOKUP(Workings!$E219,'Discount Scheme Target'!$B:$B,'Discount Scheme Target'!$I:$I,0,0),0)</f>
        <v>5.0000000000000001E-3</v>
      </c>
      <c r="M219" s="72">
        <f t="shared" si="33"/>
        <v>5.0000000000000001E-3</v>
      </c>
      <c r="N219" s="62">
        <f t="shared" si="40"/>
        <v>20464.976172433962</v>
      </c>
      <c r="T219" s="61">
        <f t="shared" si="34"/>
        <v>0</v>
      </c>
      <c r="U219" s="61">
        <f t="shared" si="35"/>
        <v>0</v>
      </c>
      <c r="V219" s="61">
        <f t="shared" si="36"/>
        <v>0</v>
      </c>
      <c r="W219" s="61">
        <f t="shared" si="37"/>
        <v>20464.976172433962</v>
      </c>
      <c r="X219" s="61">
        <f t="shared" si="38"/>
        <v>20464.976172433962</v>
      </c>
      <c r="Y219" s="61">
        <f t="shared" si="39"/>
        <v>0</v>
      </c>
    </row>
    <row r="220" spans="1:25" x14ac:dyDescent="0.25">
      <c r="A220" s="51">
        <v>2010625010</v>
      </c>
      <c r="B220" s="51" t="s">
        <v>90</v>
      </c>
      <c r="C220" s="51" t="s">
        <v>145</v>
      </c>
      <c r="D220" s="51" t="s">
        <v>141</v>
      </c>
      <c r="E220" s="51" t="s">
        <v>132</v>
      </c>
      <c r="F220" s="52">
        <f>SUMIF('Customer Budget Per Category'!$A:$A,$A220,'Customer Budget Per Category'!$N:$N)</f>
        <v>532</v>
      </c>
      <c r="G220" s="52">
        <f>SUMIFS('Navision sales Dump'!$E:$E,'Navision sales Dump'!$K:$K,$E220,'Navision sales Dump'!$A:$A,$A220)</f>
        <v>288</v>
      </c>
      <c r="H220" s="62">
        <f>SUMIFS('Navision sales Dump'!$G:$G,'Navision sales Dump'!$K:$K,$E220,'Navision sales Dump'!$A:$A,$A220)</f>
        <v>628531.19999999995</v>
      </c>
      <c r="I220" s="72">
        <f>IFERROR(IF(($G220/$F220)&gt;='Discount Scheme Target'!$F$4,_xlfn.XLOOKUP($E220,'Discount Scheme Target'!$B:$B,'Discount Scheme Target'!$F:$F,0,0),IF(($G220/$F220)&gt;='Discount Scheme Target'!$E$4,_xlfn.XLOOKUP($E220,'Discount Scheme Target'!$B:$B,'Discount Scheme Target'!$E:$E,0,0),IF(($G220/$F220)&gt;='Discount Scheme Target'!$D$4,_xlfn.XLOOKUP($E220,'Discount Scheme Target'!$B:$B,'Discount Scheme Target'!$D:$D,0,0),0))),0)</f>
        <v>0</v>
      </c>
      <c r="J220" s="72">
        <f>IF(SUMIF('Customer Num Distr.'!$A:$A,Workings!$A220,'Customer Num Distr.'!$E:$E)&gt;='Discount Scheme Target'!$G$4,_xlfn.XLOOKUP(Workings!$E220,'Discount Scheme Target'!$B:$B,'Discount Scheme Target'!$G:$G,0,0),0)</f>
        <v>0</v>
      </c>
      <c r="K220" s="72">
        <f>IF(SUMIF('Bouclage EG Cust Cons_Decons'!$A:$A,Workings!$A220,'Bouclage EG Cust Cons_Decons'!$F:$F)&gt;='Discount Scheme Target'!$H$4,_xlfn.XLOOKUP(Workings!$E220,'Discount Scheme Target'!$B:$B,'Discount Scheme Target'!$H:$H,0,0),0)</f>
        <v>0</v>
      </c>
      <c r="L220" s="72">
        <f>IF(INDEX('TT Around time'!$A$1:$F$46,MATCH($A220,'TT Around time'!$A:$A,0),6)&gt;='Discount Scheme Target'!$I$4,_xlfn.XLOOKUP(Workings!$E220,'Discount Scheme Target'!$B:$B,'Discount Scheme Target'!$I:$I,0,0),0)</f>
        <v>5.0000000000000001E-3</v>
      </c>
      <c r="M220" s="72">
        <f t="shared" si="33"/>
        <v>5.0000000000000001E-3</v>
      </c>
      <c r="N220" s="62">
        <f t="shared" si="40"/>
        <v>5805.1839999999993</v>
      </c>
      <c r="T220" s="61">
        <f t="shared" si="34"/>
        <v>0</v>
      </c>
      <c r="U220" s="61">
        <f t="shared" si="35"/>
        <v>0</v>
      </c>
      <c r="V220" s="61">
        <f t="shared" si="36"/>
        <v>0</v>
      </c>
      <c r="W220" s="61">
        <f t="shared" si="37"/>
        <v>5805.1839999999993</v>
      </c>
      <c r="X220" s="61">
        <f t="shared" si="38"/>
        <v>5805.1839999999993</v>
      </c>
      <c r="Y220" s="61">
        <f t="shared" si="39"/>
        <v>0</v>
      </c>
    </row>
    <row r="221" spans="1:25" x14ac:dyDescent="0.25">
      <c r="A221" s="51">
        <v>2010625010</v>
      </c>
      <c r="B221" s="51" t="s">
        <v>90</v>
      </c>
      <c r="C221" s="51" t="s">
        <v>145</v>
      </c>
      <c r="D221" s="51" t="s">
        <v>141</v>
      </c>
      <c r="E221" s="51" t="s">
        <v>133</v>
      </c>
      <c r="F221" s="52">
        <f>SUMIF('Customer Budget Per Category'!$A:$A,$A221,'Customer Budget Per Category'!$O:$O)</f>
        <v>364.70961331849617</v>
      </c>
      <c r="G221" s="52">
        <f>SUMIFS('Navision sales Dump'!$E:$E,'Navision sales Dump'!$K:$K,$E221,'Navision sales Dump'!$A:$A,$A221)</f>
        <v>358</v>
      </c>
      <c r="H221" s="62">
        <f>SUMIFS('Navision sales Dump'!$G:$G,'Navision sales Dump'!$K:$K,$E221,'Navision sales Dump'!$A:$A,$A221)</f>
        <v>3589802.04</v>
      </c>
      <c r="I221" s="72">
        <f>IFERROR(IF(($G221/$F221)&gt;='Discount Scheme Target'!$F$4,_xlfn.XLOOKUP($E221,'Discount Scheme Target'!$B:$B,'Discount Scheme Target'!$F:$F,0,0),IF(($G221/$F221)&gt;='Discount Scheme Target'!$E$4,_xlfn.XLOOKUP($E221,'Discount Scheme Target'!$B:$B,'Discount Scheme Target'!$E:$E,0,0),IF(($G221/$F221)&gt;='Discount Scheme Target'!$D$4,_xlfn.XLOOKUP($E221,'Discount Scheme Target'!$B:$B,'Discount Scheme Target'!$D:$D,0,0),0))),0)</f>
        <v>0</v>
      </c>
      <c r="J221" s="72">
        <f>IF(SUMIF('Customer Num Distr.'!$A:$A,Workings!$A221,'Customer Num Distr.'!$E:$E)&gt;='Discount Scheme Target'!$G$4,_xlfn.XLOOKUP(Workings!$E221,'Discount Scheme Target'!$B:$B,'Discount Scheme Target'!$G:$G,0,0),0)</f>
        <v>0</v>
      </c>
      <c r="K221" s="72">
        <f>IF(SUMIF('Bouclage EG Cust Cons_Decons'!$A:$A,Workings!$A221,'Bouclage EG Cust Cons_Decons'!$F:$F)&gt;='Discount Scheme Target'!$H$4,_xlfn.XLOOKUP(Workings!$E221,'Discount Scheme Target'!$B:$B,'Discount Scheme Target'!$H:$H,0,0),0)</f>
        <v>0</v>
      </c>
      <c r="L221" s="72">
        <f>IF(INDEX('TT Around time'!$A$1:$F$46,MATCH($A221,'TT Around time'!$A:$A,0),6)&gt;='Discount Scheme Target'!$I$4,_xlfn.XLOOKUP(Workings!$E221,'Discount Scheme Target'!$B:$B,'Discount Scheme Target'!$I:$I,0,0),0)</f>
        <v>5.0000000000000001E-3</v>
      </c>
      <c r="M221" s="72">
        <f t="shared" si="33"/>
        <v>5.0000000000000001E-3</v>
      </c>
      <c r="N221" s="62">
        <f t="shared" si="40"/>
        <v>18285.409411988108</v>
      </c>
      <c r="T221" s="61">
        <f t="shared" si="34"/>
        <v>0</v>
      </c>
      <c r="U221" s="61">
        <f t="shared" si="35"/>
        <v>0</v>
      </c>
      <c r="V221" s="61">
        <f t="shared" si="36"/>
        <v>0</v>
      </c>
      <c r="W221" s="61">
        <f t="shared" si="37"/>
        <v>18285.409411988108</v>
      </c>
      <c r="X221" s="61">
        <f t="shared" si="38"/>
        <v>18285.409411988108</v>
      </c>
      <c r="Y221" s="61">
        <f t="shared" si="39"/>
        <v>0</v>
      </c>
    </row>
    <row r="222" spans="1:25" x14ac:dyDescent="0.25">
      <c r="A222" s="51">
        <v>2010905029</v>
      </c>
      <c r="B222" s="51" t="s">
        <v>91</v>
      </c>
      <c r="C222" s="51" t="s">
        <v>145</v>
      </c>
      <c r="D222" s="51" t="s">
        <v>141</v>
      </c>
      <c r="E222" s="51" t="s">
        <v>417</v>
      </c>
      <c r="F222" s="52">
        <f>SUMIF('Customer Budget Per Category'!$A:$A,$A222,'Customer Budget Per Category'!$E:$E)</f>
        <v>10300</v>
      </c>
      <c r="G222" s="52">
        <f>SUMIFS('Navision sales Dump'!$E:$E,'Navision sales Dump'!$K:$K,$E222,'Navision sales Dump'!$A:$A,$A222)</f>
        <v>10054</v>
      </c>
      <c r="H222" s="62">
        <f>SUMIFS('Navision sales Dump'!$G:$G,'Navision sales Dump'!$K:$K,$E222,'Navision sales Dump'!$A:$A,$A222)</f>
        <v>72856224.260000005</v>
      </c>
      <c r="I222" s="72">
        <f>IFERROR(IF(($G222/$F222)&gt;='Discount Scheme Target'!$F$4,_xlfn.XLOOKUP($E222,'Discount Scheme Target'!$B:$B,'Discount Scheme Target'!$F:$F,0,0),IF(($G222/$F222)&gt;='Discount Scheme Target'!$E$4,_xlfn.XLOOKUP($E222,'Discount Scheme Target'!$B:$B,'Discount Scheme Target'!$E:$E,0,0),IF(($G222/$F222)&gt;='Discount Scheme Target'!$D$4,_xlfn.XLOOKUP($E222,'Discount Scheme Target'!$B:$B,'Discount Scheme Target'!$D:$D,0,0),0))),0)</f>
        <v>0</v>
      </c>
      <c r="J222" s="72">
        <f>IF(SUMIF('Customer Num Distr.'!$A:$A,Workings!$A222,'Customer Num Distr.'!$E:$E)&gt;='Discount Scheme Target'!$G$4,_xlfn.XLOOKUP(Workings!$E222,'Discount Scheme Target'!$B:$B,'Discount Scheme Target'!$G:$G,0,0),0)</f>
        <v>0</v>
      </c>
      <c r="K222" s="72">
        <f>IF(SUMIF('Bouclage EG Cust Cons_Decons'!$A:$A,Workings!$A222,'Bouclage EG Cust Cons_Decons'!$F:$F)&gt;='Discount Scheme Target'!$H$4,_xlfn.XLOOKUP(Workings!$E222,'Discount Scheme Target'!$B:$B,'Discount Scheme Target'!$H:$H,0,0),0)</f>
        <v>0</v>
      </c>
      <c r="L222" s="72">
        <f>IF(INDEX('TT Around time'!$A$1:$F$46,MATCH($A222,'TT Around time'!$A:$A,0),6)&gt;='Discount Scheme Target'!$I$4,_xlfn.XLOOKUP(Workings!$E222,'Discount Scheme Target'!$B:$B,'Discount Scheme Target'!$I:$I,0,0),0)</f>
        <v>0.01</v>
      </c>
      <c r="M222" s="72">
        <f t="shared" si="33"/>
        <v>0.01</v>
      </c>
      <c r="N222" s="62">
        <f t="shared" si="40"/>
        <v>746388.61137656658</v>
      </c>
      <c r="T222" s="61">
        <f t="shared" si="34"/>
        <v>0</v>
      </c>
      <c r="U222" s="61">
        <f t="shared" si="35"/>
        <v>0</v>
      </c>
      <c r="V222" s="61">
        <f t="shared" si="36"/>
        <v>0</v>
      </c>
      <c r="W222" s="61">
        <f t="shared" si="37"/>
        <v>746388.61137656658</v>
      </c>
      <c r="X222" s="61">
        <f t="shared" si="38"/>
        <v>746388.61137656658</v>
      </c>
      <c r="Y222" s="61">
        <f t="shared" si="39"/>
        <v>0</v>
      </c>
    </row>
    <row r="223" spans="1:25" x14ac:dyDescent="0.25">
      <c r="A223" s="51">
        <v>2010905029</v>
      </c>
      <c r="B223" s="51" t="s">
        <v>91</v>
      </c>
      <c r="C223" s="51" t="s">
        <v>145</v>
      </c>
      <c r="D223" s="51" t="s">
        <v>141</v>
      </c>
      <c r="E223" s="51" t="s">
        <v>418</v>
      </c>
      <c r="F223" s="52">
        <f>SUMIF('Customer Budget Per Category'!$A:$A,$A223,'Customer Budget Per Category'!$F:$F)</f>
        <v>0</v>
      </c>
      <c r="G223" s="52">
        <f>SUMIFS('Navision sales Dump'!$E:$E,'Navision sales Dump'!$K:$K,$E223,'Navision sales Dump'!$A:$A,$A223)</f>
        <v>0</v>
      </c>
      <c r="H223" s="62">
        <f>SUMIFS('Navision sales Dump'!$G:$G,'Navision sales Dump'!$K:$K,$E223,'Navision sales Dump'!$A:$A,$A223)</f>
        <v>0</v>
      </c>
      <c r="I223" s="72">
        <f>IFERROR(IF(($G223/$F223)&gt;='Discount Scheme Target'!$F$4,_xlfn.XLOOKUP($E223,'Discount Scheme Target'!$B:$B,'Discount Scheme Target'!$F:$F,0,0),IF(($G223/$F223)&gt;='Discount Scheme Target'!$E$4,_xlfn.XLOOKUP($E223,'Discount Scheme Target'!$B:$B,'Discount Scheme Target'!$E:$E,0,0),IF(($G223/$F223)&gt;='Discount Scheme Target'!$D$4,_xlfn.XLOOKUP($E223,'Discount Scheme Target'!$B:$B,'Discount Scheme Target'!$D:$D,0,0),0))),0)</f>
        <v>0</v>
      </c>
      <c r="J223" s="72">
        <f>IF(SUMIF('Customer Num Distr.'!$A:$A,Workings!$A223,'Customer Num Distr.'!$E:$E)&gt;='Discount Scheme Target'!$G$4,_xlfn.XLOOKUP(Workings!$E223,'Discount Scheme Target'!$B:$B,'Discount Scheme Target'!$G:$G,0,0),0)</f>
        <v>0</v>
      </c>
      <c r="K223" s="72">
        <f>IF(SUMIF('Bouclage EG Cust Cons_Decons'!$A:$A,Workings!$A223,'Bouclage EG Cust Cons_Decons'!$F:$F)&gt;='Discount Scheme Target'!$H$4,_xlfn.XLOOKUP(Workings!$E223,'Discount Scheme Target'!$B:$B,'Discount Scheme Target'!$H:$H,0,0),0)</f>
        <v>0</v>
      </c>
      <c r="L223" s="72">
        <f>IF(INDEX('TT Around time'!$A$1:$F$46,MATCH($A223,'TT Around time'!$A:$A,0),6)&gt;='Discount Scheme Target'!$I$4,_xlfn.XLOOKUP(Workings!$E223,'Discount Scheme Target'!$B:$B,'Discount Scheme Target'!$I:$I,0,0),0)</f>
        <v>0</v>
      </c>
      <c r="M223" s="72">
        <f t="shared" si="33"/>
        <v>0</v>
      </c>
      <c r="N223" s="62">
        <f t="shared" si="40"/>
        <v>0</v>
      </c>
      <c r="T223" s="61">
        <f t="shared" si="34"/>
        <v>0</v>
      </c>
      <c r="U223" s="61">
        <f t="shared" si="35"/>
        <v>0</v>
      </c>
      <c r="V223" s="61">
        <f t="shared" si="36"/>
        <v>0</v>
      </c>
      <c r="W223" s="61">
        <f t="shared" si="37"/>
        <v>0</v>
      </c>
      <c r="X223" s="61">
        <f t="shared" si="38"/>
        <v>0</v>
      </c>
      <c r="Y223" s="61">
        <f t="shared" si="39"/>
        <v>0</v>
      </c>
    </row>
    <row r="224" spans="1:25" x14ac:dyDescent="0.25">
      <c r="A224" s="51">
        <v>2010905029</v>
      </c>
      <c r="B224" s="51" t="s">
        <v>91</v>
      </c>
      <c r="C224" s="51" t="s">
        <v>145</v>
      </c>
      <c r="D224" s="51" t="s">
        <v>141</v>
      </c>
      <c r="E224" s="51" t="s">
        <v>130</v>
      </c>
      <c r="F224" s="52">
        <f>SUMIF('Customer Budget Per Category'!$A:$A,$A224,'Customer Budget Per Category'!$G:$G)</f>
        <v>241.77800247319823</v>
      </c>
      <c r="G224" s="52">
        <f>SUMIFS('Navision sales Dump'!$E:$E,'Navision sales Dump'!$K:$K,$E224,'Navision sales Dump'!$A:$A,$A224)</f>
        <v>574</v>
      </c>
      <c r="H224" s="62">
        <f>SUMIFS('Navision sales Dump'!$G:$G,'Navision sales Dump'!$K:$K,$E224,'Navision sales Dump'!$A:$A,$A224)</f>
        <v>4434333.68</v>
      </c>
      <c r="I224" s="72">
        <f>IFERROR(IF(($G224/$F224)&gt;='Discount Scheme Target'!$F$4,_xlfn.XLOOKUP($E224,'Discount Scheme Target'!$B:$B,'Discount Scheme Target'!$F:$F,0,0),IF(($G224/$F224)&gt;='Discount Scheme Target'!$E$4,_xlfn.XLOOKUP($E224,'Discount Scheme Target'!$B:$B,'Discount Scheme Target'!$E:$E,0,0),IF(($G224/$F224)&gt;='Discount Scheme Target'!$D$4,_xlfn.XLOOKUP($E224,'Discount Scheme Target'!$B:$B,'Discount Scheme Target'!$D:$D,0,0),0))),0)</f>
        <v>4.5000000000000005E-2</v>
      </c>
      <c r="J224" s="72">
        <f>IF(SUMIF('Customer Num Distr.'!$A:$A,Workings!$A224,'Customer Num Distr.'!$E:$E)&gt;='Discount Scheme Target'!$G$4,_xlfn.XLOOKUP(Workings!$E224,'Discount Scheme Target'!$B:$B,'Discount Scheme Target'!$G:$G,0,0),0)</f>
        <v>0</v>
      </c>
      <c r="K224" s="72">
        <f>IF(SUMIF('Bouclage EG Cust Cons_Decons'!$A:$A,Workings!$A224,'Bouclage EG Cust Cons_Decons'!$F:$F)&gt;='Discount Scheme Target'!$H$4,_xlfn.XLOOKUP(Workings!$E224,'Discount Scheme Target'!$B:$B,'Discount Scheme Target'!$H:$H,0,0),0)</f>
        <v>0</v>
      </c>
      <c r="L224" s="72">
        <f>IF(INDEX('TT Around time'!$A$1:$F$46,MATCH($A224,'TT Around time'!$A:$A,0),6)&gt;='Discount Scheme Target'!$I$4,_xlfn.XLOOKUP(Workings!$E224,'Discount Scheme Target'!$B:$B,'Discount Scheme Target'!$I:$I,0,0),0)</f>
        <v>0.01</v>
      </c>
      <c r="M224" s="72">
        <f t="shared" si="33"/>
        <v>5.5000000000000007E-2</v>
      </c>
      <c r="N224" s="62">
        <f t="shared" si="40"/>
        <v>102729.68409364363</v>
      </c>
      <c r="T224" s="61">
        <f t="shared" si="34"/>
        <v>84051.55971298115</v>
      </c>
      <c r="U224" s="61">
        <f t="shared" si="35"/>
        <v>0</v>
      </c>
      <c r="V224" s="61">
        <f t="shared" si="36"/>
        <v>0</v>
      </c>
      <c r="W224" s="61">
        <f t="shared" si="37"/>
        <v>18678.124380662477</v>
      </c>
      <c r="X224" s="61">
        <f t="shared" si="38"/>
        <v>102729.68409364362</v>
      </c>
      <c r="Y224" s="61">
        <f t="shared" si="39"/>
        <v>0</v>
      </c>
    </row>
    <row r="225" spans="1:25" x14ac:dyDescent="0.25">
      <c r="A225" s="51">
        <v>2010905029</v>
      </c>
      <c r="B225" s="51" t="s">
        <v>91</v>
      </c>
      <c r="C225" s="51" t="s">
        <v>145</v>
      </c>
      <c r="D225" s="51" t="s">
        <v>141</v>
      </c>
      <c r="E225" s="51" t="s">
        <v>131</v>
      </c>
      <c r="F225" s="52">
        <f>SUMIF('Customer Budget Per Category'!$A:$A,$A225,'Customer Budget Per Category'!$H:$H)</f>
        <v>269</v>
      </c>
      <c r="G225" s="52">
        <f>SUMIFS('Navision sales Dump'!$E:$E,'Navision sales Dump'!$K:$K,$E225,'Navision sales Dump'!$A:$A,$A225)</f>
        <v>150</v>
      </c>
      <c r="H225" s="62">
        <f>SUMIFS('Navision sales Dump'!$G:$G,'Navision sales Dump'!$K:$K,$E225,'Navision sales Dump'!$A:$A,$A225)</f>
        <v>5457658.5</v>
      </c>
      <c r="I225" s="72">
        <f>IFERROR(IF(($G225/$F225)&gt;='Discount Scheme Target'!$F$4,_xlfn.XLOOKUP($E225,'Discount Scheme Target'!$B:$B,'Discount Scheme Target'!$F:$F,0,0),IF(($G225/$F225)&gt;='Discount Scheme Target'!$E$4,_xlfn.XLOOKUP($E225,'Discount Scheme Target'!$B:$B,'Discount Scheme Target'!$E:$E,0,0),IF(($G225/$F225)&gt;='Discount Scheme Target'!$D$4,_xlfn.XLOOKUP($E225,'Discount Scheme Target'!$B:$B,'Discount Scheme Target'!$D:$D,0,0),0))),0)</f>
        <v>0</v>
      </c>
      <c r="J225" s="72">
        <f>IF(SUMIF('Customer Num Distr.'!$A:$A,Workings!$A225,'Customer Num Distr.'!$E:$E)&gt;='Discount Scheme Target'!$G$4,_xlfn.XLOOKUP(Workings!$E225,'Discount Scheme Target'!$B:$B,'Discount Scheme Target'!$G:$G,0,0),0)</f>
        <v>0</v>
      </c>
      <c r="K225" s="72">
        <f>IF(SUMIF('Bouclage EG Cust Cons_Decons'!$A:$A,Workings!$A225,'Bouclage EG Cust Cons_Decons'!$F:$F)&gt;='Discount Scheme Target'!$H$4,_xlfn.XLOOKUP(Workings!$E225,'Discount Scheme Target'!$B:$B,'Discount Scheme Target'!$H:$H,0,0),0)</f>
        <v>0</v>
      </c>
      <c r="L225" s="72">
        <f>IF(INDEX('TT Around time'!$A$1:$F$46,MATCH($A225,'TT Around time'!$A:$A,0),6)&gt;='Discount Scheme Target'!$I$4,_xlfn.XLOOKUP(Workings!$E225,'Discount Scheme Target'!$B:$B,'Discount Scheme Target'!$I:$I,0,0),0)</f>
        <v>5.0000000000000001E-3</v>
      </c>
      <c r="M225" s="72">
        <f t="shared" si="33"/>
        <v>5.0000000000000001E-3</v>
      </c>
      <c r="N225" s="62">
        <f t="shared" si="40"/>
        <v>48937.004550000005</v>
      </c>
      <c r="T225" s="61">
        <f t="shared" si="34"/>
        <v>0</v>
      </c>
      <c r="U225" s="61">
        <f t="shared" si="35"/>
        <v>0</v>
      </c>
      <c r="V225" s="61">
        <f t="shared" si="36"/>
        <v>0</v>
      </c>
      <c r="W225" s="61">
        <f t="shared" si="37"/>
        <v>48937.004550000005</v>
      </c>
      <c r="X225" s="61">
        <f t="shared" si="38"/>
        <v>48937.004550000005</v>
      </c>
      <c r="Y225" s="61">
        <f t="shared" si="39"/>
        <v>0</v>
      </c>
    </row>
    <row r="226" spans="1:25" x14ac:dyDescent="0.25">
      <c r="A226" s="51">
        <v>2010905029</v>
      </c>
      <c r="B226" s="51" t="s">
        <v>91</v>
      </c>
      <c r="C226" s="51" t="s">
        <v>145</v>
      </c>
      <c r="D226" s="51" t="s">
        <v>141</v>
      </c>
      <c r="E226" s="51" t="s">
        <v>514</v>
      </c>
      <c r="F226" s="52">
        <f>SUMIF('Customer Budget Per Category'!$A:$A,$A226,'Customer Budget Per Category'!$I:$I)</f>
        <v>7200</v>
      </c>
      <c r="G226" s="52">
        <f>SUMIFS('Navision sales Dump'!$E:$E,'Navision sales Dump'!$K:$K,$E226,'Navision sales Dump'!$A:$A,$A226)</f>
        <v>4381</v>
      </c>
      <c r="H226" s="62">
        <f>SUMIFS('Navision sales Dump'!$G:$G,'Navision sales Dump'!$K:$K,$E226,'Navision sales Dump'!$A:$A,$A226)</f>
        <v>17340129.43</v>
      </c>
      <c r="I226" s="72">
        <f>IFERROR(IF(($G226/$F226)&gt;='Discount Scheme Target'!$F$4,_xlfn.XLOOKUP($E226,'Discount Scheme Target'!$B:$B,'Discount Scheme Target'!$F:$F,0,0),IF(($G226/$F226)&gt;='Discount Scheme Target'!$E$4,_xlfn.XLOOKUP($E226,'Discount Scheme Target'!$B:$B,'Discount Scheme Target'!$E:$E,0,0),IF(($G226/$F226)&gt;='Discount Scheme Target'!$D$4,_xlfn.XLOOKUP($E226,'Discount Scheme Target'!$B:$B,'Discount Scheme Target'!$D:$D,0,0),0))),0)</f>
        <v>0</v>
      </c>
      <c r="J226" s="72">
        <f>IF(SUMIF('Customer Num Distr.'!$A:$A,Workings!$A226,'Customer Num Distr.'!$E:$E)&gt;='Discount Scheme Target'!$G$4,_xlfn.XLOOKUP(Workings!$E226,'Discount Scheme Target'!$B:$B,'Discount Scheme Target'!$G:$G,0,0),0)</f>
        <v>0</v>
      </c>
      <c r="K226" s="72">
        <f>IF(SUMIF('Bouclage EG Cust Cons_Decons'!$A:$A,Workings!$A226,'Bouclage EG Cust Cons_Decons'!$F:$F)&gt;='Discount Scheme Target'!$H$4,_xlfn.XLOOKUP(Workings!$E226,'Discount Scheme Target'!$B:$B,'Discount Scheme Target'!$H:$H,0,0),0)</f>
        <v>0</v>
      </c>
      <c r="L226" s="72">
        <f>IF(INDEX('TT Around time'!$A$1:$F$46,MATCH($A226,'TT Around time'!$A:$A,0),6)&gt;='Discount Scheme Target'!$I$4,_xlfn.XLOOKUP(Workings!$E226,'Discount Scheme Target'!$B:$B,'Discount Scheme Target'!$I:$I,0,0),0)</f>
        <v>5.0000000000000001E-3</v>
      </c>
      <c r="M226" s="72">
        <f t="shared" si="33"/>
        <v>5.0000000000000001E-3</v>
      </c>
      <c r="N226" s="62">
        <f t="shared" si="40"/>
        <v>142489.08000000002</v>
      </c>
      <c r="T226" s="61">
        <f t="shared" si="34"/>
        <v>0</v>
      </c>
      <c r="U226" s="61">
        <f t="shared" si="35"/>
        <v>0</v>
      </c>
      <c r="V226" s="61">
        <f t="shared" si="36"/>
        <v>0</v>
      </c>
      <c r="W226" s="61">
        <f t="shared" si="37"/>
        <v>142489.08000000002</v>
      </c>
      <c r="X226" s="61">
        <f t="shared" si="38"/>
        <v>142489.08000000002</v>
      </c>
      <c r="Y226" s="61">
        <f t="shared" si="39"/>
        <v>0</v>
      </c>
    </row>
    <row r="227" spans="1:25" x14ac:dyDescent="0.25">
      <c r="A227" s="51">
        <v>2010905029</v>
      </c>
      <c r="B227" s="51" t="s">
        <v>91</v>
      </c>
      <c r="C227" s="51" t="s">
        <v>145</v>
      </c>
      <c r="D227" s="51" t="s">
        <v>141</v>
      </c>
      <c r="E227" s="51" t="s">
        <v>515</v>
      </c>
      <c r="F227" s="52">
        <f>SUMIF('Customer Budget Per Category'!$A:$A,$A227,'Customer Budget Per Category'!$J:$J)</f>
        <v>935</v>
      </c>
      <c r="G227" s="52">
        <f>SUMIFS('Navision sales Dump'!$E:$E,'Navision sales Dump'!$K:$K,$E227,'Navision sales Dump'!$A:$A,$A227)</f>
        <v>1150</v>
      </c>
      <c r="H227" s="62">
        <f>SUMIFS('Navision sales Dump'!$G:$G,'Navision sales Dump'!$K:$K,$E227,'Navision sales Dump'!$A:$A,$A227)</f>
        <v>3246334.9999999995</v>
      </c>
      <c r="I227" s="72">
        <f>IFERROR(IF(($G227/$F227)&gt;='Discount Scheme Target'!$F$4,_xlfn.XLOOKUP($E227,'Discount Scheme Target'!$B:$B,'Discount Scheme Target'!$F:$F,0,0),IF(($G227/$F227)&gt;='Discount Scheme Target'!$E$4,_xlfn.XLOOKUP($E227,'Discount Scheme Target'!$B:$B,'Discount Scheme Target'!$E:$E,0,0),IF(($G227/$F227)&gt;='Discount Scheme Target'!$D$4,_xlfn.XLOOKUP($E227,'Discount Scheme Target'!$B:$B,'Discount Scheme Target'!$D:$D,0,0),0))),0)</f>
        <v>0.03</v>
      </c>
      <c r="J227" s="72">
        <f>IF(SUMIF('Customer Num Distr.'!$A:$A,Workings!$A227,'Customer Num Distr.'!$E:$E)&gt;='Discount Scheme Target'!$G$4,_xlfn.XLOOKUP(Workings!$E227,'Discount Scheme Target'!$B:$B,'Discount Scheme Target'!$G:$G,0,0),0)</f>
        <v>0</v>
      </c>
      <c r="K227" s="72">
        <f>IF(SUMIF('Bouclage EG Cust Cons_Decons'!$A:$A,Workings!$A227,'Bouclage EG Cust Cons_Decons'!$F:$F)&gt;='Discount Scheme Target'!$H$4,_xlfn.XLOOKUP(Workings!$E227,'Discount Scheme Target'!$B:$B,'Discount Scheme Target'!$H:$H,0,0),0)</f>
        <v>0</v>
      </c>
      <c r="L227" s="72">
        <f>IF(INDEX('TT Around time'!$A$1:$F$46,MATCH($A227,'TT Around time'!$A:$A,0),6)&gt;='Discount Scheme Target'!$I$4,_xlfn.XLOOKUP(Workings!$E227,'Discount Scheme Target'!$B:$B,'Discount Scheme Target'!$I:$I,0,0),0)</f>
        <v>5.0000000000000001E-3</v>
      </c>
      <c r="M227" s="72">
        <f t="shared" si="33"/>
        <v>3.4999999999999996E-2</v>
      </c>
      <c r="N227" s="62">
        <f t="shared" si="40"/>
        <v>92379.402499999967</v>
      </c>
      <c r="T227" s="61">
        <f t="shared" si="34"/>
        <v>79182.344999999987</v>
      </c>
      <c r="U227" s="61">
        <f t="shared" si="35"/>
        <v>0</v>
      </c>
      <c r="V227" s="61">
        <f t="shared" si="36"/>
        <v>0</v>
      </c>
      <c r="W227" s="61">
        <f t="shared" si="37"/>
        <v>13197.057499999997</v>
      </c>
      <c r="X227" s="61">
        <f t="shared" si="38"/>
        <v>92379.402499999982</v>
      </c>
      <c r="Y227" s="61">
        <f t="shared" si="39"/>
        <v>0</v>
      </c>
    </row>
    <row r="228" spans="1:25" x14ac:dyDescent="0.25">
      <c r="A228" s="51">
        <v>2010905029</v>
      </c>
      <c r="B228" s="51" t="s">
        <v>91</v>
      </c>
      <c r="C228" s="51" t="s">
        <v>145</v>
      </c>
      <c r="D228" s="51" t="s">
        <v>141</v>
      </c>
      <c r="E228" s="51" t="s">
        <v>161</v>
      </c>
      <c r="F228" s="52">
        <f>SUMIF('Customer Budget Per Category'!$A:$A,$A228,'Customer Budget Per Category'!$K:$K)</f>
        <v>0</v>
      </c>
      <c r="G228" s="52">
        <f>SUMIFS('Navision sales Dump'!$E:$E,'Navision sales Dump'!$K:$K,$E228,'Navision sales Dump'!$A:$A,$A228)</f>
        <v>0</v>
      </c>
      <c r="H228" s="62">
        <f>SUMIFS('Navision sales Dump'!$G:$G,'Navision sales Dump'!$K:$K,$E228,'Navision sales Dump'!$A:$A,$A228)</f>
        <v>0</v>
      </c>
      <c r="I228" s="72">
        <f>IFERROR(IF(($G228/$F228)&gt;='Discount Scheme Target'!$F$4,_xlfn.XLOOKUP($E228,'Discount Scheme Target'!$B:$B,'Discount Scheme Target'!$F:$F,0,0),IF(($G228/$F228)&gt;='Discount Scheme Target'!$E$4,_xlfn.XLOOKUP($E228,'Discount Scheme Target'!$B:$B,'Discount Scheme Target'!$E:$E,0,0),IF(($G228/$F228)&gt;='Discount Scheme Target'!$D$4,_xlfn.XLOOKUP($E228,'Discount Scheme Target'!$B:$B,'Discount Scheme Target'!$D:$D,0,0),0))),0)</f>
        <v>0</v>
      </c>
      <c r="J228" s="72">
        <f>IF(SUMIF('Customer Num Distr.'!$A:$A,Workings!$A228,'Customer Num Distr.'!$E:$E)&gt;='Discount Scheme Target'!$G$4,_xlfn.XLOOKUP(Workings!$E228,'Discount Scheme Target'!$B:$B,'Discount Scheme Target'!$G:$G,0,0),0)</f>
        <v>0</v>
      </c>
      <c r="K228" s="72">
        <f>IF(SUMIF('Bouclage EG Cust Cons_Decons'!$A:$A,Workings!$A228,'Bouclage EG Cust Cons_Decons'!$F:$F)&gt;='Discount Scheme Target'!$H$4,_xlfn.XLOOKUP(Workings!$E228,'Discount Scheme Target'!$B:$B,'Discount Scheme Target'!$H:$H,0,0),0)</f>
        <v>0</v>
      </c>
      <c r="L228" s="72">
        <f>IF(INDEX('TT Around time'!$A$1:$F$46,MATCH($A228,'TT Around time'!$A:$A,0),6)&gt;='Discount Scheme Target'!$I$4,_xlfn.XLOOKUP(Workings!$E228,'Discount Scheme Target'!$B:$B,'Discount Scheme Target'!$I:$I,0,0),0)</f>
        <v>0</v>
      </c>
      <c r="M228" s="72">
        <f t="shared" si="33"/>
        <v>0</v>
      </c>
      <c r="N228" s="62">
        <f t="shared" si="40"/>
        <v>0</v>
      </c>
      <c r="T228" s="61">
        <f t="shared" si="34"/>
        <v>0</v>
      </c>
      <c r="U228" s="61">
        <f t="shared" si="35"/>
        <v>0</v>
      </c>
      <c r="V228" s="61">
        <f t="shared" si="36"/>
        <v>0</v>
      </c>
      <c r="W228" s="61">
        <f t="shared" si="37"/>
        <v>0</v>
      </c>
      <c r="X228" s="61">
        <f t="shared" si="38"/>
        <v>0</v>
      </c>
      <c r="Y228" s="61">
        <f t="shared" si="39"/>
        <v>0</v>
      </c>
    </row>
    <row r="229" spans="1:25" x14ac:dyDescent="0.25">
      <c r="A229" s="51">
        <v>2010905029</v>
      </c>
      <c r="B229" s="51" t="s">
        <v>91</v>
      </c>
      <c r="C229" s="51" t="s">
        <v>145</v>
      </c>
      <c r="D229" s="51" t="s">
        <v>141</v>
      </c>
      <c r="E229" s="51" t="s">
        <v>354</v>
      </c>
      <c r="F229" s="52">
        <f>SUMIF('Customer Budget Per Category'!$A:$A,$A229,'Customer Budget Per Category'!$L:$L)</f>
        <v>2789</v>
      </c>
      <c r="G229" s="52">
        <f>SUMIFS('Navision sales Dump'!$E:$E,'Navision sales Dump'!$K:$K,$E229,'Navision sales Dump'!$A:$A,$A229)</f>
        <v>863</v>
      </c>
      <c r="H229" s="62">
        <f>SUMIFS('Navision sales Dump'!$G:$G,'Navision sales Dump'!$K:$K,$E229,'Navision sales Dump'!$A:$A,$A229)</f>
        <v>2988973.4</v>
      </c>
      <c r="I229" s="72">
        <f>IFERROR(IF(($G229/$F229)&gt;='Discount Scheme Target'!$F$4,_xlfn.XLOOKUP($E229,'Discount Scheme Target'!$B:$B,'Discount Scheme Target'!$F:$F,0,0),IF(($G229/$F229)&gt;='Discount Scheme Target'!$E$4,_xlfn.XLOOKUP($E229,'Discount Scheme Target'!$B:$B,'Discount Scheme Target'!$E:$E,0,0),IF(($G229/$F229)&gt;='Discount Scheme Target'!$D$4,_xlfn.XLOOKUP($E229,'Discount Scheme Target'!$B:$B,'Discount Scheme Target'!$D:$D,0,0),0))),0)</f>
        <v>0</v>
      </c>
      <c r="J229" s="72">
        <f>IF(SUMIF('Customer Num Distr.'!$A:$A,Workings!$A229,'Customer Num Distr.'!$E:$E)&gt;='Discount Scheme Target'!$G$4,_xlfn.XLOOKUP(Workings!$E229,'Discount Scheme Target'!$B:$B,'Discount Scheme Target'!$G:$G,0,0),0)</f>
        <v>0</v>
      </c>
      <c r="K229" s="72">
        <f>IF(SUMIF('Bouclage EG Cust Cons_Decons'!$A:$A,Workings!$A229,'Bouclage EG Cust Cons_Decons'!$F:$F)&gt;='Discount Scheme Target'!$H$4,_xlfn.XLOOKUP(Workings!$E229,'Discount Scheme Target'!$B:$B,'Discount Scheme Target'!$H:$H,0,0),0)</f>
        <v>0</v>
      </c>
      <c r="L229" s="72">
        <f>IF(INDEX('TT Around time'!$A$1:$F$46,MATCH($A229,'TT Around time'!$A:$A,0),6)&gt;='Discount Scheme Target'!$I$4,_xlfn.XLOOKUP(Workings!$E229,'Discount Scheme Target'!$B:$B,'Discount Scheme Target'!$I:$I,0,0),0)</f>
        <v>5.0000000000000001E-3</v>
      </c>
      <c r="M229" s="72">
        <f t="shared" si="33"/>
        <v>5.0000000000000001E-3</v>
      </c>
      <c r="N229" s="62">
        <f t="shared" si="40"/>
        <v>48298.069597914247</v>
      </c>
      <c r="T229" s="61">
        <f t="shared" si="34"/>
        <v>0</v>
      </c>
      <c r="U229" s="61">
        <f t="shared" si="35"/>
        <v>0</v>
      </c>
      <c r="V229" s="61">
        <f t="shared" si="36"/>
        <v>0</v>
      </c>
      <c r="W229" s="61">
        <f t="shared" si="37"/>
        <v>48298.069597914247</v>
      </c>
      <c r="X229" s="61">
        <f t="shared" si="38"/>
        <v>48298.069597914247</v>
      </c>
      <c r="Y229" s="61">
        <f t="shared" si="39"/>
        <v>0</v>
      </c>
    </row>
    <row r="230" spans="1:25" x14ac:dyDescent="0.25">
      <c r="A230" s="51">
        <v>2010905029</v>
      </c>
      <c r="B230" s="51" t="s">
        <v>91</v>
      </c>
      <c r="C230" s="51" t="s">
        <v>145</v>
      </c>
      <c r="D230" s="51" t="s">
        <v>141</v>
      </c>
      <c r="E230" s="51" t="s">
        <v>355</v>
      </c>
      <c r="F230" s="52">
        <f>SUMIF('Customer Budget Per Category'!$A:$A,$A230,'Customer Budget Per Category'!$M:$M)</f>
        <v>1695</v>
      </c>
      <c r="G230" s="52">
        <f>SUMIFS('Navision sales Dump'!$E:$E,'Navision sales Dump'!$K:$K,$E230,'Navision sales Dump'!$A:$A,$A230)</f>
        <v>143</v>
      </c>
      <c r="H230" s="62">
        <f>SUMIFS('Navision sales Dump'!$G:$G,'Navision sales Dump'!$K:$K,$E230,'Navision sales Dump'!$A:$A,$A230)</f>
        <v>345603.81999999995</v>
      </c>
      <c r="I230" s="72">
        <f>IFERROR(IF(($G230/$F230)&gt;='Discount Scheme Target'!$F$4,_xlfn.XLOOKUP($E230,'Discount Scheme Target'!$B:$B,'Discount Scheme Target'!$F:$F,0,0),IF(($G230/$F230)&gt;='Discount Scheme Target'!$E$4,_xlfn.XLOOKUP($E230,'Discount Scheme Target'!$B:$B,'Discount Scheme Target'!$E:$E,0,0),IF(($G230/$F230)&gt;='Discount Scheme Target'!$D$4,_xlfn.XLOOKUP($E230,'Discount Scheme Target'!$B:$B,'Discount Scheme Target'!$D:$D,0,0),0))),0)</f>
        <v>0</v>
      </c>
      <c r="J230" s="72">
        <f>IF(SUMIF('Customer Num Distr.'!$A:$A,Workings!$A230,'Customer Num Distr.'!$E:$E)&gt;='Discount Scheme Target'!$G$4,_xlfn.XLOOKUP(Workings!$E230,'Discount Scheme Target'!$B:$B,'Discount Scheme Target'!$G:$G,0,0),0)</f>
        <v>0</v>
      </c>
      <c r="K230" s="72">
        <f>IF(SUMIF('Bouclage EG Cust Cons_Decons'!$A:$A,Workings!$A230,'Bouclage EG Cust Cons_Decons'!$F:$F)&gt;='Discount Scheme Target'!$H$4,_xlfn.XLOOKUP(Workings!$E230,'Discount Scheme Target'!$B:$B,'Discount Scheme Target'!$H:$H,0,0),0)</f>
        <v>0</v>
      </c>
      <c r="L230" s="72">
        <f>IF(INDEX('TT Around time'!$A$1:$F$46,MATCH($A230,'TT Around time'!$A:$A,0),6)&gt;='Discount Scheme Target'!$I$4,_xlfn.XLOOKUP(Workings!$E230,'Discount Scheme Target'!$B:$B,'Discount Scheme Target'!$I:$I,0,0),0)</f>
        <v>5.0000000000000001E-3</v>
      </c>
      <c r="M230" s="72">
        <f t="shared" si="33"/>
        <v>5.0000000000000001E-3</v>
      </c>
      <c r="N230" s="62">
        <f t="shared" si="40"/>
        <v>20482.464157342652</v>
      </c>
      <c r="T230" s="61">
        <f t="shared" si="34"/>
        <v>0</v>
      </c>
      <c r="U230" s="61">
        <f t="shared" si="35"/>
        <v>0</v>
      </c>
      <c r="V230" s="61">
        <f t="shared" si="36"/>
        <v>0</v>
      </c>
      <c r="W230" s="61">
        <f t="shared" si="37"/>
        <v>20482.464157342652</v>
      </c>
      <c r="X230" s="61">
        <f t="shared" si="38"/>
        <v>20482.464157342652</v>
      </c>
      <c r="Y230" s="61">
        <f t="shared" si="39"/>
        <v>0</v>
      </c>
    </row>
    <row r="231" spans="1:25" x14ac:dyDescent="0.25">
      <c r="A231" s="51">
        <v>2010905029</v>
      </c>
      <c r="B231" s="51" t="s">
        <v>91</v>
      </c>
      <c r="C231" s="51" t="s">
        <v>145</v>
      </c>
      <c r="D231" s="51" t="s">
        <v>141</v>
      </c>
      <c r="E231" s="51" t="s">
        <v>132</v>
      </c>
      <c r="F231" s="52">
        <f>SUMIF('Customer Budget Per Category'!$A:$A,$A231,'Customer Budget Per Category'!$N:$N)</f>
        <v>605</v>
      </c>
      <c r="G231" s="52">
        <f>SUMIFS('Navision sales Dump'!$E:$E,'Navision sales Dump'!$K:$K,$E231,'Navision sales Dump'!$A:$A,$A231)</f>
        <v>288</v>
      </c>
      <c r="H231" s="62">
        <f>SUMIFS('Navision sales Dump'!$G:$G,'Navision sales Dump'!$K:$K,$E231,'Navision sales Dump'!$A:$A,$A231)</f>
        <v>628531.19999999995</v>
      </c>
      <c r="I231" s="72">
        <f>IFERROR(IF(($G231/$F231)&gt;='Discount Scheme Target'!$F$4,_xlfn.XLOOKUP($E231,'Discount Scheme Target'!$B:$B,'Discount Scheme Target'!$F:$F,0,0),IF(($G231/$F231)&gt;='Discount Scheme Target'!$E$4,_xlfn.XLOOKUP($E231,'Discount Scheme Target'!$B:$B,'Discount Scheme Target'!$E:$E,0,0),IF(($G231/$F231)&gt;='Discount Scheme Target'!$D$4,_xlfn.XLOOKUP($E231,'Discount Scheme Target'!$B:$B,'Discount Scheme Target'!$D:$D,0,0),0))),0)</f>
        <v>0</v>
      </c>
      <c r="J231" s="72">
        <f>IF(SUMIF('Customer Num Distr.'!$A:$A,Workings!$A231,'Customer Num Distr.'!$E:$E)&gt;='Discount Scheme Target'!$G$4,_xlfn.XLOOKUP(Workings!$E231,'Discount Scheme Target'!$B:$B,'Discount Scheme Target'!$G:$G,0,0),0)</f>
        <v>0</v>
      </c>
      <c r="K231" s="72">
        <f>IF(SUMIF('Bouclage EG Cust Cons_Decons'!$A:$A,Workings!$A231,'Bouclage EG Cust Cons_Decons'!$F:$F)&gt;='Discount Scheme Target'!$H$4,_xlfn.XLOOKUP(Workings!$E231,'Discount Scheme Target'!$B:$B,'Discount Scheme Target'!$H:$H,0,0),0)</f>
        <v>0</v>
      </c>
      <c r="L231" s="72">
        <f>IF(INDEX('TT Around time'!$A$1:$F$46,MATCH($A231,'TT Around time'!$A:$A,0),6)&gt;='Discount Scheme Target'!$I$4,_xlfn.XLOOKUP(Workings!$E231,'Discount Scheme Target'!$B:$B,'Discount Scheme Target'!$I:$I,0,0),0)</f>
        <v>5.0000000000000001E-3</v>
      </c>
      <c r="M231" s="72">
        <f t="shared" si="33"/>
        <v>5.0000000000000001E-3</v>
      </c>
      <c r="N231" s="62">
        <f t="shared" si="40"/>
        <v>6601.7599999999993</v>
      </c>
      <c r="T231" s="61">
        <f t="shared" si="34"/>
        <v>0</v>
      </c>
      <c r="U231" s="61">
        <f t="shared" si="35"/>
        <v>0</v>
      </c>
      <c r="V231" s="61">
        <f t="shared" si="36"/>
        <v>0</v>
      </c>
      <c r="W231" s="61">
        <f t="shared" si="37"/>
        <v>6601.7599999999993</v>
      </c>
      <c r="X231" s="61">
        <f t="shared" si="38"/>
        <v>6601.7599999999993</v>
      </c>
      <c r="Y231" s="61">
        <f t="shared" si="39"/>
        <v>0</v>
      </c>
    </row>
    <row r="232" spans="1:25" x14ac:dyDescent="0.25">
      <c r="A232" s="51">
        <v>2010905029</v>
      </c>
      <c r="B232" s="51" t="s">
        <v>91</v>
      </c>
      <c r="C232" s="51" t="s">
        <v>145</v>
      </c>
      <c r="D232" s="51" t="s">
        <v>141</v>
      </c>
      <c r="E232" s="51" t="s">
        <v>133</v>
      </c>
      <c r="F232" s="52">
        <f>SUMIF('Customer Budget Per Category'!$A:$A,$A232,'Customer Budget Per Category'!$O:$O)</f>
        <v>419.98689855498117</v>
      </c>
      <c r="G232" s="52">
        <f>SUMIFS('Navision sales Dump'!$E:$E,'Navision sales Dump'!$K:$K,$E232,'Navision sales Dump'!$A:$A,$A232)</f>
        <v>933</v>
      </c>
      <c r="H232" s="62">
        <f>SUMIFS('Navision sales Dump'!$G:$G,'Navision sales Dump'!$K:$K,$E232,'Navision sales Dump'!$A:$A,$A232)</f>
        <v>9355545.540000001</v>
      </c>
      <c r="I232" s="72">
        <f>IFERROR(IF(($G232/$F232)&gt;='Discount Scheme Target'!$F$4,_xlfn.XLOOKUP($E232,'Discount Scheme Target'!$B:$B,'Discount Scheme Target'!$F:$F,0,0),IF(($G232/$F232)&gt;='Discount Scheme Target'!$E$4,_xlfn.XLOOKUP($E232,'Discount Scheme Target'!$B:$B,'Discount Scheme Target'!$E:$E,0,0),IF(($G232/$F232)&gt;='Discount Scheme Target'!$D$4,_xlfn.XLOOKUP($E232,'Discount Scheme Target'!$B:$B,'Discount Scheme Target'!$D:$D,0,0),0))),0)</f>
        <v>0.04</v>
      </c>
      <c r="J232" s="72">
        <f>IF(SUMIF('Customer Num Distr.'!$A:$A,Workings!$A232,'Customer Num Distr.'!$E:$E)&gt;='Discount Scheme Target'!$G$4,_xlfn.XLOOKUP(Workings!$E232,'Discount Scheme Target'!$B:$B,'Discount Scheme Target'!$G:$G,0,0),0)</f>
        <v>0</v>
      </c>
      <c r="K232" s="72">
        <f>IF(SUMIF('Bouclage EG Cust Cons_Decons'!$A:$A,Workings!$A232,'Bouclage EG Cust Cons_Decons'!$F:$F)&gt;='Discount Scheme Target'!$H$4,_xlfn.XLOOKUP(Workings!$E232,'Discount Scheme Target'!$B:$B,'Discount Scheme Target'!$H:$H,0,0),0)</f>
        <v>0</v>
      </c>
      <c r="L232" s="72">
        <f>IF(INDEX('TT Around time'!$A$1:$F$46,MATCH($A232,'TT Around time'!$A:$A,0),6)&gt;='Discount Scheme Target'!$I$4,_xlfn.XLOOKUP(Workings!$E232,'Discount Scheme Target'!$B:$B,'Discount Scheme Target'!$I:$I,0,0),0)</f>
        <v>5.0000000000000001E-3</v>
      </c>
      <c r="M232" s="72">
        <f t="shared" si="33"/>
        <v>4.4999999999999998E-2</v>
      </c>
      <c r="N232" s="62">
        <f t="shared" si="40"/>
        <v>189511.57020745112</v>
      </c>
      <c r="T232" s="61">
        <f t="shared" si="34"/>
        <v>168454.7290732899</v>
      </c>
      <c r="U232" s="61">
        <f t="shared" si="35"/>
        <v>0</v>
      </c>
      <c r="V232" s="61">
        <f t="shared" si="36"/>
        <v>0</v>
      </c>
      <c r="W232" s="61">
        <f t="shared" si="37"/>
        <v>21056.841134161237</v>
      </c>
      <c r="X232" s="61">
        <f t="shared" si="38"/>
        <v>189511.57020745112</v>
      </c>
      <c r="Y232" s="61">
        <f t="shared" si="39"/>
        <v>0</v>
      </c>
    </row>
    <row r="233" spans="1:25" x14ac:dyDescent="0.25">
      <c r="A233" s="51">
        <v>2013910053</v>
      </c>
      <c r="B233" s="51" t="s">
        <v>93</v>
      </c>
      <c r="C233" s="51" t="s">
        <v>145</v>
      </c>
      <c r="D233" s="51" t="s">
        <v>141</v>
      </c>
      <c r="E233" s="51" t="s">
        <v>417</v>
      </c>
      <c r="F233" s="52">
        <f>SUMIF('Customer Budget Per Category'!$A:$A,$A233,'Customer Budget Per Category'!$E:$E)</f>
        <v>8112</v>
      </c>
      <c r="G233" s="52">
        <f>SUMIFS('Navision sales Dump'!$E:$E,'Navision sales Dump'!$K:$K,$E233,'Navision sales Dump'!$A:$A,$A233)</f>
        <v>6895</v>
      </c>
      <c r="H233" s="62">
        <f>SUMIFS('Navision sales Dump'!$G:$G,'Navision sales Dump'!$K:$K,$E233,'Navision sales Dump'!$A:$A,$A233)</f>
        <v>50676821.949999996</v>
      </c>
      <c r="I233" s="72">
        <f>IFERROR(IF(($G233/$F233)&gt;='Discount Scheme Target'!$F$4,_xlfn.XLOOKUP($E233,'Discount Scheme Target'!$B:$B,'Discount Scheme Target'!$F:$F,0,0),IF(($G233/$F233)&gt;='Discount Scheme Target'!$E$4,_xlfn.XLOOKUP($E233,'Discount Scheme Target'!$B:$B,'Discount Scheme Target'!$E:$E,0,0),IF(($G233/$F233)&gt;='Discount Scheme Target'!$D$4,_xlfn.XLOOKUP($E233,'Discount Scheme Target'!$B:$B,'Discount Scheme Target'!$D:$D,0,0),0))),0)</f>
        <v>0</v>
      </c>
      <c r="J233" s="72">
        <f>IF(SUMIF('Customer Num Distr.'!$A:$A,Workings!$A233,'Customer Num Distr.'!$E:$E)&gt;='Discount Scheme Target'!$G$4,_xlfn.XLOOKUP(Workings!$E233,'Discount Scheme Target'!$B:$B,'Discount Scheme Target'!$G:$G,0,0),0)</f>
        <v>0</v>
      </c>
      <c r="K233" s="72">
        <f>IF(SUMIF('Bouclage EG Cust Cons_Decons'!$A:$A,Workings!$A233,'Bouclage EG Cust Cons_Decons'!$F:$F)&gt;='Discount Scheme Target'!$H$4,_xlfn.XLOOKUP(Workings!$E233,'Discount Scheme Target'!$B:$B,'Discount Scheme Target'!$H:$H,0,0),0)</f>
        <v>0</v>
      </c>
      <c r="L233" s="72">
        <f>IF(INDEX('TT Around time'!$A$1:$F$46,MATCH($A233,'TT Around time'!$A:$A,0),6)&gt;='Discount Scheme Target'!$I$4,_xlfn.XLOOKUP(Workings!$E233,'Discount Scheme Target'!$B:$B,'Discount Scheme Target'!$I:$I,0,0),0)</f>
        <v>0.01</v>
      </c>
      <c r="M233" s="72">
        <f t="shared" si="33"/>
        <v>0.01</v>
      </c>
      <c r="N233" s="62">
        <f t="shared" si="40"/>
        <v>596215.19892443798</v>
      </c>
      <c r="T233" s="61">
        <f t="shared" si="34"/>
        <v>0</v>
      </c>
      <c r="U233" s="61">
        <f t="shared" si="35"/>
        <v>0</v>
      </c>
      <c r="V233" s="61">
        <f t="shared" si="36"/>
        <v>0</v>
      </c>
      <c r="W233" s="61">
        <f t="shared" si="37"/>
        <v>596215.19892443798</v>
      </c>
      <c r="X233" s="61">
        <f t="shared" si="38"/>
        <v>596215.19892443798</v>
      </c>
      <c r="Y233" s="61">
        <f t="shared" si="39"/>
        <v>0</v>
      </c>
    </row>
    <row r="234" spans="1:25" x14ac:dyDescent="0.25">
      <c r="A234" s="51">
        <v>2013910053</v>
      </c>
      <c r="B234" s="51" t="s">
        <v>93</v>
      </c>
      <c r="C234" s="51" t="s">
        <v>145</v>
      </c>
      <c r="D234" s="51" t="s">
        <v>141</v>
      </c>
      <c r="E234" s="51" t="s">
        <v>418</v>
      </c>
      <c r="F234" s="52">
        <f>SUMIF('Customer Budget Per Category'!$A:$A,$A234,'Customer Budget Per Category'!$F:$F)</f>
        <v>0</v>
      </c>
      <c r="G234" s="52">
        <f>SUMIFS('Navision sales Dump'!$E:$E,'Navision sales Dump'!$K:$K,$E234,'Navision sales Dump'!$A:$A,$A234)</f>
        <v>0</v>
      </c>
      <c r="H234" s="62">
        <f>SUMIFS('Navision sales Dump'!$G:$G,'Navision sales Dump'!$K:$K,$E234,'Navision sales Dump'!$A:$A,$A234)</f>
        <v>0</v>
      </c>
      <c r="I234" s="72">
        <f>IFERROR(IF(($G234/$F234)&gt;='Discount Scheme Target'!$F$4,_xlfn.XLOOKUP($E234,'Discount Scheme Target'!$B:$B,'Discount Scheme Target'!$F:$F,0,0),IF(($G234/$F234)&gt;='Discount Scheme Target'!$E$4,_xlfn.XLOOKUP($E234,'Discount Scheme Target'!$B:$B,'Discount Scheme Target'!$E:$E,0,0),IF(($G234/$F234)&gt;='Discount Scheme Target'!$D$4,_xlfn.XLOOKUP($E234,'Discount Scheme Target'!$B:$B,'Discount Scheme Target'!$D:$D,0,0),0))),0)</f>
        <v>0</v>
      </c>
      <c r="J234" s="72">
        <f>IF(SUMIF('Customer Num Distr.'!$A:$A,Workings!$A234,'Customer Num Distr.'!$E:$E)&gt;='Discount Scheme Target'!$G$4,_xlfn.XLOOKUP(Workings!$E234,'Discount Scheme Target'!$B:$B,'Discount Scheme Target'!$G:$G,0,0),0)</f>
        <v>0</v>
      </c>
      <c r="K234" s="72">
        <f>IF(SUMIF('Bouclage EG Cust Cons_Decons'!$A:$A,Workings!$A234,'Bouclage EG Cust Cons_Decons'!$F:$F)&gt;='Discount Scheme Target'!$H$4,_xlfn.XLOOKUP(Workings!$E234,'Discount Scheme Target'!$B:$B,'Discount Scheme Target'!$H:$H,0,0),0)</f>
        <v>0</v>
      </c>
      <c r="L234" s="72">
        <f>IF(INDEX('TT Around time'!$A$1:$F$46,MATCH($A234,'TT Around time'!$A:$A,0),6)&gt;='Discount Scheme Target'!$I$4,_xlfn.XLOOKUP(Workings!$E234,'Discount Scheme Target'!$B:$B,'Discount Scheme Target'!$I:$I,0,0),0)</f>
        <v>0</v>
      </c>
      <c r="M234" s="72">
        <f t="shared" si="33"/>
        <v>0</v>
      </c>
      <c r="N234" s="62">
        <f t="shared" si="40"/>
        <v>0</v>
      </c>
      <c r="T234" s="61">
        <f t="shared" si="34"/>
        <v>0</v>
      </c>
      <c r="U234" s="61">
        <f t="shared" si="35"/>
        <v>0</v>
      </c>
      <c r="V234" s="61">
        <f t="shared" si="36"/>
        <v>0</v>
      </c>
      <c r="W234" s="61">
        <f t="shared" si="37"/>
        <v>0</v>
      </c>
      <c r="X234" s="61">
        <f t="shared" si="38"/>
        <v>0</v>
      </c>
      <c r="Y234" s="61">
        <f t="shared" si="39"/>
        <v>0</v>
      </c>
    </row>
    <row r="235" spans="1:25" x14ac:dyDescent="0.25">
      <c r="A235" s="51">
        <v>2013910053</v>
      </c>
      <c r="B235" s="51" t="s">
        <v>93</v>
      </c>
      <c r="C235" s="51" t="s">
        <v>145</v>
      </c>
      <c r="D235" s="51" t="s">
        <v>141</v>
      </c>
      <c r="E235" s="51" t="s">
        <v>130</v>
      </c>
      <c r="F235" s="52">
        <f>SUMIF('Customer Budget Per Category'!$A:$A,$A235,'Customer Budget Per Category'!$G:$G)</f>
        <v>205</v>
      </c>
      <c r="G235" s="52">
        <f>SUMIFS('Navision sales Dump'!$E:$E,'Navision sales Dump'!$K:$K,$E235,'Navision sales Dump'!$A:$A,$A235)</f>
        <v>216</v>
      </c>
      <c r="H235" s="62">
        <f>SUMIFS('Navision sales Dump'!$G:$G,'Navision sales Dump'!$K:$K,$E235,'Navision sales Dump'!$A:$A,$A235)</f>
        <v>1668669.12</v>
      </c>
      <c r="I235" s="72">
        <f>IFERROR(IF(($G235/$F235)&gt;='Discount Scheme Target'!$F$4,_xlfn.XLOOKUP($E235,'Discount Scheme Target'!$B:$B,'Discount Scheme Target'!$F:$F,0,0),IF(($G235/$F235)&gt;='Discount Scheme Target'!$E$4,_xlfn.XLOOKUP($E235,'Discount Scheme Target'!$B:$B,'Discount Scheme Target'!$E:$E,0,0),IF(($G235/$F235)&gt;='Discount Scheme Target'!$D$4,_xlfn.XLOOKUP($E235,'Discount Scheme Target'!$B:$B,'Discount Scheme Target'!$D:$D,0,0),0))),0)</f>
        <v>3.5000000000000003E-2</v>
      </c>
      <c r="J235" s="72">
        <f>IF(SUMIF('Customer Num Distr.'!$A:$A,Workings!$A235,'Customer Num Distr.'!$E:$E)&gt;='Discount Scheme Target'!$G$4,_xlfn.XLOOKUP(Workings!$E235,'Discount Scheme Target'!$B:$B,'Discount Scheme Target'!$G:$G,0,0),0)</f>
        <v>0</v>
      </c>
      <c r="K235" s="72">
        <f>IF(SUMIF('Bouclage EG Cust Cons_Decons'!$A:$A,Workings!$A235,'Bouclage EG Cust Cons_Decons'!$F:$F)&gt;='Discount Scheme Target'!$H$4,_xlfn.XLOOKUP(Workings!$E235,'Discount Scheme Target'!$B:$B,'Discount Scheme Target'!$H:$H,0,0),0)</f>
        <v>0</v>
      </c>
      <c r="L235" s="72">
        <f>IF(INDEX('TT Around time'!$A$1:$F$46,MATCH($A235,'TT Around time'!$A:$A,0),6)&gt;='Discount Scheme Target'!$I$4,_xlfn.XLOOKUP(Workings!$E235,'Discount Scheme Target'!$B:$B,'Discount Scheme Target'!$I:$I,0,0),0)</f>
        <v>0.01</v>
      </c>
      <c r="M235" s="72">
        <f t="shared" si="33"/>
        <v>4.5000000000000005E-2</v>
      </c>
      <c r="N235" s="62">
        <f t="shared" si="40"/>
        <v>71266.077000000019</v>
      </c>
      <c r="T235" s="61">
        <f t="shared" si="34"/>
        <v>55429.171000000009</v>
      </c>
      <c r="U235" s="61">
        <f t="shared" si="35"/>
        <v>0</v>
      </c>
      <c r="V235" s="61">
        <f t="shared" si="36"/>
        <v>0</v>
      </c>
      <c r="W235" s="61">
        <f t="shared" si="37"/>
        <v>15836.906000000001</v>
      </c>
      <c r="X235" s="61">
        <f t="shared" si="38"/>
        <v>71266.077000000005</v>
      </c>
      <c r="Y235" s="61">
        <f t="shared" si="39"/>
        <v>0</v>
      </c>
    </row>
    <row r="236" spans="1:25" x14ac:dyDescent="0.25">
      <c r="A236" s="51">
        <v>2013910053</v>
      </c>
      <c r="B236" s="51" t="s">
        <v>93</v>
      </c>
      <c r="C236" s="51" t="s">
        <v>145</v>
      </c>
      <c r="D236" s="51" t="s">
        <v>141</v>
      </c>
      <c r="E236" s="51" t="s">
        <v>131</v>
      </c>
      <c r="F236" s="52">
        <f>SUMIF('Customer Budget Per Category'!$A:$A,$A236,'Customer Budget Per Category'!$H:$H)</f>
        <v>123</v>
      </c>
      <c r="G236" s="52">
        <f>SUMIFS('Navision sales Dump'!$E:$E,'Navision sales Dump'!$K:$K,$E236,'Navision sales Dump'!$A:$A,$A236)</f>
        <v>139</v>
      </c>
      <c r="H236" s="62">
        <f>SUMIFS('Navision sales Dump'!$G:$G,'Navision sales Dump'!$K:$K,$E236,'Navision sales Dump'!$A:$A,$A236)</f>
        <v>5636610.5099999998</v>
      </c>
      <c r="I236" s="72">
        <f>IFERROR(IF(($G236/$F236)&gt;='Discount Scheme Target'!$F$4,_xlfn.XLOOKUP($E236,'Discount Scheme Target'!$B:$B,'Discount Scheme Target'!$F:$F,0,0),IF(($G236/$F236)&gt;='Discount Scheme Target'!$E$4,_xlfn.XLOOKUP($E236,'Discount Scheme Target'!$B:$B,'Discount Scheme Target'!$E:$E,0,0),IF(($G236/$F236)&gt;='Discount Scheme Target'!$D$4,_xlfn.XLOOKUP($E236,'Discount Scheme Target'!$B:$B,'Discount Scheme Target'!$D:$D,0,0),0))),0)</f>
        <v>0.03</v>
      </c>
      <c r="J236" s="72">
        <f>IF(SUMIF('Customer Num Distr.'!$A:$A,Workings!$A236,'Customer Num Distr.'!$E:$E)&gt;='Discount Scheme Target'!$G$4,_xlfn.XLOOKUP(Workings!$E236,'Discount Scheme Target'!$B:$B,'Discount Scheme Target'!$G:$G,0,0),0)</f>
        <v>0</v>
      </c>
      <c r="K236" s="72">
        <f>IF(SUMIF('Bouclage EG Cust Cons_Decons'!$A:$A,Workings!$A236,'Bouclage EG Cust Cons_Decons'!$F:$F)&gt;='Discount Scheme Target'!$H$4,_xlfn.XLOOKUP(Workings!$E236,'Discount Scheme Target'!$B:$B,'Discount Scheme Target'!$H:$H,0,0),0)</f>
        <v>0</v>
      </c>
      <c r="L236" s="72">
        <f>IF(INDEX('TT Around time'!$A$1:$F$46,MATCH($A236,'TT Around time'!$A:$A,0),6)&gt;='Discount Scheme Target'!$I$4,_xlfn.XLOOKUP(Workings!$E236,'Discount Scheme Target'!$B:$B,'Discount Scheme Target'!$I:$I,0,0),0)</f>
        <v>5.0000000000000001E-3</v>
      </c>
      <c r="M236" s="72">
        <f t="shared" si="33"/>
        <v>3.4999999999999996E-2</v>
      </c>
      <c r="N236" s="62">
        <f t="shared" si="40"/>
        <v>174572.72119100718</v>
      </c>
      <c r="T236" s="61">
        <f t="shared" si="34"/>
        <v>149633.76102086331</v>
      </c>
      <c r="U236" s="61">
        <f t="shared" si="35"/>
        <v>0</v>
      </c>
      <c r="V236" s="61">
        <f t="shared" si="36"/>
        <v>0</v>
      </c>
      <c r="W236" s="61">
        <f t="shared" si="37"/>
        <v>24938.960170143884</v>
      </c>
      <c r="X236" s="61">
        <f t="shared" si="38"/>
        <v>174572.72119100721</v>
      </c>
      <c r="Y236" s="61">
        <f t="shared" si="39"/>
        <v>0</v>
      </c>
    </row>
    <row r="237" spans="1:25" x14ac:dyDescent="0.25">
      <c r="A237" s="51">
        <v>2013910053</v>
      </c>
      <c r="B237" s="51" t="s">
        <v>93</v>
      </c>
      <c r="C237" s="51" t="s">
        <v>145</v>
      </c>
      <c r="D237" s="51" t="s">
        <v>141</v>
      </c>
      <c r="E237" s="51" t="s">
        <v>514</v>
      </c>
      <c r="F237" s="52">
        <f>SUMIF('Customer Budget Per Category'!$A:$A,$A237,'Customer Budget Per Category'!$I:$I)</f>
        <v>4574.2363204678431</v>
      </c>
      <c r="G237" s="52">
        <f>SUMIFS('Navision sales Dump'!$E:$E,'Navision sales Dump'!$K:$K,$E237,'Navision sales Dump'!$A:$A,$A237)</f>
        <v>5468</v>
      </c>
      <c r="H237" s="62">
        <f>SUMIFS('Navision sales Dump'!$G:$G,'Navision sales Dump'!$K:$K,$E237,'Navision sales Dump'!$A:$A,$A237)</f>
        <v>21642508.039999999</v>
      </c>
      <c r="I237" s="72">
        <f>IFERROR(IF(($G237/$F237)&gt;='Discount Scheme Target'!$F$4,_xlfn.XLOOKUP($E237,'Discount Scheme Target'!$B:$B,'Discount Scheme Target'!$F:$F,0,0),IF(($G237/$F237)&gt;='Discount Scheme Target'!$E$4,_xlfn.XLOOKUP($E237,'Discount Scheme Target'!$B:$B,'Discount Scheme Target'!$E:$E,0,0),IF(($G237/$F237)&gt;='Discount Scheme Target'!$D$4,_xlfn.XLOOKUP($E237,'Discount Scheme Target'!$B:$B,'Discount Scheme Target'!$D:$D,0,0),0))),0)</f>
        <v>0.04</v>
      </c>
      <c r="J237" s="72">
        <f>IF(SUMIF('Customer Num Distr.'!$A:$A,Workings!$A237,'Customer Num Distr.'!$E:$E)&gt;='Discount Scheme Target'!$G$4,_xlfn.XLOOKUP(Workings!$E237,'Discount Scheme Target'!$B:$B,'Discount Scheme Target'!$G:$G,0,0),0)</f>
        <v>0</v>
      </c>
      <c r="K237" s="72">
        <f>IF(SUMIF('Bouclage EG Cust Cons_Decons'!$A:$A,Workings!$A237,'Bouclage EG Cust Cons_Decons'!$F:$F)&gt;='Discount Scheme Target'!$H$4,_xlfn.XLOOKUP(Workings!$E237,'Discount Scheme Target'!$B:$B,'Discount Scheme Target'!$H:$H,0,0),0)</f>
        <v>0</v>
      </c>
      <c r="L237" s="72">
        <f>IF(INDEX('TT Around time'!$A$1:$F$46,MATCH($A237,'TT Around time'!$A:$A,0),6)&gt;='Discount Scheme Target'!$I$4,_xlfn.XLOOKUP(Workings!$E237,'Discount Scheme Target'!$B:$B,'Discount Scheme Target'!$I:$I,0,0),0)</f>
        <v>5.0000000000000001E-3</v>
      </c>
      <c r="M237" s="72">
        <f t="shared" si="33"/>
        <v>4.4999999999999998E-2</v>
      </c>
      <c r="N237" s="62">
        <f t="shared" si="40"/>
        <v>814723.40625756001</v>
      </c>
      <c r="T237" s="61">
        <f t="shared" si="34"/>
        <v>724198.58334005345</v>
      </c>
      <c r="U237" s="61">
        <f t="shared" si="35"/>
        <v>0</v>
      </c>
      <c r="V237" s="61">
        <f t="shared" si="36"/>
        <v>0</v>
      </c>
      <c r="W237" s="61">
        <f t="shared" si="37"/>
        <v>90524.822917506681</v>
      </c>
      <c r="X237" s="61">
        <f t="shared" si="38"/>
        <v>814723.40625756013</v>
      </c>
      <c r="Y237" s="61">
        <f t="shared" si="39"/>
        <v>0</v>
      </c>
    </row>
    <row r="238" spans="1:25" x14ac:dyDescent="0.25">
      <c r="A238" s="51">
        <v>2013910053</v>
      </c>
      <c r="B238" s="51" t="s">
        <v>93</v>
      </c>
      <c r="C238" s="51" t="s">
        <v>145</v>
      </c>
      <c r="D238" s="51" t="s">
        <v>141</v>
      </c>
      <c r="E238" s="51" t="s">
        <v>515</v>
      </c>
      <c r="F238" s="52">
        <f>SUMIF('Customer Budget Per Category'!$A:$A,$A238,'Customer Budget Per Category'!$J:$J)</f>
        <v>661.57009151195132</v>
      </c>
      <c r="G238" s="52">
        <f>SUMIFS('Navision sales Dump'!$E:$E,'Navision sales Dump'!$K:$K,$E238,'Navision sales Dump'!$A:$A,$A238)</f>
        <v>0</v>
      </c>
      <c r="H238" s="62">
        <f>SUMIFS('Navision sales Dump'!$G:$G,'Navision sales Dump'!$K:$K,$E238,'Navision sales Dump'!$A:$A,$A238)</f>
        <v>0</v>
      </c>
      <c r="I238" s="72">
        <f>IFERROR(IF(($G238/$F238)&gt;='Discount Scheme Target'!$F$4,_xlfn.XLOOKUP($E238,'Discount Scheme Target'!$B:$B,'Discount Scheme Target'!$F:$F,0,0),IF(($G238/$F238)&gt;='Discount Scheme Target'!$E$4,_xlfn.XLOOKUP($E238,'Discount Scheme Target'!$B:$B,'Discount Scheme Target'!$E:$E,0,0),IF(($G238/$F238)&gt;='Discount Scheme Target'!$D$4,_xlfn.XLOOKUP($E238,'Discount Scheme Target'!$B:$B,'Discount Scheme Target'!$D:$D,0,0),0))),0)</f>
        <v>0</v>
      </c>
      <c r="J238" s="72">
        <f>IF(SUMIF('Customer Num Distr.'!$A:$A,Workings!$A238,'Customer Num Distr.'!$E:$E)&gt;='Discount Scheme Target'!$G$4,_xlfn.XLOOKUP(Workings!$E238,'Discount Scheme Target'!$B:$B,'Discount Scheme Target'!$G:$G,0,0),0)</f>
        <v>0</v>
      </c>
      <c r="K238" s="72">
        <f>IF(SUMIF('Bouclage EG Cust Cons_Decons'!$A:$A,Workings!$A238,'Bouclage EG Cust Cons_Decons'!$F:$F)&gt;='Discount Scheme Target'!$H$4,_xlfn.XLOOKUP(Workings!$E238,'Discount Scheme Target'!$B:$B,'Discount Scheme Target'!$H:$H,0,0),0)</f>
        <v>0</v>
      </c>
      <c r="L238" s="72">
        <f>IF(INDEX('TT Around time'!$A$1:$F$46,MATCH($A238,'TT Around time'!$A:$A,0),6)&gt;='Discount Scheme Target'!$I$4,_xlfn.XLOOKUP(Workings!$E238,'Discount Scheme Target'!$B:$B,'Discount Scheme Target'!$I:$I,0,0),0)</f>
        <v>5.0000000000000001E-3</v>
      </c>
      <c r="M238" s="72">
        <f t="shared" si="33"/>
        <v>5.0000000000000001E-3</v>
      </c>
      <c r="N238" s="62">
        <f t="shared" si="40"/>
        <v>0</v>
      </c>
      <c r="T238" s="61">
        <f t="shared" si="34"/>
        <v>0</v>
      </c>
      <c r="U238" s="61">
        <f t="shared" si="35"/>
        <v>0</v>
      </c>
      <c r="V238" s="61">
        <f t="shared" si="36"/>
        <v>0</v>
      </c>
      <c r="W238" s="61">
        <f t="shared" si="37"/>
        <v>0</v>
      </c>
      <c r="X238" s="61">
        <f t="shared" si="38"/>
        <v>0</v>
      </c>
      <c r="Y238" s="61">
        <f t="shared" si="39"/>
        <v>0</v>
      </c>
    </row>
    <row r="239" spans="1:25" x14ac:dyDescent="0.25">
      <c r="A239" s="51">
        <v>2013910053</v>
      </c>
      <c r="B239" s="51" t="s">
        <v>93</v>
      </c>
      <c r="C239" s="51" t="s">
        <v>145</v>
      </c>
      <c r="D239" s="51" t="s">
        <v>141</v>
      </c>
      <c r="E239" s="51" t="s">
        <v>161</v>
      </c>
      <c r="F239" s="52">
        <f>SUMIF('Customer Budget Per Category'!$A:$A,$A239,'Customer Budget Per Category'!$K:$K)</f>
        <v>0</v>
      </c>
      <c r="G239" s="52">
        <f>SUMIFS('Navision sales Dump'!$E:$E,'Navision sales Dump'!$K:$K,$E239,'Navision sales Dump'!$A:$A,$A239)</f>
        <v>0</v>
      </c>
      <c r="H239" s="62">
        <f>SUMIFS('Navision sales Dump'!$G:$G,'Navision sales Dump'!$K:$K,$E239,'Navision sales Dump'!$A:$A,$A239)</f>
        <v>0</v>
      </c>
      <c r="I239" s="72">
        <f>IFERROR(IF(($G239/$F239)&gt;='Discount Scheme Target'!$F$4,_xlfn.XLOOKUP($E239,'Discount Scheme Target'!$B:$B,'Discount Scheme Target'!$F:$F,0,0),IF(($G239/$F239)&gt;='Discount Scheme Target'!$E$4,_xlfn.XLOOKUP($E239,'Discount Scheme Target'!$B:$B,'Discount Scheme Target'!$E:$E,0,0),IF(($G239/$F239)&gt;='Discount Scheme Target'!$D$4,_xlfn.XLOOKUP($E239,'Discount Scheme Target'!$B:$B,'Discount Scheme Target'!$D:$D,0,0),0))),0)</f>
        <v>0</v>
      </c>
      <c r="J239" s="72">
        <f>IF(SUMIF('Customer Num Distr.'!$A:$A,Workings!$A239,'Customer Num Distr.'!$E:$E)&gt;='Discount Scheme Target'!$G$4,_xlfn.XLOOKUP(Workings!$E239,'Discount Scheme Target'!$B:$B,'Discount Scheme Target'!$G:$G,0,0),0)</f>
        <v>0</v>
      </c>
      <c r="K239" s="72">
        <f>IF(SUMIF('Bouclage EG Cust Cons_Decons'!$A:$A,Workings!$A239,'Bouclage EG Cust Cons_Decons'!$F:$F)&gt;='Discount Scheme Target'!$H$4,_xlfn.XLOOKUP(Workings!$E239,'Discount Scheme Target'!$B:$B,'Discount Scheme Target'!$H:$H,0,0),0)</f>
        <v>0</v>
      </c>
      <c r="L239" s="72">
        <f>IF(INDEX('TT Around time'!$A$1:$F$46,MATCH($A239,'TT Around time'!$A:$A,0),6)&gt;='Discount Scheme Target'!$I$4,_xlfn.XLOOKUP(Workings!$E239,'Discount Scheme Target'!$B:$B,'Discount Scheme Target'!$I:$I,0,0),0)</f>
        <v>0</v>
      </c>
      <c r="M239" s="72">
        <f t="shared" si="33"/>
        <v>0</v>
      </c>
      <c r="N239" s="62">
        <f t="shared" si="40"/>
        <v>0</v>
      </c>
      <c r="T239" s="61">
        <f t="shared" si="34"/>
        <v>0</v>
      </c>
      <c r="U239" s="61">
        <f t="shared" si="35"/>
        <v>0</v>
      </c>
      <c r="V239" s="61">
        <f t="shared" si="36"/>
        <v>0</v>
      </c>
      <c r="W239" s="61">
        <f t="shared" si="37"/>
        <v>0</v>
      </c>
      <c r="X239" s="61">
        <f t="shared" si="38"/>
        <v>0</v>
      </c>
      <c r="Y239" s="61">
        <f t="shared" si="39"/>
        <v>0</v>
      </c>
    </row>
    <row r="240" spans="1:25" x14ac:dyDescent="0.25">
      <c r="A240" s="51">
        <v>2013910053</v>
      </c>
      <c r="B240" s="51" t="s">
        <v>93</v>
      </c>
      <c r="C240" s="51" t="s">
        <v>145</v>
      </c>
      <c r="D240" s="51" t="s">
        <v>141</v>
      </c>
      <c r="E240" s="51" t="s">
        <v>354</v>
      </c>
      <c r="F240" s="52">
        <f>SUMIF('Customer Budget Per Category'!$A:$A,$A240,'Customer Budget Per Category'!$L:$L)</f>
        <v>1765.4039041010778</v>
      </c>
      <c r="G240" s="52">
        <f>SUMIFS('Navision sales Dump'!$E:$E,'Navision sales Dump'!$K:$K,$E240,'Navision sales Dump'!$A:$A,$A240)</f>
        <v>2301</v>
      </c>
      <c r="H240" s="62">
        <f>SUMIFS('Navision sales Dump'!$G:$G,'Navision sales Dump'!$K:$K,$E240,'Navision sales Dump'!$A:$A,$A240)</f>
        <v>7732015.0800000001</v>
      </c>
      <c r="I240" s="72">
        <f>IFERROR(IF(($G240/$F240)&gt;='Discount Scheme Target'!$F$4,_xlfn.XLOOKUP($E240,'Discount Scheme Target'!$B:$B,'Discount Scheme Target'!$F:$F,0,0),IF(($G240/$F240)&gt;='Discount Scheme Target'!$E$4,_xlfn.XLOOKUP($E240,'Discount Scheme Target'!$B:$B,'Discount Scheme Target'!$E:$E,0,0),IF(($G240/$F240)&gt;='Discount Scheme Target'!$D$4,_xlfn.XLOOKUP($E240,'Discount Scheme Target'!$B:$B,'Discount Scheme Target'!$D:$D,0,0),0))),0)</f>
        <v>0.04</v>
      </c>
      <c r="J240" s="72">
        <f>IF(SUMIF('Customer Num Distr.'!$A:$A,Workings!$A240,'Customer Num Distr.'!$E:$E)&gt;='Discount Scheme Target'!$G$4,_xlfn.XLOOKUP(Workings!$E240,'Discount Scheme Target'!$B:$B,'Discount Scheme Target'!$G:$G,0,0),0)</f>
        <v>0</v>
      </c>
      <c r="K240" s="72">
        <f>IF(SUMIF('Bouclage EG Cust Cons_Decons'!$A:$A,Workings!$A240,'Bouclage EG Cust Cons_Decons'!$F:$F)&gt;='Discount Scheme Target'!$H$4,_xlfn.XLOOKUP(Workings!$E240,'Discount Scheme Target'!$B:$B,'Discount Scheme Target'!$H:$H,0,0),0)</f>
        <v>0</v>
      </c>
      <c r="L240" s="72">
        <f>IF(INDEX('TT Around time'!$A$1:$F$46,MATCH($A240,'TT Around time'!$A:$A,0),6)&gt;='Discount Scheme Target'!$I$4,_xlfn.XLOOKUP(Workings!$E240,'Discount Scheme Target'!$B:$B,'Discount Scheme Target'!$I:$I,0,0),0)</f>
        <v>5.0000000000000001E-3</v>
      </c>
      <c r="M240" s="72">
        <f t="shared" si="33"/>
        <v>4.4999999999999998E-2</v>
      </c>
      <c r="N240" s="62">
        <f t="shared" si="40"/>
        <v>266951.68726467551</v>
      </c>
      <c r="T240" s="61">
        <f t="shared" si="34"/>
        <v>237290.38867971156</v>
      </c>
      <c r="U240" s="61">
        <f t="shared" si="35"/>
        <v>0</v>
      </c>
      <c r="V240" s="61">
        <f t="shared" si="36"/>
        <v>0</v>
      </c>
      <c r="W240" s="61">
        <f t="shared" si="37"/>
        <v>29661.298584963944</v>
      </c>
      <c r="X240" s="61">
        <f t="shared" si="38"/>
        <v>266951.68726467551</v>
      </c>
      <c r="Y240" s="61">
        <f t="shared" si="39"/>
        <v>0</v>
      </c>
    </row>
    <row r="241" spans="1:25" x14ac:dyDescent="0.25">
      <c r="A241" s="51">
        <v>2013910053</v>
      </c>
      <c r="B241" s="51" t="s">
        <v>93</v>
      </c>
      <c r="C241" s="51" t="s">
        <v>145</v>
      </c>
      <c r="D241" s="51" t="s">
        <v>141</v>
      </c>
      <c r="E241" s="51" t="s">
        <v>355</v>
      </c>
      <c r="F241" s="52">
        <f>SUMIF('Customer Budget Per Category'!$A:$A,$A241,'Customer Budget Per Category'!$M:$M)</f>
        <v>1228.4943425222498</v>
      </c>
      <c r="G241" s="52">
        <f>SUMIFS('Navision sales Dump'!$E:$E,'Navision sales Dump'!$K:$K,$E241,'Navision sales Dump'!$A:$A,$A241)</f>
        <v>144</v>
      </c>
      <c r="H241" s="62">
        <f>SUMIFS('Navision sales Dump'!$G:$G,'Navision sales Dump'!$K:$K,$E241,'Navision sales Dump'!$A:$A,$A241)</f>
        <v>348426.72</v>
      </c>
      <c r="I241" s="72">
        <f>IFERROR(IF(($G241/$F241)&gt;='Discount Scheme Target'!$F$4,_xlfn.XLOOKUP($E241,'Discount Scheme Target'!$B:$B,'Discount Scheme Target'!$F:$F,0,0),IF(($G241/$F241)&gt;='Discount Scheme Target'!$E$4,_xlfn.XLOOKUP($E241,'Discount Scheme Target'!$B:$B,'Discount Scheme Target'!$E:$E,0,0),IF(($G241/$F241)&gt;='Discount Scheme Target'!$D$4,_xlfn.XLOOKUP($E241,'Discount Scheme Target'!$B:$B,'Discount Scheme Target'!$D:$D,0,0),0))),0)</f>
        <v>0</v>
      </c>
      <c r="J241" s="72">
        <f>IF(SUMIF('Customer Num Distr.'!$A:$A,Workings!$A241,'Customer Num Distr.'!$E:$E)&gt;='Discount Scheme Target'!$G$4,_xlfn.XLOOKUP(Workings!$E241,'Discount Scheme Target'!$B:$B,'Discount Scheme Target'!$G:$G,0,0),0)</f>
        <v>0</v>
      </c>
      <c r="K241" s="72">
        <f>IF(SUMIF('Bouclage EG Cust Cons_Decons'!$A:$A,Workings!$A241,'Bouclage EG Cust Cons_Decons'!$F:$F)&gt;='Discount Scheme Target'!$H$4,_xlfn.XLOOKUP(Workings!$E241,'Discount Scheme Target'!$B:$B,'Discount Scheme Target'!$H:$H,0,0),0)</f>
        <v>0</v>
      </c>
      <c r="L241" s="72">
        <f>IF(INDEX('TT Around time'!$A$1:$F$46,MATCH($A241,'TT Around time'!$A:$A,0),6)&gt;='Discount Scheme Target'!$I$4,_xlfn.XLOOKUP(Workings!$E241,'Discount Scheme Target'!$B:$B,'Discount Scheme Target'!$I:$I,0,0),0)</f>
        <v>5.0000000000000001E-3</v>
      </c>
      <c r="M241" s="72">
        <f t="shared" si="33"/>
        <v>5.0000000000000001E-3</v>
      </c>
      <c r="N241" s="62">
        <f t="shared" si="40"/>
        <v>14862.508829985554</v>
      </c>
      <c r="T241" s="61">
        <f t="shared" si="34"/>
        <v>0</v>
      </c>
      <c r="U241" s="61">
        <f t="shared" si="35"/>
        <v>0</v>
      </c>
      <c r="V241" s="61">
        <f t="shared" si="36"/>
        <v>0</v>
      </c>
      <c r="W241" s="61">
        <f t="shared" si="37"/>
        <v>14862.508829985554</v>
      </c>
      <c r="X241" s="61">
        <f t="shared" si="38"/>
        <v>14862.508829985554</v>
      </c>
      <c r="Y241" s="61">
        <f t="shared" si="39"/>
        <v>0</v>
      </c>
    </row>
    <row r="242" spans="1:25" x14ac:dyDescent="0.25">
      <c r="A242" s="51">
        <v>2013910053</v>
      </c>
      <c r="B242" s="51" t="s">
        <v>93</v>
      </c>
      <c r="C242" s="51" t="s">
        <v>145</v>
      </c>
      <c r="D242" s="51" t="s">
        <v>141</v>
      </c>
      <c r="E242" s="51" t="s">
        <v>132</v>
      </c>
      <c r="F242" s="52">
        <f>SUMIF('Customer Budget Per Category'!$A:$A,$A242,'Customer Budget Per Category'!$N:$N)</f>
        <v>302.8589819335258</v>
      </c>
      <c r="G242" s="52">
        <f>SUMIFS('Navision sales Dump'!$E:$E,'Navision sales Dump'!$K:$K,$E242,'Navision sales Dump'!$A:$A,$A242)</f>
        <v>576</v>
      </c>
      <c r="H242" s="62">
        <f>SUMIFS('Navision sales Dump'!$G:$G,'Navision sales Dump'!$K:$K,$E242,'Navision sales Dump'!$A:$A,$A242)</f>
        <v>1257062.3999999999</v>
      </c>
      <c r="I242" s="72">
        <f>IFERROR(IF(($G242/$F242)&gt;='Discount Scheme Target'!$F$4,_xlfn.XLOOKUP($E242,'Discount Scheme Target'!$B:$B,'Discount Scheme Target'!$F:$F,0,0),IF(($G242/$F242)&gt;='Discount Scheme Target'!$E$4,_xlfn.XLOOKUP($E242,'Discount Scheme Target'!$B:$B,'Discount Scheme Target'!$E:$E,0,0),IF(($G242/$F242)&gt;='Discount Scheme Target'!$D$4,_xlfn.XLOOKUP($E242,'Discount Scheme Target'!$B:$B,'Discount Scheme Target'!$D:$D,0,0),0))),0)</f>
        <v>0.04</v>
      </c>
      <c r="J242" s="72">
        <f>IF(SUMIF('Customer Num Distr.'!$A:$A,Workings!$A242,'Customer Num Distr.'!$E:$E)&gt;='Discount Scheme Target'!$G$4,_xlfn.XLOOKUP(Workings!$E242,'Discount Scheme Target'!$B:$B,'Discount Scheme Target'!$G:$G,0,0),0)</f>
        <v>0</v>
      </c>
      <c r="K242" s="72">
        <f>IF(SUMIF('Bouclage EG Cust Cons_Decons'!$A:$A,Workings!$A242,'Bouclage EG Cust Cons_Decons'!$F:$F)&gt;='Discount Scheme Target'!$H$4,_xlfn.XLOOKUP(Workings!$E242,'Discount Scheme Target'!$B:$B,'Discount Scheme Target'!$H:$H,0,0),0)</f>
        <v>0</v>
      </c>
      <c r="L242" s="72">
        <f>IF(INDEX('TT Around time'!$A$1:$F$46,MATCH($A242,'TT Around time'!$A:$A,0),6)&gt;='Discount Scheme Target'!$I$4,_xlfn.XLOOKUP(Workings!$E242,'Discount Scheme Target'!$B:$B,'Discount Scheme Target'!$I:$I,0,0),0)</f>
        <v>5.0000000000000001E-3</v>
      </c>
      <c r="M242" s="72">
        <f t="shared" si="33"/>
        <v>4.4999999999999998E-2</v>
      </c>
      <c r="N242" s="62">
        <f t="shared" si="40"/>
        <v>29743.174897727695</v>
      </c>
      <c r="T242" s="61">
        <f t="shared" si="34"/>
        <v>26438.377686869066</v>
      </c>
      <c r="U242" s="61">
        <f t="shared" si="35"/>
        <v>0</v>
      </c>
      <c r="V242" s="61">
        <f t="shared" si="36"/>
        <v>0</v>
      </c>
      <c r="W242" s="61">
        <f t="shared" si="37"/>
        <v>3304.7972108586332</v>
      </c>
      <c r="X242" s="61">
        <f t="shared" si="38"/>
        <v>29743.174897727698</v>
      </c>
      <c r="Y242" s="61">
        <f t="shared" si="39"/>
        <v>0</v>
      </c>
    </row>
    <row r="243" spans="1:25" x14ac:dyDescent="0.25">
      <c r="A243" s="51">
        <v>2013910053</v>
      </c>
      <c r="B243" s="51" t="s">
        <v>93</v>
      </c>
      <c r="C243" s="51" t="s">
        <v>145</v>
      </c>
      <c r="D243" s="51" t="s">
        <v>141</v>
      </c>
      <c r="E243" s="51" t="s">
        <v>133</v>
      </c>
      <c r="F243" s="52">
        <f>SUMIF('Customer Budget Per Category'!$A:$A,$A243,'Customer Budget Per Category'!$O:$O)</f>
        <v>278.67426295960627</v>
      </c>
      <c r="G243" s="52">
        <f>SUMIFS('Navision sales Dump'!$E:$E,'Navision sales Dump'!$K:$K,$E243,'Navision sales Dump'!$A:$A,$A243)</f>
        <v>288</v>
      </c>
      <c r="H243" s="62">
        <f>SUMIFS('Navision sales Dump'!$G:$G,'Navision sales Dump'!$K:$K,$E243,'Navision sales Dump'!$A:$A,$A243)</f>
        <v>2887885.44</v>
      </c>
      <c r="I243" s="72">
        <f>IFERROR(IF(($G243/$F243)&gt;='Discount Scheme Target'!$F$4,_xlfn.XLOOKUP($E243,'Discount Scheme Target'!$B:$B,'Discount Scheme Target'!$F:$F,0,0),IF(($G243/$F243)&gt;='Discount Scheme Target'!$E$4,_xlfn.XLOOKUP($E243,'Discount Scheme Target'!$B:$B,'Discount Scheme Target'!$E:$E,0,0),IF(($G243/$F243)&gt;='Discount Scheme Target'!$D$4,_xlfn.XLOOKUP($E243,'Discount Scheme Target'!$B:$B,'Discount Scheme Target'!$D:$D,0,0),0))),0)</f>
        <v>0.01</v>
      </c>
      <c r="J243" s="72">
        <f>IF(SUMIF('Customer Num Distr.'!$A:$A,Workings!$A243,'Customer Num Distr.'!$E:$E)&gt;='Discount Scheme Target'!$G$4,_xlfn.XLOOKUP(Workings!$E243,'Discount Scheme Target'!$B:$B,'Discount Scheme Target'!$G:$G,0,0),0)</f>
        <v>0</v>
      </c>
      <c r="K243" s="72">
        <f>IF(SUMIF('Bouclage EG Cust Cons_Decons'!$A:$A,Workings!$A243,'Bouclage EG Cust Cons_Decons'!$F:$F)&gt;='Discount Scheme Target'!$H$4,_xlfn.XLOOKUP(Workings!$E243,'Discount Scheme Target'!$B:$B,'Discount Scheme Target'!$H:$H,0,0),0)</f>
        <v>0</v>
      </c>
      <c r="L243" s="72">
        <f>IF(INDEX('TT Around time'!$A$1:$F$46,MATCH($A243,'TT Around time'!$A:$A,0),6)&gt;='Discount Scheme Target'!$I$4,_xlfn.XLOOKUP(Workings!$E243,'Discount Scheme Target'!$B:$B,'Discount Scheme Target'!$I:$I,0,0),0)</f>
        <v>5.0000000000000001E-3</v>
      </c>
      <c r="M243" s="72">
        <f t="shared" si="33"/>
        <v>1.4999999999999999E-2</v>
      </c>
      <c r="N243" s="62">
        <f t="shared" si="40"/>
        <v>41915.590963738447</v>
      </c>
      <c r="T243" s="61">
        <f t="shared" si="34"/>
        <v>27943.727309158967</v>
      </c>
      <c r="U243" s="61">
        <f t="shared" si="35"/>
        <v>0</v>
      </c>
      <c r="V243" s="61">
        <f t="shared" si="36"/>
        <v>0</v>
      </c>
      <c r="W243" s="61">
        <f t="shared" si="37"/>
        <v>13971.863654579483</v>
      </c>
      <c r="X243" s="61">
        <f t="shared" si="38"/>
        <v>41915.590963738447</v>
      </c>
      <c r="Y243" s="61">
        <f t="shared" si="39"/>
        <v>0</v>
      </c>
    </row>
    <row r="244" spans="1:25" x14ac:dyDescent="0.25">
      <c r="A244" s="51">
        <v>2013915007</v>
      </c>
      <c r="B244" s="51" t="s">
        <v>146</v>
      </c>
      <c r="C244" s="51" t="s">
        <v>145</v>
      </c>
      <c r="D244" s="51" t="s">
        <v>141</v>
      </c>
      <c r="E244" s="51" t="s">
        <v>417</v>
      </c>
      <c r="F244" s="52">
        <f>SUMIF('Customer Budget Per Category'!$A:$A,$A244,'Customer Budget Per Category'!$E:$E)</f>
        <v>11913</v>
      </c>
      <c r="G244" s="52">
        <f>SUMIFS('Navision sales Dump'!$E:$E,'Navision sales Dump'!$K:$K,$E244,'Navision sales Dump'!$A:$A,$A244)</f>
        <v>11163</v>
      </c>
      <c r="H244" s="62">
        <f>SUMIFS('Navision sales Dump'!$G:$G,'Navision sales Dump'!$K:$K,$E244,'Navision sales Dump'!$A:$A,$A244)</f>
        <v>81327035.730000004</v>
      </c>
      <c r="I244" s="72">
        <f>IFERROR(IF(($G244/$F244)&gt;='Discount Scheme Target'!$F$4,_xlfn.XLOOKUP($E244,'Discount Scheme Target'!$B:$B,'Discount Scheme Target'!$F:$F,0,0),IF(($G244/$F244)&gt;='Discount Scheme Target'!$E$4,_xlfn.XLOOKUP($E244,'Discount Scheme Target'!$B:$B,'Discount Scheme Target'!$E:$E,0,0),IF(($G244/$F244)&gt;='Discount Scheme Target'!$D$4,_xlfn.XLOOKUP($E244,'Discount Scheme Target'!$B:$B,'Discount Scheme Target'!$D:$D,0,0),0))),0)</f>
        <v>0</v>
      </c>
      <c r="J244" s="72">
        <f>IF(SUMIF('Customer Num Distr.'!$A:$A,Workings!$A244,'Customer Num Distr.'!$E:$E)&gt;='Discount Scheme Target'!$G$4,_xlfn.XLOOKUP(Workings!$E244,'Discount Scheme Target'!$B:$B,'Discount Scheme Target'!$G:$G,0,0),0)</f>
        <v>0</v>
      </c>
      <c r="K244" s="72">
        <f>IF(SUMIF('Bouclage EG Cust Cons_Decons'!$A:$A,Workings!$A244,'Bouclage EG Cust Cons_Decons'!$F:$F)&gt;='Discount Scheme Target'!$H$4,_xlfn.XLOOKUP(Workings!$E244,'Discount Scheme Target'!$B:$B,'Discount Scheme Target'!$H:$H,0,0),0)</f>
        <v>0</v>
      </c>
      <c r="L244" s="72">
        <f>IF(INDEX('TT Around time'!$A$1:$F$46,MATCH($A244,'TT Around time'!$A:$A,0),6)&gt;='Discount Scheme Target'!$I$4,_xlfn.XLOOKUP(Workings!$E244,'Discount Scheme Target'!$B:$B,'Discount Scheme Target'!$I:$I,0,0),0)</f>
        <v>0.01</v>
      </c>
      <c r="M244" s="72">
        <f t="shared" si="33"/>
        <v>0.01</v>
      </c>
      <c r="N244" s="62">
        <f t="shared" si="40"/>
        <v>867910.93492026348</v>
      </c>
      <c r="T244" s="61">
        <f t="shared" si="34"/>
        <v>0</v>
      </c>
      <c r="U244" s="61">
        <f t="shared" si="35"/>
        <v>0</v>
      </c>
      <c r="V244" s="61">
        <f t="shared" si="36"/>
        <v>0</v>
      </c>
      <c r="W244" s="61">
        <f t="shared" si="37"/>
        <v>867910.93492026348</v>
      </c>
      <c r="X244" s="61">
        <f t="shared" si="38"/>
        <v>867910.93492026348</v>
      </c>
      <c r="Y244" s="61">
        <f t="shared" si="39"/>
        <v>0</v>
      </c>
    </row>
    <row r="245" spans="1:25" x14ac:dyDescent="0.25">
      <c r="A245" s="51">
        <v>2013915007</v>
      </c>
      <c r="B245" s="51" t="s">
        <v>146</v>
      </c>
      <c r="C245" s="51" t="s">
        <v>145</v>
      </c>
      <c r="D245" s="51" t="s">
        <v>141</v>
      </c>
      <c r="E245" s="51" t="s">
        <v>418</v>
      </c>
      <c r="F245" s="52">
        <f>SUMIF('Customer Budget Per Category'!$A:$A,$A245,'Customer Budget Per Category'!$F:$F)</f>
        <v>0</v>
      </c>
      <c r="G245" s="52">
        <f>SUMIFS('Navision sales Dump'!$E:$E,'Navision sales Dump'!$K:$K,$E245,'Navision sales Dump'!$A:$A,$A245)</f>
        <v>0</v>
      </c>
      <c r="H245" s="62">
        <f>SUMIFS('Navision sales Dump'!$G:$G,'Navision sales Dump'!$K:$K,$E245,'Navision sales Dump'!$A:$A,$A245)</f>
        <v>0</v>
      </c>
      <c r="I245" s="72">
        <f>IFERROR(IF(($G245/$F245)&gt;='Discount Scheme Target'!$F$4,_xlfn.XLOOKUP($E245,'Discount Scheme Target'!$B:$B,'Discount Scheme Target'!$F:$F,0,0),IF(($G245/$F245)&gt;='Discount Scheme Target'!$E$4,_xlfn.XLOOKUP($E245,'Discount Scheme Target'!$B:$B,'Discount Scheme Target'!$E:$E,0,0),IF(($G245/$F245)&gt;='Discount Scheme Target'!$D$4,_xlfn.XLOOKUP($E245,'Discount Scheme Target'!$B:$B,'Discount Scheme Target'!$D:$D,0,0),0))),0)</f>
        <v>0</v>
      </c>
      <c r="J245" s="72">
        <f>IF(SUMIF('Customer Num Distr.'!$A:$A,Workings!$A245,'Customer Num Distr.'!$E:$E)&gt;='Discount Scheme Target'!$G$4,_xlfn.XLOOKUP(Workings!$E245,'Discount Scheme Target'!$B:$B,'Discount Scheme Target'!$G:$G,0,0),0)</f>
        <v>0</v>
      </c>
      <c r="K245" s="72">
        <f>IF(SUMIF('Bouclage EG Cust Cons_Decons'!$A:$A,Workings!$A245,'Bouclage EG Cust Cons_Decons'!$F:$F)&gt;='Discount Scheme Target'!$H$4,_xlfn.XLOOKUP(Workings!$E245,'Discount Scheme Target'!$B:$B,'Discount Scheme Target'!$H:$H,0,0),0)</f>
        <v>0</v>
      </c>
      <c r="L245" s="72">
        <f>IF(INDEX('TT Around time'!$A$1:$F$46,MATCH($A245,'TT Around time'!$A:$A,0),6)&gt;='Discount Scheme Target'!$I$4,_xlfn.XLOOKUP(Workings!$E245,'Discount Scheme Target'!$B:$B,'Discount Scheme Target'!$I:$I,0,0),0)</f>
        <v>0</v>
      </c>
      <c r="M245" s="72">
        <f t="shared" si="33"/>
        <v>0</v>
      </c>
      <c r="N245" s="62">
        <f t="shared" si="40"/>
        <v>0</v>
      </c>
      <c r="T245" s="61">
        <f t="shared" si="34"/>
        <v>0</v>
      </c>
      <c r="U245" s="61">
        <f t="shared" si="35"/>
        <v>0</v>
      </c>
      <c r="V245" s="61">
        <f t="shared" si="36"/>
        <v>0</v>
      </c>
      <c r="W245" s="61">
        <f t="shared" si="37"/>
        <v>0</v>
      </c>
      <c r="X245" s="61">
        <f t="shared" si="38"/>
        <v>0</v>
      </c>
      <c r="Y245" s="61">
        <f t="shared" si="39"/>
        <v>0</v>
      </c>
    </row>
    <row r="246" spans="1:25" x14ac:dyDescent="0.25">
      <c r="A246" s="51">
        <v>2013915007</v>
      </c>
      <c r="B246" s="51" t="s">
        <v>146</v>
      </c>
      <c r="C246" s="51" t="s">
        <v>145</v>
      </c>
      <c r="D246" s="51" t="s">
        <v>141</v>
      </c>
      <c r="E246" s="51" t="s">
        <v>130</v>
      </c>
      <c r="F246" s="52">
        <f>SUMIF('Customer Budget Per Category'!$A:$A,$A246,'Customer Budget Per Category'!$G:$G)</f>
        <v>303.39533402899508</v>
      </c>
      <c r="G246" s="52">
        <f>SUMIFS('Navision sales Dump'!$E:$E,'Navision sales Dump'!$K:$K,$E246,'Navision sales Dump'!$A:$A,$A246)</f>
        <v>144</v>
      </c>
      <c r="H246" s="62">
        <f>SUMIFS('Navision sales Dump'!$G:$G,'Navision sales Dump'!$K:$K,$E246,'Navision sales Dump'!$A:$A,$A246)</f>
        <v>1112446.08</v>
      </c>
      <c r="I246" s="72">
        <f>IFERROR(IF(($G246/$F246)&gt;='Discount Scheme Target'!$F$4,_xlfn.XLOOKUP($E246,'Discount Scheme Target'!$B:$B,'Discount Scheme Target'!$F:$F,0,0),IF(($G246/$F246)&gt;='Discount Scheme Target'!$E$4,_xlfn.XLOOKUP($E246,'Discount Scheme Target'!$B:$B,'Discount Scheme Target'!$E:$E,0,0),IF(($G246/$F246)&gt;='Discount Scheme Target'!$D$4,_xlfn.XLOOKUP($E246,'Discount Scheme Target'!$B:$B,'Discount Scheme Target'!$D:$D,0,0),0))),0)</f>
        <v>0</v>
      </c>
      <c r="J246" s="72">
        <f>IF(SUMIF('Customer Num Distr.'!$A:$A,Workings!$A246,'Customer Num Distr.'!$E:$E)&gt;='Discount Scheme Target'!$G$4,_xlfn.XLOOKUP(Workings!$E246,'Discount Scheme Target'!$B:$B,'Discount Scheme Target'!$G:$G,0,0),0)</f>
        <v>0</v>
      </c>
      <c r="K246" s="72">
        <f>IF(SUMIF('Bouclage EG Cust Cons_Decons'!$A:$A,Workings!$A246,'Bouclage EG Cust Cons_Decons'!$F:$F)&gt;='Discount Scheme Target'!$H$4,_xlfn.XLOOKUP(Workings!$E246,'Discount Scheme Target'!$B:$B,'Discount Scheme Target'!$H:$H,0,0),0)</f>
        <v>0</v>
      </c>
      <c r="L246" s="72">
        <f>IF(INDEX('TT Around time'!$A$1:$F$46,MATCH($A246,'TT Around time'!$A:$A,0),6)&gt;='Discount Scheme Target'!$I$4,_xlfn.XLOOKUP(Workings!$E246,'Discount Scheme Target'!$B:$B,'Discount Scheme Target'!$I:$I,0,0),0)</f>
        <v>0.01</v>
      </c>
      <c r="M246" s="72">
        <f t="shared" si="33"/>
        <v>0.01</v>
      </c>
      <c r="N246" s="62">
        <f t="shared" si="40"/>
        <v>23438.260418808764</v>
      </c>
      <c r="T246" s="61">
        <f t="shared" si="34"/>
        <v>0</v>
      </c>
      <c r="U246" s="61">
        <f t="shared" si="35"/>
        <v>0</v>
      </c>
      <c r="V246" s="61">
        <f t="shared" si="36"/>
        <v>0</v>
      </c>
      <c r="W246" s="61">
        <f t="shared" si="37"/>
        <v>23438.260418808764</v>
      </c>
      <c r="X246" s="61">
        <f t="shared" si="38"/>
        <v>23438.260418808764</v>
      </c>
      <c r="Y246" s="61">
        <f t="shared" si="39"/>
        <v>0</v>
      </c>
    </row>
    <row r="247" spans="1:25" x14ac:dyDescent="0.25">
      <c r="A247" s="51">
        <v>2013915007</v>
      </c>
      <c r="B247" s="51" t="s">
        <v>146</v>
      </c>
      <c r="C247" s="51" t="s">
        <v>145</v>
      </c>
      <c r="D247" s="51" t="s">
        <v>141</v>
      </c>
      <c r="E247" s="51" t="s">
        <v>131</v>
      </c>
      <c r="F247" s="52">
        <f>SUMIF('Customer Budget Per Category'!$A:$A,$A247,'Customer Budget Per Category'!$H:$H)</f>
        <v>246</v>
      </c>
      <c r="G247" s="52">
        <f>SUMIFS('Navision sales Dump'!$E:$E,'Navision sales Dump'!$K:$K,$E247,'Navision sales Dump'!$A:$A,$A247)</f>
        <v>180</v>
      </c>
      <c r="H247" s="62">
        <f>SUMIFS('Navision sales Dump'!$G:$G,'Navision sales Dump'!$K:$K,$E247,'Navision sales Dump'!$A:$A,$A247)</f>
        <v>7213762.5</v>
      </c>
      <c r="I247" s="72">
        <f>IFERROR(IF(($G247/$F247)&gt;='Discount Scheme Target'!$F$4,_xlfn.XLOOKUP($E247,'Discount Scheme Target'!$B:$B,'Discount Scheme Target'!$F:$F,0,0),IF(($G247/$F247)&gt;='Discount Scheme Target'!$E$4,_xlfn.XLOOKUP($E247,'Discount Scheme Target'!$B:$B,'Discount Scheme Target'!$E:$E,0,0),IF(($G247/$F247)&gt;='Discount Scheme Target'!$D$4,_xlfn.XLOOKUP($E247,'Discount Scheme Target'!$B:$B,'Discount Scheme Target'!$D:$D,0,0),0))),0)</f>
        <v>0</v>
      </c>
      <c r="J247" s="72">
        <f>IF(SUMIF('Customer Num Distr.'!$A:$A,Workings!$A247,'Customer Num Distr.'!$E:$E)&gt;='Discount Scheme Target'!$G$4,_xlfn.XLOOKUP(Workings!$E247,'Discount Scheme Target'!$B:$B,'Discount Scheme Target'!$G:$G,0,0),0)</f>
        <v>0</v>
      </c>
      <c r="K247" s="72">
        <f>IF(SUMIF('Bouclage EG Cust Cons_Decons'!$A:$A,Workings!$A247,'Bouclage EG Cust Cons_Decons'!$F:$F)&gt;='Discount Scheme Target'!$H$4,_xlfn.XLOOKUP(Workings!$E247,'Discount Scheme Target'!$B:$B,'Discount Scheme Target'!$H:$H,0,0),0)</f>
        <v>0</v>
      </c>
      <c r="L247" s="72">
        <f>IF(INDEX('TT Around time'!$A$1:$F$46,MATCH($A247,'TT Around time'!$A:$A,0),6)&gt;='Discount Scheme Target'!$I$4,_xlfn.XLOOKUP(Workings!$E247,'Discount Scheme Target'!$B:$B,'Discount Scheme Target'!$I:$I,0,0),0)</f>
        <v>5.0000000000000001E-3</v>
      </c>
      <c r="M247" s="72">
        <f t="shared" si="33"/>
        <v>5.0000000000000001E-3</v>
      </c>
      <c r="N247" s="62">
        <f t="shared" si="40"/>
        <v>49294.043750000004</v>
      </c>
      <c r="T247" s="61">
        <f t="shared" si="34"/>
        <v>0</v>
      </c>
      <c r="U247" s="61">
        <f t="shared" si="35"/>
        <v>0</v>
      </c>
      <c r="V247" s="61">
        <f t="shared" si="36"/>
        <v>0</v>
      </c>
      <c r="W247" s="61">
        <f t="shared" si="37"/>
        <v>49294.043750000004</v>
      </c>
      <c r="X247" s="61">
        <f t="shared" si="38"/>
        <v>49294.043750000004</v>
      </c>
      <c r="Y247" s="61">
        <f t="shared" si="39"/>
        <v>0</v>
      </c>
    </row>
    <row r="248" spans="1:25" x14ac:dyDescent="0.25">
      <c r="A248" s="51">
        <v>2013915007</v>
      </c>
      <c r="B248" s="51" t="s">
        <v>146</v>
      </c>
      <c r="C248" s="51" t="s">
        <v>145</v>
      </c>
      <c r="D248" s="51" t="s">
        <v>141</v>
      </c>
      <c r="E248" s="51" t="s">
        <v>514</v>
      </c>
      <c r="F248" s="52">
        <f>SUMIF('Customer Budget Per Category'!$A:$A,$A248,'Customer Budget Per Category'!$I:$I)</f>
        <v>6619.8232484784276</v>
      </c>
      <c r="G248" s="52">
        <f>SUMIFS('Navision sales Dump'!$E:$E,'Navision sales Dump'!$K:$K,$E248,'Navision sales Dump'!$A:$A,$A248)</f>
        <v>8115</v>
      </c>
      <c r="H248" s="62">
        <f>SUMIFS('Navision sales Dump'!$G:$G,'Navision sales Dump'!$K:$K,$E248,'Navision sales Dump'!$A:$A,$A248)</f>
        <v>32119413.449999999</v>
      </c>
      <c r="I248" s="72">
        <f>IFERROR(IF(($G248/$F248)&gt;='Discount Scheme Target'!$F$4,_xlfn.XLOOKUP($E248,'Discount Scheme Target'!$B:$B,'Discount Scheme Target'!$F:$F,0,0),IF(($G248/$F248)&gt;='Discount Scheme Target'!$E$4,_xlfn.XLOOKUP($E248,'Discount Scheme Target'!$B:$B,'Discount Scheme Target'!$E:$E,0,0),IF(($G248/$F248)&gt;='Discount Scheme Target'!$D$4,_xlfn.XLOOKUP($E248,'Discount Scheme Target'!$B:$B,'Discount Scheme Target'!$D:$D,0,0),0))),0)</f>
        <v>0.04</v>
      </c>
      <c r="J248" s="72">
        <f>IF(SUMIF('Customer Num Distr.'!$A:$A,Workings!$A248,'Customer Num Distr.'!$E:$E)&gt;='Discount Scheme Target'!$G$4,_xlfn.XLOOKUP(Workings!$E248,'Discount Scheme Target'!$B:$B,'Discount Scheme Target'!$G:$G,0,0),0)</f>
        <v>0</v>
      </c>
      <c r="K248" s="72">
        <f>IF(SUMIF('Bouclage EG Cust Cons_Decons'!$A:$A,Workings!$A248,'Bouclage EG Cust Cons_Decons'!$F:$F)&gt;='Discount Scheme Target'!$H$4,_xlfn.XLOOKUP(Workings!$E248,'Discount Scheme Target'!$B:$B,'Discount Scheme Target'!$H:$H,0,0),0)</f>
        <v>0</v>
      </c>
      <c r="L248" s="72">
        <f>IF(INDEX('TT Around time'!$A$1:$F$46,MATCH($A248,'TT Around time'!$A:$A,0),6)&gt;='Discount Scheme Target'!$I$4,_xlfn.XLOOKUP(Workings!$E248,'Discount Scheme Target'!$B:$B,'Discount Scheme Target'!$I:$I,0,0),0)</f>
        <v>5.0000000000000001E-3</v>
      </c>
      <c r="M248" s="72">
        <f t="shared" si="33"/>
        <v>4.4999999999999998E-2</v>
      </c>
      <c r="N248" s="62">
        <f t="shared" si="40"/>
        <v>1179065.655547878</v>
      </c>
      <c r="T248" s="61">
        <f t="shared" si="34"/>
        <v>1048058.3604870028</v>
      </c>
      <c r="U248" s="61">
        <f t="shared" si="35"/>
        <v>0</v>
      </c>
      <c r="V248" s="61">
        <f t="shared" si="36"/>
        <v>0</v>
      </c>
      <c r="W248" s="61">
        <f t="shared" si="37"/>
        <v>131007.29506087535</v>
      </c>
      <c r="X248" s="61">
        <f t="shared" si="38"/>
        <v>1179065.655547878</v>
      </c>
      <c r="Y248" s="61">
        <f t="shared" si="39"/>
        <v>0</v>
      </c>
    </row>
    <row r="249" spans="1:25" x14ac:dyDescent="0.25">
      <c r="A249" s="51">
        <v>2013915007</v>
      </c>
      <c r="B249" s="51" t="s">
        <v>146</v>
      </c>
      <c r="C249" s="51" t="s">
        <v>145</v>
      </c>
      <c r="D249" s="51" t="s">
        <v>141</v>
      </c>
      <c r="E249" s="51" t="s">
        <v>515</v>
      </c>
      <c r="F249" s="52">
        <f>SUMIF('Customer Budget Per Category'!$A:$A,$A249,'Customer Budget Per Category'!$J:$J)</f>
        <v>892.39223918027847</v>
      </c>
      <c r="G249" s="52">
        <f>SUMIFS('Navision sales Dump'!$E:$E,'Navision sales Dump'!$K:$K,$E249,'Navision sales Dump'!$A:$A,$A249)</f>
        <v>288</v>
      </c>
      <c r="H249" s="62">
        <f>SUMIFS('Navision sales Dump'!$G:$G,'Navision sales Dump'!$K:$K,$E249,'Navision sales Dump'!$A:$A,$A249)</f>
        <v>812995.2</v>
      </c>
      <c r="I249" s="72">
        <f>IFERROR(IF(($G249/$F249)&gt;='Discount Scheme Target'!$F$4,_xlfn.XLOOKUP($E249,'Discount Scheme Target'!$B:$B,'Discount Scheme Target'!$F:$F,0,0),IF(($G249/$F249)&gt;='Discount Scheme Target'!$E$4,_xlfn.XLOOKUP($E249,'Discount Scheme Target'!$B:$B,'Discount Scheme Target'!$E:$E,0,0),IF(($G249/$F249)&gt;='Discount Scheme Target'!$D$4,_xlfn.XLOOKUP($E249,'Discount Scheme Target'!$B:$B,'Discount Scheme Target'!$D:$D,0,0),0))),0)</f>
        <v>0</v>
      </c>
      <c r="J249" s="72">
        <f>IF(SUMIF('Customer Num Distr.'!$A:$A,Workings!$A249,'Customer Num Distr.'!$E:$E)&gt;='Discount Scheme Target'!$G$4,_xlfn.XLOOKUP(Workings!$E249,'Discount Scheme Target'!$B:$B,'Discount Scheme Target'!$G:$G,0,0),0)</f>
        <v>0</v>
      </c>
      <c r="K249" s="72">
        <f>IF(SUMIF('Bouclage EG Cust Cons_Decons'!$A:$A,Workings!$A249,'Bouclage EG Cust Cons_Decons'!$F:$F)&gt;='Discount Scheme Target'!$H$4,_xlfn.XLOOKUP(Workings!$E249,'Discount Scheme Target'!$B:$B,'Discount Scheme Target'!$H:$H,0,0),0)</f>
        <v>0</v>
      </c>
      <c r="L249" s="72">
        <f>IF(INDEX('TT Around time'!$A$1:$F$46,MATCH($A249,'TT Around time'!$A:$A,0),6)&gt;='Discount Scheme Target'!$I$4,_xlfn.XLOOKUP(Workings!$E249,'Discount Scheme Target'!$B:$B,'Discount Scheme Target'!$I:$I,0,0),0)</f>
        <v>5.0000000000000001E-3</v>
      </c>
      <c r="M249" s="72">
        <f t="shared" si="33"/>
        <v>5.0000000000000001E-3</v>
      </c>
      <c r="N249" s="62">
        <f t="shared" si="40"/>
        <v>12595.670259910039</v>
      </c>
      <c r="T249" s="61">
        <f t="shared" si="34"/>
        <v>0</v>
      </c>
      <c r="U249" s="61">
        <f t="shared" si="35"/>
        <v>0</v>
      </c>
      <c r="V249" s="61">
        <f t="shared" si="36"/>
        <v>0</v>
      </c>
      <c r="W249" s="61">
        <f t="shared" si="37"/>
        <v>12595.670259910039</v>
      </c>
      <c r="X249" s="61">
        <f t="shared" si="38"/>
        <v>12595.670259910039</v>
      </c>
      <c r="Y249" s="61">
        <f t="shared" si="39"/>
        <v>0</v>
      </c>
    </row>
    <row r="250" spans="1:25" x14ac:dyDescent="0.25">
      <c r="A250" s="51">
        <v>2013915007</v>
      </c>
      <c r="B250" s="51" t="s">
        <v>146</v>
      </c>
      <c r="C250" s="51" t="s">
        <v>145</v>
      </c>
      <c r="D250" s="51" t="s">
        <v>141</v>
      </c>
      <c r="E250" s="51" t="s">
        <v>161</v>
      </c>
      <c r="F250" s="52">
        <f>SUMIF('Customer Budget Per Category'!$A:$A,$A250,'Customer Budget Per Category'!$K:$K)</f>
        <v>0</v>
      </c>
      <c r="G250" s="52">
        <f>SUMIFS('Navision sales Dump'!$E:$E,'Navision sales Dump'!$K:$K,$E250,'Navision sales Dump'!$A:$A,$A250)</f>
        <v>0</v>
      </c>
      <c r="H250" s="62">
        <f>SUMIFS('Navision sales Dump'!$G:$G,'Navision sales Dump'!$K:$K,$E250,'Navision sales Dump'!$A:$A,$A250)</f>
        <v>0</v>
      </c>
      <c r="I250" s="72">
        <f>IFERROR(IF(($G250/$F250)&gt;='Discount Scheme Target'!$F$4,_xlfn.XLOOKUP($E250,'Discount Scheme Target'!$B:$B,'Discount Scheme Target'!$F:$F,0,0),IF(($G250/$F250)&gt;='Discount Scheme Target'!$E$4,_xlfn.XLOOKUP($E250,'Discount Scheme Target'!$B:$B,'Discount Scheme Target'!$E:$E,0,0),IF(($G250/$F250)&gt;='Discount Scheme Target'!$D$4,_xlfn.XLOOKUP($E250,'Discount Scheme Target'!$B:$B,'Discount Scheme Target'!$D:$D,0,0),0))),0)</f>
        <v>0</v>
      </c>
      <c r="J250" s="72">
        <f>IF(SUMIF('Customer Num Distr.'!$A:$A,Workings!$A250,'Customer Num Distr.'!$E:$E)&gt;='Discount Scheme Target'!$G$4,_xlfn.XLOOKUP(Workings!$E250,'Discount Scheme Target'!$B:$B,'Discount Scheme Target'!$G:$G,0,0),0)</f>
        <v>0</v>
      </c>
      <c r="K250" s="72">
        <f>IF(SUMIF('Bouclage EG Cust Cons_Decons'!$A:$A,Workings!$A250,'Bouclage EG Cust Cons_Decons'!$F:$F)&gt;='Discount Scheme Target'!$H$4,_xlfn.XLOOKUP(Workings!$E250,'Discount Scheme Target'!$B:$B,'Discount Scheme Target'!$H:$H,0,0),0)</f>
        <v>0</v>
      </c>
      <c r="L250" s="72">
        <f>IF(INDEX('TT Around time'!$A$1:$F$46,MATCH($A250,'TT Around time'!$A:$A,0),6)&gt;='Discount Scheme Target'!$I$4,_xlfn.XLOOKUP(Workings!$E250,'Discount Scheme Target'!$B:$B,'Discount Scheme Target'!$I:$I,0,0),0)</f>
        <v>0</v>
      </c>
      <c r="M250" s="72">
        <f t="shared" si="33"/>
        <v>0</v>
      </c>
      <c r="N250" s="62">
        <f t="shared" si="40"/>
        <v>0</v>
      </c>
      <c r="T250" s="61">
        <f t="shared" si="34"/>
        <v>0</v>
      </c>
      <c r="U250" s="61">
        <f t="shared" si="35"/>
        <v>0</v>
      </c>
      <c r="V250" s="61">
        <f t="shared" si="36"/>
        <v>0</v>
      </c>
      <c r="W250" s="61">
        <f t="shared" si="37"/>
        <v>0</v>
      </c>
      <c r="X250" s="61">
        <f t="shared" si="38"/>
        <v>0</v>
      </c>
      <c r="Y250" s="61">
        <f t="shared" si="39"/>
        <v>0</v>
      </c>
    </row>
    <row r="251" spans="1:25" x14ac:dyDescent="0.25">
      <c r="A251" s="51">
        <v>2013915007</v>
      </c>
      <c r="B251" s="51" t="s">
        <v>146</v>
      </c>
      <c r="C251" s="51" t="s">
        <v>145</v>
      </c>
      <c r="D251" s="51" t="s">
        <v>141</v>
      </c>
      <c r="E251" s="51" t="s">
        <v>354</v>
      </c>
      <c r="F251" s="52">
        <f>SUMIF('Customer Budget Per Category'!$A:$A,$A251,'Customer Budget Per Category'!$L:$L)</f>
        <v>2934.3530648867313</v>
      </c>
      <c r="G251" s="52">
        <f>SUMIFS('Navision sales Dump'!$E:$E,'Navision sales Dump'!$K:$K,$E251,'Navision sales Dump'!$A:$A,$A251)</f>
        <v>2723</v>
      </c>
      <c r="H251" s="62">
        <f>SUMIFS('Navision sales Dump'!$G:$G,'Navision sales Dump'!$K:$K,$E251,'Navision sales Dump'!$A:$A,$A251)</f>
        <v>9217596.1400000006</v>
      </c>
      <c r="I251" s="72">
        <f>IFERROR(IF(($G251/$F251)&gt;='Discount Scheme Target'!$F$4,_xlfn.XLOOKUP($E251,'Discount Scheme Target'!$B:$B,'Discount Scheme Target'!$F:$F,0,0),IF(($G251/$F251)&gt;='Discount Scheme Target'!$E$4,_xlfn.XLOOKUP($E251,'Discount Scheme Target'!$B:$B,'Discount Scheme Target'!$E:$E,0,0),IF(($G251/$F251)&gt;='Discount Scheme Target'!$D$4,_xlfn.XLOOKUP($E251,'Discount Scheme Target'!$B:$B,'Discount Scheme Target'!$D:$D,0,0),0))),0)</f>
        <v>0</v>
      </c>
      <c r="J251" s="72">
        <f>IF(SUMIF('Customer Num Distr.'!$A:$A,Workings!$A251,'Customer Num Distr.'!$E:$E)&gt;='Discount Scheme Target'!$G$4,_xlfn.XLOOKUP(Workings!$E251,'Discount Scheme Target'!$B:$B,'Discount Scheme Target'!$G:$G,0,0),0)</f>
        <v>0</v>
      </c>
      <c r="K251" s="72">
        <f>IF(SUMIF('Bouclage EG Cust Cons_Decons'!$A:$A,Workings!$A251,'Bouclage EG Cust Cons_Decons'!$F:$F)&gt;='Discount Scheme Target'!$H$4,_xlfn.XLOOKUP(Workings!$E251,'Discount Scheme Target'!$B:$B,'Discount Scheme Target'!$H:$H,0,0),0)</f>
        <v>0</v>
      </c>
      <c r="L251" s="72">
        <f>IF(INDEX('TT Around time'!$A$1:$F$46,MATCH($A251,'TT Around time'!$A:$A,0),6)&gt;='Discount Scheme Target'!$I$4,_xlfn.XLOOKUP(Workings!$E251,'Discount Scheme Target'!$B:$B,'Discount Scheme Target'!$I:$I,0,0),0)</f>
        <v>5.0000000000000001E-3</v>
      </c>
      <c r="M251" s="72">
        <f t="shared" si="33"/>
        <v>5.0000000000000001E-3</v>
      </c>
      <c r="N251" s="62">
        <f t="shared" si="40"/>
        <v>49665.224906898831</v>
      </c>
      <c r="T251" s="61">
        <f t="shared" si="34"/>
        <v>0</v>
      </c>
      <c r="U251" s="61">
        <f t="shared" si="35"/>
        <v>0</v>
      </c>
      <c r="V251" s="61">
        <f t="shared" si="36"/>
        <v>0</v>
      </c>
      <c r="W251" s="61">
        <f t="shared" si="37"/>
        <v>49665.224906898831</v>
      </c>
      <c r="X251" s="61">
        <f t="shared" si="38"/>
        <v>49665.224906898831</v>
      </c>
      <c r="Y251" s="61">
        <f t="shared" si="39"/>
        <v>0</v>
      </c>
    </row>
    <row r="252" spans="1:25" x14ac:dyDescent="0.25">
      <c r="A252" s="51">
        <v>2013915007</v>
      </c>
      <c r="B252" s="51" t="s">
        <v>146</v>
      </c>
      <c r="C252" s="51" t="s">
        <v>145</v>
      </c>
      <c r="D252" s="51" t="s">
        <v>141</v>
      </c>
      <c r="E252" s="51" t="s">
        <v>355</v>
      </c>
      <c r="F252" s="52">
        <f>SUMIF('Customer Budget Per Category'!$A:$A,$A252,'Customer Budget Per Category'!$M:$M)</f>
        <v>1657.1166550746798</v>
      </c>
      <c r="G252" s="52">
        <f>SUMIFS('Navision sales Dump'!$E:$E,'Navision sales Dump'!$K:$K,$E252,'Navision sales Dump'!$A:$A,$A252)</f>
        <v>573</v>
      </c>
      <c r="H252" s="62">
        <f>SUMIFS('Navision sales Dump'!$G:$G,'Navision sales Dump'!$K:$K,$E252,'Navision sales Dump'!$A:$A,$A252)</f>
        <v>1444115.6</v>
      </c>
      <c r="I252" s="72">
        <f>IFERROR(IF(($G252/$F252)&gt;='Discount Scheme Target'!$F$4,_xlfn.XLOOKUP($E252,'Discount Scheme Target'!$B:$B,'Discount Scheme Target'!$F:$F,0,0),IF(($G252/$F252)&gt;='Discount Scheme Target'!$E$4,_xlfn.XLOOKUP($E252,'Discount Scheme Target'!$B:$B,'Discount Scheme Target'!$E:$E,0,0),IF(($G252/$F252)&gt;='Discount Scheme Target'!$D$4,_xlfn.XLOOKUP($E252,'Discount Scheme Target'!$B:$B,'Discount Scheme Target'!$D:$D,0,0),0))),0)</f>
        <v>0</v>
      </c>
      <c r="J252" s="72">
        <f>IF(SUMIF('Customer Num Distr.'!$A:$A,Workings!$A252,'Customer Num Distr.'!$E:$E)&gt;='Discount Scheme Target'!$G$4,_xlfn.XLOOKUP(Workings!$E252,'Discount Scheme Target'!$B:$B,'Discount Scheme Target'!$G:$G,0,0),0)</f>
        <v>0</v>
      </c>
      <c r="K252" s="72">
        <f>IF(SUMIF('Bouclage EG Cust Cons_Decons'!$A:$A,Workings!$A252,'Bouclage EG Cust Cons_Decons'!$F:$F)&gt;='Discount Scheme Target'!$H$4,_xlfn.XLOOKUP(Workings!$E252,'Discount Scheme Target'!$B:$B,'Discount Scheme Target'!$H:$H,0,0),0)</f>
        <v>0</v>
      </c>
      <c r="L252" s="72">
        <f>IF(INDEX('TT Around time'!$A$1:$F$46,MATCH($A252,'TT Around time'!$A:$A,0),6)&gt;='Discount Scheme Target'!$I$4,_xlfn.XLOOKUP(Workings!$E252,'Discount Scheme Target'!$B:$B,'Discount Scheme Target'!$I:$I,0,0),0)</f>
        <v>5.0000000000000001E-3</v>
      </c>
      <c r="M252" s="72">
        <f t="shared" si="33"/>
        <v>5.0000000000000001E-3</v>
      </c>
      <c r="N252" s="62">
        <f t="shared" si="40"/>
        <v>20881.919830830404</v>
      </c>
      <c r="T252" s="61">
        <f t="shared" si="34"/>
        <v>0</v>
      </c>
      <c r="U252" s="61">
        <f t="shared" si="35"/>
        <v>0</v>
      </c>
      <c r="V252" s="61">
        <f t="shared" si="36"/>
        <v>0</v>
      </c>
      <c r="W252" s="61">
        <f t="shared" si="37"/>
        <v>20881.919830830404</v>
      </c>
      <c r="X252" s="61">
        <f t="shared" si="38"/>
        <v>20881.919830830404</v>
      </c>
      <c r="Y252" s="61">
        <f t="shared" si="39"/>
        <v>0</v>
      </c>
    </row>
    <row r="253" spans="1:25" x14ac:dyDescent="0.25">
      <c r="A253" s="51">
        <v>2013915007</v>
      </c>
      <c r="B253" s="51" t="s">
        <v>146</v>
      </c>
      <c r="C253" s="51" t="s">
        <v>145</v>
      </c>
      <c r="D253" s="51" t="s">
        <v>141</v>
      </c>
      <c r="E253" s="51" t="s">
        <v>132</v>
      </c>
      <c r="F253" s="52">
        <f>SUMIF('Customer Budget Per Category'!$A:$A,$A253,'Customer Budget Per Category'!$N:$N)</f>
        <v>315.60346270211193</v>
      </c>
      <c r="G253" s="52">
        <f>SUMIFS('Navision sales Dump'!$E:$E,'Navision sales Dump'!$K:$K,$E253,'Navision sales Dump'!$A:$A,$A253)</f>
        <v>143</v>
      </c>
      <c r="H253" s="62">
        <f>SUMIFS('Navision sales Dump'!$G:$G,'Navision sales Dump'!$K:$K,$E253,'Navision sales Dump'!$A:$A,$A253)</f>
        <v>312083.20000000001</v>
      </c>
      <c r="I253" s="72">
        <f>IFERROR(IF(($G253/$F253)&gt;='Discount Scheme Target'!$F$4,_xlfn.XLOOKUP($E253,'Discount Scheme Target'!$B:$B,'Discount Scheme Target'!$F:$F,0,0),IF(($G253/$F253)&gt;='Discount Scheme Target'!$E$4,_xlfn.XLOOKUP($E253,'Discount Scheme Target'!$B:$B,'Discount Scheme Target'!$E:$E,0,0),IF(($G253/$F253)&gt;='Discount Scheme Target'!$D$4,_xlfn.XLOOKUP($E253,'Discount Scheme Target'!$B:$B,'Discount Scheme Target'!$D:$D,0,0),0))),0)</f>
        <v>0</v>
      </c>
      <c r="J253" s="72">
        <f>IF(SUMIF('Customer Num Distr.'!$A:$A,Workings!$A253,'Customer Num Distr.'!$E:$E)&gt;='Discount Scheme Target'!$G$4,_xlfn.XLOOKUP(Workings!$E253,'Discount Scheme Target'!$B:$B,'Discount Scheme Target'!$G:$G,0,0),0)</f>
        <v>0</v>
      </c>
      <c r="K253" s="72">
        <f>IF(SUMIF('Bouclage EG Cust Cons_Decons'!$A:$A,Workings!$A253,'Bouclage EG Cust Cons_Decons'!$F:$F)&gt;='Discount Scheme Target'!$H$4,_xlfn.XLOOKUP(Workings!$E253,'Discount Scheme Target'!$B:$B,'Discount Scheme Target'!$H:$H,0,0),0)</f>
        <v>0</v>
      </c>
      <c r="L253" s="72">
        <f>IF(INDEX('TT Around time'!$A$1:$F$46,MATCH($A253,'TT Around time'!$A:$A,0),6)&gt;='Discount Scheme Target'!$I$4,_xlfn.XLOOKUP(Workings!$E253,'Discount Scheme Target'!$B:$B,'Discount Scheme Target'!$I:$I,0,0),0)</f>
        <v>5.0000000000000001E-3</v>
      </c>
      <c r="M253" s="72">
        <f t="shared" si="33"/>
        <v>5.0000000000000001E-3</v>
      </c>
      <c r="N253" s="62">
        <f t="shared" si="40"/>
        <v>3443.8649850054453</v>
      </c>
      <c r="T253" s="61">
        <f t="shared" si="34"/>
        <v>0</v>
      </c>
      <c r="U253" s="61">
        <f t="shared" si="35"/>
        <v>0</v>
      </c>
      <c r="V253" s="61">
        <f t="shared" si="36"/>
        <v>0</v>
      </c>
      <c r="W253" s="61">
        <f t="shared" si="37"/>
        <v>3443.8649850054453</v>
      </c>
      <c r="X253" s="61">
        <f t="shared" si="38"/>
        <v>3443.8649850054453</v>
      </c>
      <c r="Y253" s="61">
        <f t="shared" si="39"/>
        <v>0</v>
      </c>
    </row>
    <row r="254" spans="1:25" x14ac:dyDescent="0.25">
      <c r="A254" s="51">
        <v>2013915007</v>
      </c>
      <c r="B254" s="51" t="s">
        <v>146</v>
      </c>
      <c r="C254" s="51" t="s">
        <v>145</v>
      </c>
      <c r="D254" s="51" t="s">
        <v>141</v>
      </c>
      <c r="E254" s="51" t="s">
        <v>133</v>
      </c>
      <c r="F254" s="52">
        <f>SUMIF('Customer Budget Per Category'!$A:$A,$A254,'Customer Budget Per Category'!$O:$O)</f>
        <v>315</v>
      </c>
      <c r="G254" s="52">
        <f>SUMIFS('Navision sales Dump'!$E:$E,'Navision sales Dump'!$K:$K,$E254,'Navision sales Dump'!$A:$A,$A254)</f>
        <v>430</v>
      </c>
      <c r="H254" s="62">
        <f>SUMIFS('Navision sales Dump'!$G:$G,'Navision sales Dump'!$K:$K,$E254,'Navision sales Dump'!$A:$A,$A254)</f>
        <v>4311773.4000000004</v>
      </c>
      <c r="I254" s="72">
        <f>IFERROR(IF(($G254/$F254)&gt;='Discount Scheme Target'!$F$4,_xlfn.XLOOKUP($E254,'Discount Scheme Target'!$B:$B,'Discount Scheme Target'!$F:$F,0,0),IF(($G254/$F254)&gt;='Discount Scheme Target'!$E$4,_xlfn.XLOOKUP($E254,'Discount Scheme Target'!$B:$B,'Discount Scheme Target'!$E:$E,0,0),IF(($G254/$F254)&gt;='Discount Scheme Target'!$D$4,_xlfn.XLOOKUP($E254,'Discount Scheme Target'!$B:$B,'Discount Scheme Target'!$D:$D,0,0),0))),0)</f>
        <v>0.04</v>
      </c>
      <c r="J254" s="72">
        <f>IF(SUMIF('Customer Num Distr.'!$A:$A,Workings!$A254,'Customer Num Distr.'!$E:$E)&gt;='Discount Scheme Target'!$G$4,_xlfn.XLOOKUP(Workings!$E254,'Discount Scheme Target'!$B:$B,'Discount Scheme Target'!$G:$G,0,0),0)</f>
        <v>0</v>
      </c>
      <c r="K254" s="72">
        <f>IF(SUMIF('Bouclage EG Cust Cons_Decons'!$A:$A,Workings!$A254,'Bouclage EG Cust Cons_Decons'!$F:$F)&gt;='Discount Scheme Target'!$H$4,_xlfn.XLOOKUP(Workings!$E254,'Discount Scheme Target'!$B:$B,'Discount Scheme Target'!$H:$H,0,0),0)</f>
        <v>0</v>
      </c>
      <c r="L254" s="72">
        <f>IF(INDEX('TT Around time'!$A$1:$F$46,MATCH($A254,'TT Around time'!$A:$A,0),6)&gt;='Discount Scheme Target'!$I$4,_xlfn.XLOOKUP(Workings!$E254,'Discount Scheme Target'!$B:$B,'Discount Scheme Target'!$I:$I,0,0),0)</f>
        <v>5.0000000000000001E-3</v>
      </c>
      <c r="M254" s="72">
        <f t="shared" si="33"/>
        <v>4.4999999999999998E-2</v>
      </c>
      <c r="N254" s="62">
        <f t="shared" si="40"/>
        <v>142138.1115</v>
      </c>
      <c r="T254" s="61">
        <f t="shared" si="34"/>
        <v>126344.98800000001</v>
      </c>
      <c r="U254" s="61">
        <f t="shared" si="35"/>
        <v>0</v>
      </c>
      <c r="V254" s="61">
        <f t="shared" si="36"/>
        <v>0</v>
      </c>
      <c r="W254" s="61">
        <f t="shared" si="37"/>
        <v>15793.123500000002</v>
      </c>
      <c r="X254" s="61">
        <f t="shared" si="38"/>
        <v>142138.1115</v>
      </c>
      <c r="Y254" s="61">
        <f t="shared" si="39"/>
        <v>0</v>
      </c>
    </row>
    <row r="255" spans="1:25" x14ac:dyDescent="0.25">
      <c r="A255" s="51">
        <v>2300001202</v>
      </c>
      <c r="B255" s="51" t="s">
        <v>147</v>
      </c>
      <c r="C255" s="51" t="s">
        <v>145</v>
      </c>
      <c r="D255" s="51" t="s">
        <v>141</v>
      </c>
      <c r="E255" s="51" t="s">
        <v>417</v>
      </c>
      <c r="F255" s="52">
        <f>SUMIF('Customer Budget Per Category'!$A:$A,$A255,'Customer Budget Per Category'!$E:$E)</f>
        <v>14965.222140088983</v>
      </c>
      <c r="G255" s="52">
        <f>SUMIFS('Navision sales Dump'!$E:$E,'Navision sales Dump'!$K:$K,$E255,'Navision sales Dump'!$A:$A,$A255)</f>
        <v>12805</v>
      </c>
      <c r="H255" s="62">
        <f>SUMIFS('Navision sales Dump'!$G:$G,'Navision sales Dump'!$K:$K,$E255,'Navision sales Dump'!$A:$A,$A255)</f>
        <v>90414593.63000001</v>
      </c>
      <c r="I255" s="72">
        <f>IFERROR(IF(($G255/$F255)&gt;='Discount Scheme Target'!$F$4,_xlfn.XLOOKUP($E255,'Discount Scheme Target'!$B:$B,'Discount Scheme Target'!$F:$F,0,0),IF(($G255/$F255)&gt;='Discount Scheme Target'!$E$4,_xlfn.XLOOKUP($E255,'Discount Scheme Target'!$B:$B,'Discount Scheme Target'!$E:$E,0,0),IF(($G255/$F255)&gt;='Discount Scheme Target'!$D$4,_xlfn.XLOOKUP($E255,'Discount Scheme Target'!$B:$B,'Discount Scheme Target'!$D:$D,0,0),0))),0)</f>
        <v>0</v>
      </c>
      <c r="J255" s="72">
        <f>IF(SUMIF('Customer Num Distr.'!$A:$A,Workings!$A255,'Customer Num Distr.'!$E:$E)&gt;='Discount Scheme Target'!$G$4,_xlfn.XLOOKUP(Workings!$E255,'Discount Scheme Target'!$B:$B,'Discount Scheme Target'!$G:$G,0,0),0)</f>
        <v>0</v>
      </c>
      <c r="K255" s="72">
        <f>IF(SUMIF('Bouclage EG Cust Cons_Decons'!$A:$A,Workings!$A255,'Bouclage EG Cust Cons_Decons'!$F:$F)&gt;='Discount Scheme Target'!$H$4,_xlfn.XLOOKUP(Workings!$E255,'Discount Scheme Target'!$B:$B,'Discount Scheme Target'!$H:$H,0,0),0)</f>
        <v>0</v>
      </c>
      <c r="L255" s="72">
        <f>IF(INDEX('TT Around time'!$A$1:$F$46,MATCH($A255,'TT Around time'!$A:$A,0),6)&gt;='Discount Scheme Target'!$I$4,_xlfn.XLOOKUP(Workings!$E255,'Discount Scheme Target'!$B:$B,'Discount Scheme Target'!$I:$I,0,0),0)</f>
        <v>0.01</v>
      </c>
      <c r="M255" s="72">
        <f t="shared" si="33"/>
        <v>0.01</v>
      </c>
      <c r="N255" s="62">
        <f t="shared" si="40"/>
        <v>1056676.6719084925</v>
      </c>
      <c r="T255" s="61">
        <f t="shared" si="34"/>
        <v>0</v>
      </c>
      <c r="U255" s="61">
        <f t="shared" si="35"/>
        <v>0</v>
      </c>
      <c r="V255" s="61">
        <f t="shared" si="36"/>
        <v>0</v>
      </c>
      <c r="W255" s="61">
        <f t="shared" si="37"/>
        <v>1056676.6719084925</v>
      </c>
      <c r="X255" s="61">
        <f t="shared" si="38"/>
        <v>1056676.6719084925</v>
      </c>
      <c r="Y255" s="61">
        <f t="shared" si="39"/>
        <v>0</v>
      </c>
    </row>
    <row r="256" spans="1:25" x14ac:dyDescent="0.25">
      <c r="A256" s="51">
        <v>2300001202</v>
      </c>
      <c r="B256" s="51" t="s">
        <v>147</v>
      </c>
      <c r="C256" s="51" t="s">
        <v>145</v>
      </c>
      <c r="D256" s="51" t="s">
        <v>141</v>
      </c>
      <c r="E256" s="51" t="s">
        <v>418</v>
      </c>
      <c r="F256" s="52">
        <f>SUMIF('Customer Budget Per Category'!$A:$A,$A256,'Customer Budget Per Category'!$F:$F)</f>
        <v>0</v>
      </c>
      <c r="G256" s="52">
        <f>SUMIFS('Navision sales Dump'!$E:$E,'Navision sales Dump'!$K:$K,$E256,'Navision sales Dump'!$A:$A,$A256)</f>
        <v>0</v>
      </c>
      <c r="H256" s="62">
        <f>SUMIFS('Navision sales Dump'!$G:$G,'Navision sales Dump'!$K:$K,$E256,'Navision sales Dump'!$A:$A,$A256)</f>
        <v>0</v>
      </c>
      <c r="I256" s="72">
        <f>IFERROR(IF(($G256/$F256)&gt;='Discount Scheme Target'!$F$4,_xlfn.XLOOKUP($E256,'Discount Scheme Target'!$B:$B,'Discount Scheme Target'!$F:$F,0,0),IF(($G256/$F256)&gt;='Discount Scheme Target'!$E$4,_xlfn.XLOOKUP($E256,'Discount Scheme Target'!$B:$B,'Discount Scheme Target'!$E:$E,0,0),IF(($G256/$F256)&gt;='Discount Scheme Target'!$D$4,_xlfn.XLOOKUP($E256,'Discount Scheme Target'!$B:$B,'Discount Scheme Target'!$D:$D,0,0),0))),0)</f>
        <v>0</v>
      </c>
      <c r="J256" s="72">
        <f>IF(SUMIF('Customer Num Distr.'!$A:$A,Workings!$A256,'Customer Num Distr.'!$E:$E)&gt;='Discount Scheme Target'!$G$4,_xlfn.XLOOKUP(Workings!$E256,'Discount Scheme Target'!$B:$B,'Discount Scheme Target'!$G:$G,0,0),0)</f>
        <v>0</v>
      </c>
      <c r="K256" s="72">
        <f>IF(SUMIF('Bouclage EG Cust Cons_Decons'!$A:$A,Workings!$A256,'Bouclage EG Cust Cons_Decons'!$F:$F)&gt;='Discount Scheme Target'!$H$4,_xlfn.XLOOKUP(Workings!$E256,'Discount Scheme Target'!$B:$B,'Discount Scheme Target'!$H:$H,0,0),0)</f>
        <v>0</v>
      </c>
      <c r="L256" s="72">
        <f>IF(INDEX('TT Around time'!$A$1:$F$46,MATCH($A256,'TT Around time'!$A:$A,0),6)&gt;='Discount Scheme Target'!$I$4,_xlfn.XLOOKUP(Workings!$E256,'Discount Scheme Target'!$B:$B,'Discount Scheme Target'!$I:$I,0,0),0)</f>
        <v>0</v>
      </c>
      <c r="M256" s="72">
        <f t="shared" si="33"/>
        <v>0</v>
      </c>
      <c r="N256" s="62">
        <f t="shared" si="40"/>
        <v>0</v>
      </c>
      <c r="T256" s="61">
        <f t="shared" si="34"/>
        <v>0</v>
      </c>
      <c r="U256" s="61">
        <f t="shared" si="35"/>
        <v>0</v>
      </c>
      <c r="V256" s="61">
        <f t="shared" si="36"/>
        <v>0</v>
      </c>
      <c r="W256" s="61">
        <f t="shared" si="37"/>
        <v>0</v>
      </c>
      <c r="X256" s="61">
        <f t="shared" si="38"/>
        <v>0</v>
      </c>
      <c r="Y256" s="61">
        <f t="shared" si="39"/>
        <v>0</v>
      </c>
    </row>
    <row r="257" spans="1:25" x14ac:dyDescent="0.25">
      <c r="A257" s="51">
        <v>2300001202</v>
      </c>
      <c r="B257" s="51" t="s">
        <v>147</v>
      </c>
      <c r="C257" s="51" t="s">
        <v>145</v>
      </c>
      <c r="D257" s="51" t="s">
        <v>141</v>
      </c>
      <c r="E257" s="51" t="s">
        <v>130</v>
      </c>
      <c r="F257" s="52">
        <f>SUMIF('Customer Budget Per Category'!$A:$A,$A257,'Customer Budget Per Category'!$G:$G)</f>
        <v>335</v>
      </c>
      <c r="G257" s="52">
        <f>SUMIFS('Navision sales Dump'!$E:$E,'Navision sales Dump'!$K:$K,$E257,'Navision sales Dump'!$A:$A,$A257)</f>
        <v>358</v>
      </c>
      <c r="H257" s="62">
        <f>SUMIFS('Navision sales Dump'!$G:$G,'Navision sales Dump'!$K:$K,$E257,'Navision sales Dump'!$A:$A,$A257)</f>
        <v>2765664.56</v>
      </c>
      <c r="I257" s="72">
        <f>IFERROR(IF(($G257/$F257)&gt;='Discount Scheme Target'!$F$4,_xlfn.XLOOKUP($E257,'Discount Scheme Target'!$B:$B,'Discount Scheme Target'!$F:$F,0,0),IF(($G257/$F257)&gt;='Discount Scheme Target'!$E$4,_xlfn.XLOOKUP($E257,'Discount Scheme Target'!$B:$B,'Discount Scheme Target'!$E:$E,0,0),IF(($G257/$F257)&gt;='Discount Scheme Target'!$D$4,_xlfn.XLOOKUP($E257,'Discount Scheme Target'!$B:$B,'Discount Scheme Target'!$D:$D,0,0),0))),0)</f>
        <v>3.5000000000000003E-2</v>
      </c>
      <c r="J257" s="72">
        <f>IF(SUMIF('Customer Num Distr.'!$A:$A,Workings!$A257,'Customer Num Distr.'!$E:$E)&gt;='Discount Scheme Target'!$G$4,_xlfn.XLOOKUP(Workings!$E257,'Discount Scheme Target'!$B:$B,'Discount Scheme Target'!$G:$G,0,0),0)</f>
        <v>0</v>
      </c>
      <c r="K257" s="72">
        <f>IF(SUMIF('Bouclage EG Cust Cons_Decons'!$A:$A,Workings!$A257,'Bouclage EG Cust Cons_Decons'!$F:$F)&gt;='Discount Scheme Target'!$H$4,_xlfn.XLOOKUP(Workings!$E257,'Discount Scheme Target'!$B:$B,'Discount Scheme Target'!$H:$H,0,0),0)</f>
        <v>0</v>
      </c>
      <c r="L257" s="72">
        <f>IF(INDEX('TT Around time'!$A$1:$F$46,MATCH($A257,'TT Around time'!$A:$A,0),6)&gt;='Discount Scheme Target'!$I$4,_xlfn.XLOOKUP(Workings!$E257,'Discount Scheme Target'!$B:$B,'Discount Scheme Target'!$I:$I,0,0),0)</f>
        <v>0.01</v>
      </c>
      <c r="M257" s="72">
        <f t="shared" si="33"/>
        <v>4.5000000000000005E-2</v>
      </c>
      <c r="N257" s="62">
        <f t="shared" si="40"/>
        <v>116459.19900000001</v>
      </c>
      <c r="T257" s="61">
        <f t="shared" si="34"/>
        <v>90579.376999999993</v>
      </c>
      <c r="U257" s="61">
        <f t="shared" si="35"/>
        <v>0</v>
      </c>
      <c r="V257" s="61">
        <f t="shared" si="36"/>
        <v>0</v>
      </c>
      <c r="W257" s="61">
        <f t="shared" si="37"/>
        <v>25879.821999999996</v>
      </c>
      <c r="X257" s="61">
        <f t="shared" si="38"/>
        <v>116459.19899999999</v>
      </c>
      <c r="Y257" s="61">
        <f t="shared" si="39"/>
        <v>0</v>
      </c>
    </row>
    <row r="258" spans="1:25" x14ac:dyDescent="0.25">
      <c r="A258" s="51">
        <v>2300001202</v>
      </c>
      <c r="B258" s="51" t="s">
        <v>147</v>
      </c>
      <c r="C258" s="51" t="s">
        <v>145</v>
      </c>
      <c r="D258" s="51" t="s">
        <v>141</v>
      </c>
      <c r="E258" s="51" t="s">
        <v>131</v>
      </c>
      <c r="F258" s="52">
        <f>SUMIF('Customer Budget Per Category'!$A:$A,$A258,'Customer Budget Per Category'!$H:$H)</f>
        <v>144</v>
      </c>
      <c r="G258" s="52">
        <f>SUMIFS('Navision sales Dump'!$E:$E,'Navision sales Dump'!$K:$K,$E258,'Navision sales Dump'!$A:$A,$A258)</f>
        <v>150</v>
      </c>
      <c r="H258" s="62">
        <f>SUMIFS('Navision sales Dump'!$G:$G,'Navision sales Dump'!$K:$K,$E258,'Navision sales Dump'!$A:$A,$A258)</f>
        <v>5736110.6000000006</v>
      </c>
      <c r="I258" s="72">
        <f>IFERROR(IF(($G258/$F258)&gt;='Discount Scheme Target'!$F$4,_xlfn.XLOOKUP($E258,'Discount Scheme Target'!$B:$B,'Discount Scheme Target'!$F:$F,0,0),IF(($G258/$F258)&gt;='Discount Scheme Target'!$E$4,_xlfn.XLOOKUP($E258,'Discount Scheme Target'!$B:$B,'Discount Scheme Target'!$E:$E,0,0),IF(($G258/$F258)&gt;='Discount Scheme Target'!$D$4,_xlfn.XLOOKUP($E258,'Discount Scheme Target'!$B:$B,'Discount Scheme Target'!$D:$D,0,0),0))),0)</f>
        <v>0.01</v>
      </c>
      <c r="J258" s="72">
        <f>IF(SUMIF('Customer Num Distr.'!$A:$A,Workings!$A258,'Customer Num Distr.'!$E:$E)&gt;='Discount Scheme Target'!$G$4,_xlfn.XLOOKUP(Workings!$E258,'Discount Scheme Target'!$B:$B,'Discount Scheme Target'!$G:$G,0,0),0)</f>
        <v>0</v>
      </c>
      <c r="K258" s="72">
        <f>IF(SUMIF('Bouclage EG Cust Cons_Decons'!$A:$A,Workings!$A258,'Bouclage EG Cust Cons_Decons'!$F:$F)&gt;='Discount Scheme Target'!$H$4,_xlfn.XLOOKUP(Workings!$E258,'Discount Scheme Target'!$B:$B,'Discount Scheme Target'!$H:$H,0,0),0)</f>
        <v>0</v>
      </c>
      <c r="L258" s="72">
        <f>IF(INDEX('TT Around time'!$A$1:$F$46,MATCH($A258,'TT Around time'!$A:$A,0),6)&gt;='Discount Scheme Target'!$I$4,_xlfn.XLOOKUP(Workings!$E258,'Discount Scheme Target'!$B:$B,'Discount Scheme Target'!$I:$I,0,0),0)</f>
        <v>5.0000000000000001E-3</v>
      </c>
      <c r="M258" s="72">
        <f t="shared" si="33"/>
        <v>1.4999999999999999E-2</v>
      </c>
      <c r="N258" s="62">
        <f t="shared" si="40"/>
        <v>82599.992640000011</v>
      </c>
      <c r="T258" s="61">
        <f t="shared" si="34"/>
        <v>55066.66176000001</v>
      </c>
      <c r="U258" s="61">
        <f t="shared" si="35"/>
        <v>0</v>
      </c>
      <c r="V258" s="61">
        <f t="shared" si="36"/>
        <v>0</v>
      </c>
      <c r="W258" s="61">
        <f t="shared" si="37"/>
        <v>27533.330880000005</v>
      </c>
      <c r="X258" s="61">
        <f t="shared" si="38"/>
        <v>82599.992640000011</v>
      </c>
      <c r="Y258" s="61">
        <f t="shared" si="39"/>
        <v>0</v>
      </c>
    </row>
    <row r="259" spans="1:25" x14ac:dyDescent="0.25">
      <c r="A259" s="51">
        <v>2300001202</v>
      </c>
      <c r="B259" s="51" t="s">
        <v>147</v>
      </c>
      <c r="C259" s="51" t="s">
        <v>145</v>
      </c>
      <c r="D259" s="51" t="s">
        <v>141</v>
      </c>
      <c r="E259" s="51" t="s">
        <v>514</v>
      </c>
      <c r="F259" s="52">
        <f>SUMIF('Customer Budget Per Category'!$A:$A,$A259,'Customer Budget Per Category'!$I:$I)</f>
        <v>4500</v>
      </c>
      <c r="G259" s="52">
        <f>SUMIFS('Navision sales Dump'!$E:$E,'Navision sales Dump'!$K:$K,$E259,'Navision sales Dump'!$A:$A,$A259)</f>
        <v>4954</v>
      </c>
      <c r="H259" s="62">
        <f>SUMIFS('Navision sales Dump'!$G:$G,'Navision sales Dump'!$K:$K,$E259,'Navision sales Dump'!$A:$A,$A259)</f>
        <v>19608080.620000001</v>
      </c>
      <c r="I259" s="72">
        <f>IFERROR(IF(($G259/$F259)&gt;='Discount Scheme Target'!$F$4,_xlfn.XLOOKUP($E259,'Discount Scheme Target'!$B:$B,'Discount Scheme Target'!$F:$F,0,0),IF(($G259/$F259)&gt;='Discount Scheme Target'!$E$4,_xlfn.XLOOKUP($E259,'Discount Scheme Target'!$B:$B,'Discount Scheme Target'!$E:$E,0,0),IF(($G259/$F259)&gt;='Discount Scheme Target'!$D$4,_xlfn.XLOOKUP($E259,'Discount Scheme Target'!$B:$B,'Discount Scheme Target'!$D:$D,0,0),0))),0)</f>
        <v>0.03</v>
      </c>
      <c r="J259" s="72">
        <f>IF(SUMIF('Customer Num Distr.'!$A:$A,Workings!$A259,'Customer Num Distr.'!$E:$E)&gt;='Discount Scheme Target'!$G$4,_xlfn.XLOOKUP(Workings!$E259,'Discount Scheme Target'!$B:$B,'Discount Scheme Target'!$G:$G,0,0),0)</f>
        <v>0</v>
      </c>
      <c r="K259" s="72">
        <f>IF(SUMIF('Bouclage EG Cust Cons_Decons'!$A:$A,Workings!$A259,'Bouclage EG Cust Cons_Decons'!$F:$F)&gt;='Discount Scheme Target'!$H$4,_xlfn.XLOOKUP(Workings!$E259,'Discount Scheme Target'!$B:$B,'Discount Scheme Target'!$H:$H,0,0),0)</f>
        <v>0</v>
      </c>
      <c r="L259" s="72">
        <f>IF(INDEX('TT Around time'!$A$1:$F$46,MATCH($A259,'TT Around time'!$A:$A,0),6)&gt;='Discount Scheme Target'!$I$4,_xlfn.XLOOKUP(Workings!$E259,'Discount Scheme Target'!$B:$B,'Discount Scheme Target'!$I:$I,0,0),0)</f>
        <v>5.0000000000000001E-3</v>
      </c>
      <c r="M259" s="72">
        <f t="shared" si="33"/>
        <v>3.4999999999999996E-2</v>
      </c>
      <c r="N259" s="62">
        <f t="shared" si="40"/>
        <v>623389.72499999998</v>
      </c>
      <c r="T259" s="61">
        <f t="shared" si="34"/>
        <v>534334.04999999993</v>
      </c>
      <c r="U259" s="61">
        <f t="shared" si="35"/>
        <v>0</v>
      </c>
      <c r="V259" s="61">
        <f t="shared" si="36"/>
        <v>0</v>
      </c>
      <c r="W259" s="61">
        <f t="shared" si="37"/>
        <v>89055.675000000003</v>
      </c>
      <c r="X259" s="61">
        <f t="shared" si="38"/>
        <v>623389.72499999998</v>
      </c>
      <c r="Y259" s="61">
        <f t="shared" si="39"/>
        <v>0</v>
      </c>
    </row>
    <row r="260" spans="1:25" x14ac:dyDescent="0.25">
      <c r="A260" s="51">
        <v>2300001202</v>
      </c>
      <c r="B260" s="51" t="s">
        <v>147</v>
      </c>
      <c r="C260" s="51" t="s">
        <v>145</v>
      </c>
      <c r="D260" s="51" t="s">
        <v>141</v>
      </c>
      <c r="E260" s="51" t="s">
        <v>515</v>
      </c>
      <c r="F260" s="52">
        <f>SUMIF('Customer Budget Per Category'!$A:$A,$A260,'Customer Budget Per Category'!$J:$J)</f>
        <v>723.86787455539468</v>
      </c>
      <c r="G260" s="52">
        <f>SUMIFS('Navision sales Dump'!$E:$E,'Navision sales Dump'!$K:$K,$E260,'Navision sales Dump'!$A:$A,$A260)</f>
        <v>143</v>
      </c>
      <c r="H260" s="62">
        <f>SUMIFS('Navision sales Dump'!$G:$G,'Navision sales Dump'!$K:$K,$E260,'Navision sales Dump'!$A:$A,$A260)</f>
        <v>403674.7</v>
      </c>
      <c r="I260" s="72">
        <f>IFERROR(IF(($G260/$F260)&gt;='Discount Scheme Target'!$F$4,_xlfn.XLOOKUP($E260,'Discount Scheme Target'!$B:$B,'Discount Scheme Target'!$F:$F,0,0),IF(($G260/$F260)&gt;='Discount Scheme Target'!$E$4,_xlfn.XLOOKUP($E260,'Discount Scheme Target'!$B:$B,'Discount Scheme Target'!$E:$E,0,0),IF(($G260/$F260)&gt;='Discount Scheme Target'!$D$4,_xlfn.XLOOKUP($E260,'Discount Scheme Target'!$B:$B,'Discount Scheme Target'!$D:$D,0,0),0))),0)</f>
        <v>0</v>
      </c>
      <c r="J260" s="72">
        <f>IF(SUMIF('Customer Num Distr.'!$A:$A,Workings!$A260,'Customer Num Distr.'!$E:$E)&gt;='Discount Scheme Target'!$G$4,_xlfn.XLOOKUP(Workings!$E260,'Discount Scheme Target'!$B:$B,'Discount Scheme Target'!$G:$G,0,0),0)</f>
        <v>0</v>
      </c>
      <c r="K260" s="72">
        <f>IF(SUMIF('Bouclage EG Cust Cons_Decons'!$A:$A,Workings!$A260,'Bouclage EG Cust Cons_Decons'!$F:$F)&gt;='Discount Scheme Target'!$H$4,_xlfn.XLOOKUP(Workings!$E260,'Discount Scheme Target'!$B:$B,'Discount Scheme Target'!$H:$H,0,0),0)</f>
        <v>0</v>
      </c>
      <c r="L260" s="72">
        <f>IF(INDEX('TT Around time'!$A$1:$F$46,MATCH($A260,'TT Around time'!$A:$A,0),6)&gt;='Discount Scheme Target'!$I$4,_xlfn.XLOOKUP(Workings!$E260,'Discount Scheme Target'!$B:$B,'Discount Scheme Target'!$I:$I,0,0),0)</f>
        <v>5.0000000000000001E-3</v>
      </c>
      <c r="M260" s="72">
        <f t="shared" si="33"/>
        <v>5.0000000000000001E-3</v>
      </c>
      <c r="N260" s="62">
        <f t="shared" si="40"/>
        <v>10217.03311541212</v>
      </c>
      <c r="T260" s="61">
        <f t="shared" si="34"/>
        <v>0</v>
      </c>
      <c r="U260" s="61">
        <f t="shared" si="35"/>
        <v>0</v>
      </c>
      <c r="V260" s="61">
        <f t="shared" si="36"/>
        <v>0</v>
      </c>
      <c r="W260" s="61">
        <f t="shared" si="37"/>
        <v>10217.03311541212</v>
      </c>
      <c r="X260" s="61">
        <f t="shared" si="38"/>
        <v>10217.03311541212</v>
      </c>
      <c r="Y260" s="61">
        <f t="shared" si="39"/>
        <v>0</v>
      </c>
    </row>
    <row r="261" spans="1:25" x14ac:dyDescent="0.25">
      <c r="A261" s="51">
        <v>2300001202</v>
      </c>
      <c r="B261" s="51" t="s">
        <v>147</v>
      </c>
      <c r="C261" s="51" t="s">
        <v>145</v>
      </c>
      <c r="D261" s="51" t="s">
        <v>141</v>
      </c>
      <c r="E261" s="51" t="s">
        <v>161</v>
      </c>
      <c r="F261" s="52">
        <f>SUMIF('Customer Budget Per Category'!$A:$A,$A261,'Customer Budget Per Category'!$K:$K)</f>
        <v>0</v>
      </c>
      <c r="G261" s="52">
        <f>SUMIFS('Navision sales Dump'!$E:$E,'Navision sales Dump'!$K:$K,$E261,'Navision sales Dump'!$A:$A,$A261)</f>
        <v>0</v>
      </c>
      <c r="H261" s="62">
        <f>SUMIFS('Navision sales Dump'!$G:$G,'Navision sales Dump'!$K:$K,$E261,'Navision sales Dump'!$A:$A,$A261)</f>
        <v>0</v>
      </c>
      <c r="I261" s="72">
        <f>IFERROR(IF(($G261/$F261)&gt;='Discount Scheme Target'!$F$4,_xlfn.XLOOKUP($E261,'Discount Scheme Target'!$B:$B,'Discount Scheme Target'!$F:$F,0,0),IF(($G261/$F261)&gt;='Discount Scheme Target'!$E$4,_xlfn.XLOOKUP($E261,'Discount Scheme Target'!$B:$B,'Discount Scheme Target'!$E:$E,0,0),IF(($G261/$F261)&gt;='Discount Scheme Target'!$D$4,_xlfn.XLOOKUP($E261,'Discount Scheme Target'!$B:$B,'Discount Scheme Target'!$D:$D,0,0),0))),0)</f>
        <v>0</v>
      </c>
      <c r="J261" s="72">
        <f>IF(SUMIF('Customer Num Distr.'!$A:$A,Workings!$A261,'Customer Num Distr.'!$E:$E)&gt;='Discount Scheme Target'!$G$4,_xlfn.XLOOKUP(Workings!$E261,'Discount Scheme Target'!$B:$B,'Discount Scheme Target'!$G:$G,0,0),0)</f>
        <v>0</v>
      </c>
      <c r="K261" s="72">
        <f>IF(SUMIF('Bouclage EG Cust Cons_Decons'!$A:$A,Workings!$A261,'Bouclage EG Cust Cons_Decons'!$F:$F)&gt;='Discount Scheme Target'!$H$4,_xlfn.XLOOKUP(Workings!$E261,'Discount Scheme Target'!$B:$B,'Discount Scheme Target'!$H:$H,0,0),0)</f>
        <v>0</v>
      </c>
      <c r="L261" s="72">
        <f>IF(INDEX('TT Around time'!$A$1:$F$46,MATCH($A261,'TT Around time'!$A:$A,0),6)&gt;='Discount Scheme Target'!$I$4,_xlfn.XLOOKUP(Workings!$E261,'Discount Scheme Target'!$B:$B,'Discount Scheme Target'!$I:$I,0,0),0)</f>
        <v>0</v>
      </c>
      <c r="M261" s="72">
        <f t="shared" si="33"/>
        <v>0</v>
      </c>
      <c r="N261" s="62">
        <f t="shared" si="40"/>
        <v>0</v>
      </c>
      <c r="T261" s="61">
        <f t="shared" si="34"/>
        <v>0</v>
      </c>
      <c r="U261" s="61">
        <f t="shared" si="35"/>
        <v>0</v>
      </c>
      <c r="V261" s="61">
        <f t="shared" si="36"/>
        <v>0</v>
      </c>
      <c r="W261" s="61">
        <f t="shared" si="37"/>
        <v>0</v>
      </c>
      <c r="X261" s="61">
        <f t="shared" si="38"/>
        <v>0</v>
      </c>
      <c r="Y261" s="61">
        <f t="shared" si="39"/>
        <v>0</v>
      </c>
    </row>
    <row r="262" spans="1:25" x14ac:dyDescent="0.25">
      <c r="A262" s="51">
        <v>2300001202</v>
      </c>
      <c r="B262" s="51" t="s">
        <v>147</v>
      </c>
      <c r="C262" s="51" t="s">
        <v>145</v>
      </c>
      <c r="D262" s="51" t="s">
        <v>141</v>
      </c>
      <c r="E262" s="51" t="s">
        <v>354</v>
      </c>
      <c r="F262" s="52">
        <f>SUMIF('Customer Budget Per Category'!$A:$A,$A262,'Customer Budget Per Category'!$L:$L)</f>
        <v>1210</v>
      </c>
      <c r="G262" s="52">
        <f>SUMIFS('Navision sales Dump'!$E:$E,'Navision sales Dump'!$K:$K,$E262,'Navision sales Dump'!$A:$A,$A262)</f>
        <v>1436</v>
      </c>
      <c r="H262" s="62">
        <f>SUMIFS('Navision sales Dump'!$G:$G,'Navision sales Dump'!$K:$K,$E262,'Navision sales Dump'!$A:$A,$A262)</f>
        <v>4926429.92</v>
      </c>
      <c r="I262" s="72">
        <f>IFERROR(IF(($G262/$F262)&gt;='Discount Scheme Target'!$F$4,_xlfn.XLOOKUP($E262,'Discount Scheme Target'!$B:$B,'Discount Scheme Target'!$F:$F,0,0),IF(($G262/$F262)&gt;='Discount Scheme Target'!$E$4,_xlfn.XLOOKUP($E262,'Discount Scheme Target'!$B:$B,'Discount Scheme Target'!$E:$E,0,0),IF(($G262/$F262)&gt;='Discount Scheme Target'!$D$4,_xlfn.XLOOKUP($E262,'Discount Scheme Target'!$B:$B,'Discount Scheme Target'!$D:$D,0,0),0))),0)</f>
        <v>0.04</v>
      </c>
      <c r="J262" s="72">
        <f>IF(SUMIF('Customer Num Distr.'!$A:$A,Workings!$A262,'Customer Num Distr.'!$E:$E)&gt;='Discount Scheme Target'!$G$4,_xlfn.XLOOKUP(Workings!$E262,'Discount Scheme Target'!$B:$B,'Discount Scheme Target'!$G:$G,0,0),0)</f>
        <v>0</v>
      </c>
      <c r="K262" s="72">
        <f>IF(SUMIF('Bouclage EG Cust Cons_Decons'!$A:$A,Workings!$A262,'Bouclage EG Cust Cons_Decons'!$F:$F)&gt;='Discount Scheme Target'!$H$4,_xlfn.XLOOKUP(Workings!$E262,'Discount Scheme Target'!$B:$B,'Discount Scheme Target'!$H:$H,0,0),0)</f>
        <v>0</v>
      </c>
      <c r="L262" s="72">
        <f>IF(INDEX('TT Around time'!$A$1:$F$46,MATCH($A262,'TT Around time'!$A:$A,0),6)&gt;='Discount Scheme Target'!$I$4,_xlfn.XLOOKUP(Workings!$E262,'Discount Scheme Target'!$B:$B,'Discount Scheme Target'!$I:$I,0,0),0)</f>
        <v>5.0000000000000001E-3</v>
      </c>
      <c r="M262" s="72">
        <f t="shared" si="33"/>
        <v>4.4999999999999998E-2</v>
      </c>
      <c r="N262" s="62">
        <f t="shared" si="40"/>
        <v>186799.51890250694</v>
      </c>
      <c r="T262" s="61">
        <f t="shared" si="34"/>
        <v>166044.01680222841</v>
      </c>
      <c r="U262" s="61">
        <f t="shared" si="35"/>
        <v>0</v>
      </c>
      <c r="V262" s="61">
        <f t="shared" si="36"/>
        <v>0</v>
      </c>
      <c r="W262" s="61">
        <f t="shared" si="37"/>
        <v>20755.502100278551</v>
      </c>
      <c r="X262" s="61">
        <f t="shared" si="38"/>
        <v>186799.51890250697</v>
      </c>
      <c r="Y262" s="61">
        <f t="shared" si="39"/>
        <v>0</v>
      </c>
    </row>
    <row r="263" spans="1:25" x14ac:dyDescent="0.25">
      <c r="A263" s="51">
        <v>2300001202</v>
      </c>
      <c r="B263" s="51" t="s">
        <v>147</v>
      </c>
      <c r="C263" s="51" t="s">
        <v>145</v>
      </c>
      <c r="D263" s="51" t="s">
        <v>141</v>
      </c>
      <c r="E263" s="51" t="s">
        <v>355</v>
      </c>
      <c r="F263" s="52">
        <f>SUMIF('Customer Budget Per Category'!$A:$A,$A263,'Customer Budget Per Category'!$M:$M)</f>
        <v>900</v>
      </c>
      <c r="G263" s="52">
        <f>SUMIFS('Navision sales Dump'!$E:$E,'Navision sales Dump'!$K:$K,$E263,'Navision sales Dump'!$A:$A,$A263)</f>
        <v>144</v>
      </c>
      <c r="H263" s="62">
        <f>SUMIFS('Navision sales Dump'!$G:$G,'Navision sales Dump'!$K:$K,$E263,'Navision sales Dump'!$A:$A,$A263)</f>
        <v>348426.72</v>
      </c>
      <c r="I263" s="72">
        <f>IFERROR(IF(($G263/$F263)&gt;='Discount Scheme Target'!$F$4,_xlfn.XLOOKUP($E263,'Discount Scheme Target'!$B:$B,'Discount Scheme Target'!$F:$F,0,0),IF(($G263/$F263)&gt;='Discount Scheme Target'!$E$4,_xlfn.XLOOKUP($E263,'Discount Scheme Target'!$B:$B,'Discount Scheme Target'!$E:$E,0,0),IF(($G263/$F263)&gt;='Discount Scheme Target'!$D$4,_xlfn.XLOOKUP($E263,'Discount Scheme Target'!$B:$B,'Discount Scheme Target'!$D:$D,0,0),0))),0)</f>
        <v>0</v>
      </c>
      <c r="J263" s="72">
        <f>IF(SUMIF('Customer Num Distr.'!$A:$A,Workings!$A263,'Customer Num Distr.'!$E:$E)&gt;='Discount Scheme Target'!$G$4,_xlfn.XLOOKUP(Workings!$E263,'Discount Scheme Target'!$B:$B,'Discount Scheme Target'!$G:$G,0,0),0)</f>
        <v>0</v>
      </c>
      <c r="K263" s="72">
        <f>IF(SUMIF('Bouclage EG Cust Cons_Decons'!$A:$A,Workings!$A263,'Bouclage EG Cust Cons_Decons'!$F:$F)&gt;='Discount Scheme Target'!$H$4,_xlfn.XLOOKUP(Workings!$E263,'Discount Scheme Target'!$B:$B,'Discount Scheme Target'!$H:$H,0,0),0)</f>
        <v>0</v>
      </c>
      <c r="L263" s="72">
        <f>IF(INDEX('TT Around time'!$A$1:$F$46,MATCH($A263,'TT Around time'!$A:$A,0),6)&gt;='Discount Scheme Target'!$I$4,_xlfn.XLOOKUP(Workings!$E263,'Discount Scheme Target'!$B:$B,'Discount Scheme Target'!$I:$I,0,0),0)</f>
        <v>5.0000000000000001E-3</v>
      </c>
      <c r="M263" s="72">
        <f t="shared" si="33"/>
        <v>5.0000000000000001E-3</v>
      </c>
      <c r="N263" s="62">
        <f t="shared" si="40"/>
        <v>10888.334999999997</v>
      </c>
      <c r="T263" s="61">
        <f t="shared" si="34"/>
        <v>0</v>
      </c>
      <c r="U263" s="61">
        <f t="shared" si="35"/>
        <v>0</v>
      </c>
      <c r="V263" s="61">
        <f t="shared" si="36"/>
        <v>0</v>
      </c>
      <c r="W263" s="61">
        <f t="shared" si="37"/>
        <v>10888.334999999997</v>
      </c>
      <c r="X263" s="61">
        <f t="shared" si="38"/>
        <v>10888.334999999997</v>
      </c>
      <c r="Y263" s="61">
        <f t="shared" si="39"/>
        <v>0</v>
      </c>
    </row>
    <row r="264" spans="1:25" x14ac:dyDescent="0.25">
      <c r="A264" s="51">
        <v>2300001202</v>
      </c>
      <c r="B264" s="51" t="s">
        <v>147</v>
      </c>
      <c r="C264" s="51" t="s">
        <v>145</v>
      </c>
      <c r="D264" s="51" t="s">
        <v>141</v>
      </c>
      <c r="E264" s="51" t="s">
        <v>132</v>
      </c>
      <c r="F264" s="52">
        <f>SUMIF('Customer Budget Per Category'!$A:$A,$A264,'Customer Budget Per Category'!$N:$N)</f>
        <v>331.3781719503134</v>
      </c>
      <c r="G264" s="52">
        <f>SUMIFS('Navision sales Dump'!$E:$E,'Navision sales Dump'!$K:$K,$E264,'Navision sales Dump'!$A:$A,$A264)</f>
        <v>0</v>
      </c>
      <c r="H264" s="62">
        <f>SUMIFS('Navision sales Dump'!$G:$G,'Navision sales Dump'!$K:$K,$E264,'Navision sales Dump'!$A:$A,$A264)</f>
        <v>0</v>
      </c>
      <c r="I264" s="72">
        <f>IFERROR(IF(($G264/$F264)&gt;='Discount Scheme Target'!$F$4,_xlfn.XLOOKUP($E264,'Discount Scheme Target'!$B:$B,'Discount Scheme Target'!$F:$F,0,0),IF(($G264/$F264)&gt;='Discount Scheme Target'!$E$4,_xlfn.XLOOKUP($E264,'Discount Scheme Target'!$B:$B,'Discount Scheme Target'!$E:$E,0,0),IF(($G264/$F264)&gt;='Discount Scheme Target'!$D$4,_xlfn.XLOOKUP($E264,'Discount Scheme Target'!$B:$B,'Discount Scheme Target'!$D:$D,0,0),0))),0)</f>
        <v>0</v>
      </c>
      <c r="J264" s="72">
        <f>IF(SUMIF('Customer Num Distr.'!$A:$A,Workings!$A264,'Customer Num Distr.'!$E:$E)&gt;='Discount Scheme Target'!$G$4,_xlfn.XLOOKUP(Workings!$E264,'Discount Scheme Target'!$B:$B,'Discount Scheme Target'!$G:$G,0,0),0)</f>
        <v>0</v>
      </c>
      <c r="K264" s="72">
        <f>IF(SUMIF('Bouclage EG Cust Cons_Decons'!$A:$A,Workings!$A264,'Bouclage EG Cust Cons_Decons'!$F:$F)&gt;='Discount Scheme Target'!$H$4,_xlfn.XLOOKUP(Workings!$E264,'Discount Scheme Target'!$B:$B,'Discount Scheme Target'!$H:$H,0,0),0)</f>
        <v>0</v>
      </c>
      <c r="L264" s="72">
        <f>IF(INDEX('TT Around time'!$A$1:$F$46,MATCH($A264,'TT Around time'!$A:$A,0),6)&gt;='Discount Scheme Target'!$I$4,_xlfn.XLOOKUP(Workings!$E264,'Discount Scheme Target'!$B:$B,'Discount Scheme Target'!$I:$I,0,0),0)</f>
        <v>5.0000000000000001E-3</v>
      </c>
      <c r="M264" s="72">
        <f t="shared" si="33"/>
        <v>5.0000000000000001E-3</v>
      </c>
      <c r="N264" s="62">
        <f t="shared" si="40"/>
        <v>0</v>
      </c>
      <c r="T264" s="61">
        <f t="shared" si="34"/>
        <v>0</v>
      </c>
      <c r="U264" s="61">
        <f t="shared" si="35"/>
        <v>0</v>
      </c>
      <c r="V264" s="61">
        <f t="shared" si="36"/>
        <v>0</v>
      </c>
      <c r="W264" s="61">
        <f t="shared" si="37"/>
        <v>0</v>
      </c>
      <c r="X264" s="61">
        <f t="shared" si="38"/>
        <v>0</v>
      </c>
      <c r="Y264" s="61">
        <f t="shared" si="39"/>
        <v>0</v>
      </c>
    </row>
    <row r="265" spans="1:25" x14ac:dyDescent="0.25">
      <c r="A265" s="51">
        <v>2300001202</v>
      </c>
      <c r="B265" s="51" t="s">
        <v>147</v>
      </c>
      <c r="C265" s="51" t="s">
        <v>145</v>
      </c>
      <c r="D265" s="51" t="s">
        <v>141</v>
      </c>
      <c r="E265" s="51" t="s">
        <v>133</v>
      </c>
      <c r="F265" s="52">
        <f>SUMIF('Customer Budget Per Category'!$A:$A,$A265,'Customer Budget Per Category'!$O:$O)</f>
        <v>314.0341157730071</v>
      </c>
      <c r="G265" s="52">
        <f>SUMIFS('Navision sales Dump'!$E:$E,'Navision sales Dump'!$K:$K,$E265,'Navision sales Dump'!$A:$A,$A265)</f>
        <v>431</v>
      </c>
      <c r="H265" s="62">
        <f>SUMIFS('Navision sales Dump'!$G:$G,'Navision sales Dump'!$K:$K,$E265,'Navision sales Dump'!$A:$A,$A265)</f>
        <v>4321800.78</v>
      </c>
      <c r="I265" s="72">
        <f>IFERROR(IF(($G265/$F265)&gt;='Discount Scheme Target'!$F$4,_xlfn.XLOOKUP($E265,'Discount Scheme Target'!$B:$B,'Discount Scheme Target'!$F:$F,0,0),IF(($G265/$F265)&gt;='Discount Scheme Target'!$E$4,_xlfn.XLOOKUP($E265,'Discount Scheme Target'!$B:$B,'Discount Scheme Target'!$E:$E,0,0),IF(($G265/$F265)&gt;='Discount Scheme Target'!$D$4,_xlfn.XLOOKUP($E265,'Discount Scheme Target'!$B:$B,'Discount Scheme Target'!$D:$D,0,0),0))),0)</f>
        <v>0.04</v>
      </c>
      <c r="J265" s="72">
        <f>IF(SUMIF('Customer Num Distr.'!$A:$A,Workings!$A265,'Customer Num Distr.'!$E:$E)&gt;='Discount Scheme Target'!$G$4,_xlfn.XLOOKUP(Workings!$E265,'Discount Scheme Target'!$B:$B,'Discount Scheme Target'!$G:$G,0,0),0)</f>
        <v>0</v>
      </c>
      <c r="K265" s="72">
        <f>IF(SUMIF('Bouclage EG Cust Cons_Decons'!$A:$A,Workings!$A265,'Bouclage EG Cust Cons_Decons'!$F:$F)&gt;='Discount Scheme Target'!$H$4,_xlfn.XLOOKUP(Workings!$E265,'Discount Scheme Target'!$B:$B,'Discount Scheme Target'!$H:$H,0,0),0)</f>
        <v>0</v>
      </c>
      <c r="L265" s="72">
        <f>IF(INDEX('TT Around time'!$A$1:$F$46,MATCH($A265,'TT Around time'!$A:$A,0),6)&gt;='Discount Scheme Target'!$I$4,_xlfn.XLOOKUP(Workings!$E265,'Discount Scheme Target'!$B:$B,'Discount Scheme Target'!$I:$I,0,0),0)</f>
        <v>5.0000000000000001E-3</v>
      </c>
      <c r="M265" s="72">
        <f t="shared" si="33"/>
        <v>4.4999999999999998E-2</v>
      </c>
      <c r="N265" s="62">
        <f t="shared" si="40"/>
        <v>141702.27353189714</v>
      </c>
      <c r="T265" s="61">
        <f t="shared" si="34"/>
        <v>125957.57647279745</v>
      </c>
      <c r="U265" s="61">
        <f t="shared" si="35"/>
        <v>0</v>
      </c>
      <c r="V265" s="61">
        <f t="shared" si="36"/>
        <v>0</v>
      </c>
      <c r="W265" s="61">
        <f t="shared" si="37"/>
        <v>15744.697059099681</v>
      </c>
      <c r="X265" s="61">
        <f t="shared" si="38"/>
        <v>141702.27353189714</v>
      </c>
      <c r="Y265" s="61">
        <f t="shared" si="39"/>
        <v>0</v>
      </c>
    </row>
    <row r="266" spans="1:25" x14ac:dyDescent="0.25">
      <c r="A266" s="51">
        <v>2300004631</v>
      </c>
      <c r="B266" s="51" t="s">
        <v>148</v>
      </c>
      <c r="C266" s="51" t="s">
        <v>145</v>
      </c>
      <c r="D266" s="51" t="s">
        <v>141</v>
      </c>
      <c r="E266" s="51" t="s">
        <v>417</v>
      </c>
      <c r="F266" s="52">
        <f>SUMIF('Customer Budget Per Category'!$A:$A,$A266,'Customer Budget Per Category'!$E:$E)</f>
        <v>22700</v>
      </c>
      <c r="G266" s="52">
        <f>SUMIFS('Navision sales Dump'!$E:$E,'Navision sales Dump'!$K:$K,$E266,'Navision sales Dump'!$A:$A,$A266)</f>
        <v>17184</v>
      </c>
      <c r="H266" s="62">
        <f>SUMIFS('Navision sales Dump'!$G:$G,'Navision sales Dump'!$K:$K,$E266,'Navision sales Dump'!$A:$A,$A266)</f>
        <v>122839055.73999999</v>
      </c>
      <c r="I266" s="72">
        <f>IFERROR(IF(($G266/$F266)&gt;='Discount Scheme Target'!$F$4,_xlfn.XLOOKUP($E266,'Discount Scheme Target'!$B:$B,'Discount Scheme Target'!$F:$F,0,0),IF(($G266/$F266)&gt;='Discount Scheme Target'!$E$4,_xlfn.XLOOKUP($E266,'Discount Scheme Target'!$B:$B,'Discount Scheme Target'!$E:$E,0,0),IF(($G266/$F266)&gt;='Discount Scheme Target'!$D$4,_xlfn.XLOOKUP($E266,'Discount Scheme Target'!$B:$B,'Discount Scheme Target'!$D:$D,0,0),0))),0)</f>
        <v>0</v>
      </c>
      <c r="J266" s="72">
        <f>IF(SUMIF('Customer Num Distr.'!$A:$A,Workings!$A266,'Customer Num Distr.'!$E:$E)&gt;='Discount Scheme Target'!$G$4,_xlfn.XLOOKUP(Workings!$E266,'Discount Scheme Target'!$B:$B,'Discount Scheme Target'!$G:$G,0,0),0)</f>
        <v>0</v>
      </c>
      <c r="K266" s="72">
        <f>IF(SUMIF('Bouclage EG Cust Cons_Decons'!$A:$A,Workings!$A266,'Bouclage EG Cust Cons_Decons'!$F:$F)&gt;='Discount Scheme Target'!$H$4,_xlfn.XLOOKUP(Workings!$E266,'Discount Scheme Target'!$B:$B,'Discount Scheme Target'!$H:$H,0,0),0)</f>
        <v>0</v>
      </c>
      <c r="L266" s="72">
        <f>IF(INDEX('TT Around time'!$A$1:$F$46,MATCH($A266,'TT Around time'!$A:$A,0),6)&gt;='Discount Scheme Target'!$I$4,_xlfn.XLOOKUP(Workings!$E266,'Discount Scheme Target'!$B:$B,'Discount Scheme Target'!$I:$I,0,0),0)</f>
        <v>0.01</v>
      </c>
      <c r="M266" s="72">
        <f t="shared" si="33"/>
        <v>0.01</v>
      </c>
      <c r="N266" s="62">
        <f t="shared" si="40"/>
        <v>1622699.3513140131</v>
      </c>
      <c r="T266" s="61">
        <f t="shared" si="34"/>
        <v>0</v>
      </c>
      <c r="U266" s="61">
        <f t="shared" si="35"/>
        <v>0</v>
      </c>
      <c r="V266" s="61">
        <f t="shared" si="36"/>
        <v>0</v>
      </c>
      <c r="W266" s="61">
        <f t="shared" si="37"/>
        <v>1622699.3513140131</v>
      </c>
      <c r="X266" s="61">
        <f t="shared" si="38"/>
        <v>1622699.3513140131</v>
      </c>
      <c r="Y266" s="61">
        <f t="shared" si="39"/>
        <v>0</v>
      </c>
    </row>
    <row r="267" spans="1:25" x14ac:dyDescent="0.25">
      <c r="A267" s="51">
        <v>2300004631</v>
      </c>
      <c r="B267" s="51" t="s">
        <v>148</v>
      </c>
      <c r="C267" s="51" t="s">
        <v>145</v>
      </c>
      <c r="D267" s="51" t="s">
        <v>141</v>
      </c>
      <c r="E267" s="51" t="s">
        <v>418</v>
      </c>
      <c r="F267" s="52">
        <f>SUMIF('Customer Budget Per Category'!$A:$A,$A267,'Customer Budget Per Category'!$F:$F)</f>
        <v>0</v>
      </c>
      <c r="G267" s="52">
        <f>SUMIFS('Navision sales Dump'!$E:$E,'Navision sales Dump'!$K:$K,$E267,'Navision sales Dump'!$A:$A,$A267)</f>
        <v>0</v>
      </c>
      <c r="H267" s="62">
        <f>SUMIFS('Navision sales Dump'!$G:$G,'Navision sales Dump'!$K:$K,$E267,'Navision sales Dump'!$A:$A,$A267)</f>
        <v>0</v>
      </c>
      <c r="I267" s="72">
        <f>IFERROR(IF(($G267/$F267)&gt;='Discount Scheme Target'!$F$4,_xlfn.XLOOKUP($E267,'Discount Scheme Target'!$B:$B,'Discount Scheme Target'!$F:$F,0,0),IF(($G267/$F267)&gt;='Discount Scheme Target'!$E$4,_xlfn.XLOOKUP($E267,'Discount Scheme Target'!$B:$B,'Discount Scheme Target'!$E:$E,0,0),IF(($G267/$F267)&gt;='Discount Scheme Target'!$D$4,_xlfn.XLOOKUP($E267,'Discount Scheme Target'!$B:$B,'Discount Scheme Target'!$D:$D,0,0),0))),0)</f>
        <v>0</v>
      </c>
      <c r="J267" s="72">
        <f>IF(SUMIF('Customer Num Distr.'!$A:$A,Workings!$A267,'Customer Num Distr.'!$E:$E)&gt;='Discount Scheme Target'!$G$4,_xlfn.XLOOKUP(Workings!$E267,'Discount Scheme Target'!$B:$B,'Discount Scheme Target'!$G:$G,0,0),0)</f>
        <v>0</v>
      </c>
      <c r="K267" s="72">
        <f>IF(SUMIF('Bouclage EG Cust Cons_Decons'!$A:$A,Workings!$A267,'Bouclage EG Cust Cons_Decons'!$F:$F)&gt;='Discount Scheme Target'!$H$4,_xlfn.XLOOKUP(Workings!$E267,'Discount Scheme Target'!$B:$B,'Discount Scheme Target'!$H:$H,0,0),0)</f>
        <v>0</v>
      </c>
      <c r="L267" s="72">
        <f>IF(INDEX('TT Around time'!$A$1:$F$46,MATCH($A267,'TT Around time'!$A:$A,0),6)&gt;='Discount Scheme Target'!$I$4,_xlfn.XLOOKUP(Workings!$E267,'Discount Scheme Target'!$B:$B,'Discount Scheme Target'!$I:$I,0,0),0)</f>
        <v>0</v>
      </c>
      <c r="M267" s="72">
        <f t="shared" si="33"/>
        <v>0</v>
      </c>
      <c r="N267" s="62">
        <f t="shared" si="40"/>
        <v>0</v>
      </c>
      <c r="T267" s="61">
        <f t="shared" si="34"/>
        <v>0</v>
      </c>
      <c r="U267" s="61">
        <f t="shared" si="35"/>
        <v>0</v>
      </c>
      <c r="V267" s="61">
        <f t="shared" si="36"/>
        <v>0</v>
      </c>
      <c r="W267" s="61">
        <f t="shared" si="37"/>
        <v>0</v>
      </c>
      <c r="X267" s="61">
        <f t="shared" si="38"/>
        <v>0</v>
      </c>
      <c r="Y267" s="61">
        <f t="shared" si="39"/>
        <v>0</v>
      </c>
    </row>
    <row r="268" spans="1:25" x14ac:dyDescent="0.25">
      <c r="A268" s="51">
        <v>2300004631</v>
      </c>
      <c r="B268" s="51" t="s">
        <v>148</v>
      </c>
      <c r="C268" s="51" t="s">
        <v>145</v>
      </c>
      <c r="D268" s="51" t="s">
        <v>141</v>
      </c>
      <c r="E268" s="51" t="s">
        <v>130</v>
      </c>
      <c r="F268" s="52">
        <f>SUMIF('Customer Budget Per Category'!$A:$A,$A268,'Customer Budget Per Category'!$G:$G)</f>
        <v>570.91603699312896</v>
      </c>
      <c r="G268" s="52">
        <f>SUMIFS('Navision sales Dump'!$E:$E,'Navision sales Dump'!$K:$K,$E268,'Navision sales Dump'!$A:$A,$A268)</f>
        <v>698</v>
      </c>
      <c r="H268" s="62">
        <f>SUMIFS('Navision sales Dump'!$G:$G,'Navision sales Dump'!$K:$K,$E268,'Navision sales Dump'!$A:$A,$A268)</f>
        <v>5392273.3599999994</v>
      </c>
      <c r="I268" s="72">
        <f>IFERROR(IF(($G268/$F268)&gt;='Discount Scheme Target'!$F$4,_xlfn.XLOOKUP($E268,'Discount Scheme Target'!$B:$B,'Discount Scheme Target'!$F:$F,0,0),IF(($G268/$F268)&gt;='Discount Scheme Target'!$E$4,_xlfn.XLOOKUP($E268,'Discount Scheme Target'!$B:$B,'Discount Scheme Target'!$E:$E,0,0),IF(($G268/$F268)&gt;='Discount Scheme Target'!$D$4,_xlfn.XLOOKUP($E268,'Discount Scheme Target'!$B:$B,'Discount Scheme Target'!$D:$D,0,0),0))),0)</f>
        <v>4.5000000000000005E-2</v>
      </c>
      <c r="J268" s="72">
        <f>IF(SUMIF('Customer Num Distr.'!$A:$A,Workings!$A268,'Customer Num Distr.'!$E:$E)&gt;='Discount Scheme Target'!$G$4,_xlfn.XLOOKUP(Workings!$E268,'Discount Scheme Target'!$B:$B,'Discount Scheme Target'!$G:$G,0,0),0)</f>
        <v>0</v>
      </c>
      <c r="K268" s="72">
        <f>IF(SUMIF('Bouclage EG Cust Cons_Decons'!$A:$A,Workings!$A268,'Bouclage EG Cust Cons_Decons'!$F:$F)&gt;='Discount Scheme Target'!$H$4,_xlfn.XLOOKUP(Workings!$E268,'Discount Scheme Target'!$B:$B,'Discount Scheme Target'!$H:$H,0,0),0)</f>
        <v>0</v>
      </c>
      <c r="L268" s="72">
        <f>IF(INDEX('TT Around time'!$A$1:$F$46,MATCH($A268,'TT Around time'!$A:$A,0),6)&gt;='Discount Scheme Target'!$I$4,_xlfn.XLOOKUP(Workings!$E268,'Discount Scheme Target'!$B:$B,'Discount Scheme Target'!$I:$I,0,0),0)</f>
        <v>0.01</v>
      </c>
      <c r="M268" s="72">
        <f t="shared" si="33"/>
        <v>5.5000000000000007E-2</v>
      </c>
      <c r="N268" s="62">
        <f t="shared" si="40"/>
        <v>242577.99933970673</v>
      </c>
      <c r="T268" s="61">
        <f t="shared" si="34"/>
        <v>198472.90855066912</v>
      </c>
      <c r="U268" s="61">
        <f t="shared" si="35"/>
        <v>0</v>
      </c>
      <c r="V268" s="61">
        <f t="shared" si="36"/>
        <v>0</v>
      </c>
      <c r="W268" s="61">
        <f t="shared" si="37"/>
        <v>44105.090789037582</v>
      </c>
      <c r="X268" s="61">
        <f t="shared" si="38"/>
        <v>242577.9993397067</v>
      </c>
      <c r="Y268" s="61">
        <f t="shared" si="39"/>
        <v>0</v>
      </c>
    </row>
    <row r="269" spans="1:25" x14ac:dyDescent="0.25">
      <c r="A269" s="51">
        <v>2300004631</v>
      </c>
      <c r="B269" s="51" t="s">
        <v>148</v>
      </c>
      <c r="C269" s="51" t="s">
        <v>145</v>
      </c>
      <c r="D269" s="51" t="s">
        <v>141</v>
      </c>
      <c r="E269" s="51" t="s">
        <v>131</v>
      </c>
      <c r="F269" s="52">
        <f>SUMIF('Customer Budget Per Category'!$A:$A,$A269,'Customer Budget Per Category'!$H:$H)</f>
        <v>188.82520909748629</v>
      </c>
      <c r="G269" s="52">
        <f>SUMIFS('Navision sales Dump'!$E:$E,'Navision sales Dump'!$K:$K,$E269,'Navision sales Dump'!$A:$A,$A269)</f>
        <v>214</v>
      </c>
      <c r="H269" s="62">
        <f>SUMIFS('Navision sales Dump'!$G:$G,'Navision sales Dump'!$K:$K,$E269,'Navision sales Dump'!$A:$A,$A269)</f>
        <v>8423357.7899999991</v>
      </c>
      <c r="I269" s="72">
        <f>IFERROR(IF(($G269/$F269)&gt;='Discount Scheme Target'!$F$4,_xlfn.XLOOKUP($E269,'Discount Scheme Target'!$B:$B,'Discount Scheme Target'!$F:$F,0,0),IF(($G269/$F269)&gt;='Discount Scheme Target'!$E$4,_xlfn.XLOOKUP($E269,'Discount Scheme Target'!$B:$B,'Discount Scheme Target'!$E:$E,0,0),IF(($G269/$F269)&gt;='Discount Scheme Target'!$D$4,_xlfn.XLOOKUP($E269,'Discount Scheme Target'!$B:$B,'Discount Scheme Target'!$D:$D,0,0),0))),0)</f>
        <v>0.03</v>
      </c>
      <c r="J269" s="72">
        <f>IF(SUMIF('Customer Num Distr.'!$A:$A,Workings!$A269,'Customer Num Distr.'!$E:$E)&gt;='Discount Scheme Target'!$G$4,_xlfn.XLOOKUP(Workings!$E269,'Discount Scheme Target'!$B:$B,'Discount Scheme Target'!$G:$G,0,0),0)</f>
        <v>0</v>
      </c>
      <c r="K269" s="72">
        <f>IF(SUMIF('Bouclage EG Cust Cons_Decons'!$A:$A,Workings!$A269,'Bouclage EG Cust Cons_Decons'!$F:$F)&gt;='Discount Scheme Target'!$H$4,_xlfn.XLOOKUP(Workings!$E269,'Discount Scheme Target'!$B:$B,'Discount Scheme Target'!$H:$H,0,0),0)</f>
        <v>0</v>
      </c>
      <c r="L269" s="72">
        <f>IF(INDEX('TT Around time'!$A$1:$F$46,MATCH($A269,'TT Around time'!$A:$A,0),6)&gt;='Discount Scheme Target'!$I$4,_xlfn.XLOOKUP(Workings!$E269,'Discount Scheme Target'!$B:$B,'Discount Scheme Target'!$I:$I,0,0),0)</f>
        <v>5.0000000000000001E-3</v>
      </c>
      <c r="M269" s="72">
        <f t="shared" si="33"/>
        <v>3.4999999999999996E-2</v>
      </c>
      <c r="N269" s="62">
        <f t="shared" si="40"/>
        <v>260135.42224293988</v>
      </c>
      <c r="T269" s="61">
        <f t="shared" si="34"/>
        <v>222973.21906537705</v>
      </c>
      <c r="U269" s="61">
        <f t="shared" si="35"/>
        <v>0</v>
      </c>
      <c r="V269" s="61">
        <f t="shared" si="36"/>
        <v>0</v>
      </c>
      <c r="W269" s="61">
        <f t="shared" si="37"/>
        <v>37162.203177562849</v>
      </c>
      <c r="X269" s="61">
        <f t="shared" si="38"/>
        <v>260135.42224293991</v>
      </c>
      <c r="Y269" s="61">
        <f t="shared" si="39"/>
        <v>0</v>
      </c>
    </row>
    <row r="270" spans="1:25" x14ac:dyDescent="0.25">
      <c r="A270" s="51">
        <v>2300004631</v>
      </c>
      <c r="B270" s="51" t="s">
        <v>148</v>
      </c>
      <c r="C270" s="51" t="s">
        <v>145</v>
      </c>
      <c r="D270" s="51" t="s">
        <v>141</v>
      </c>
      <c r="E270" s="51" t="s">
        <v>514</v>
      </c>
      <c r="F270" s="52">
        <f>SUMIF('Customer Budget Per Category'!$A:$A,$A270,'Customer Budget Per Category'!$I:$I)</f>
        <v>8621.9563187828226</v>
      </c>
      <c r="G270" s="52">
        <f>SUMIFS('Navision sales Dump'!$E:$E,'Navision sales Dump'!$K:$K,$E270,'Navision sales Dump'!$A:$A,$A270)</f>
        <v>9984</v>
      </c>
      <c r="H270" s="62">
        <f>SUMIFS('Navision sales Dump'!$G:$G,'Navision sales Dump'!$K:$K,$E270,'Navision sales Dump'!$A:$A,$A270)</f>
        <v>39516971.519999996</v>
      </c>
      <c r="I270" s="72">
        <f>IFERROR(IF(($G270/$F270)&gt;='Discount Scheme Target'!$F$4,_xlfn.XLOOKUP($E270,'Discount Scheme Target'!$B:$B,'Discount Scheme Target'!$F:$F,0,0),IF(($G270/$F270)&gt;='Discount Scheme Target'!$E$4,_xlfn.XLOOKUP($E270,'Discount Scheme Target'!$B:$B,'Discount Scheme Target'!$E:$E,0,0),IF(($G270/$F270)&gt;='Discount Scheme Target'!$D$4,_xlfn.XLOOKUP($E270,'Discount Scheme Target'!$B:$B,'Discount Scheme Target'!$D:$D,0,0),0))),0)</f>
        <v>0.04</v>
      </c>
      <c r="J270" s="72">
        <f>IF(SUMIF('Customer Num Distr.'!$A:$A,Workings!$A270,'Customer Num Distr.'!$E:$E)&gt;='Discount Scheme Target'!$G$4,_xlfn.XLOOKUP(Workings!$E270,'Discount Scheme Target'!$B:$B,'Discount Scheme Target'!$G:$G,0,0),0)</f>
        <v>0</v>
      </c>
      <c r="K270" s="72">
        <f>IF(SUMIF('Bouclage EG Cust Cons_Decons'!$A:$A,Workings!$A270,'Bouclage EG Cust Cons_Decons'!$F:$F)&gt;='Discount Scheme Target'!$H$4,_xlfn.XLOOKUP(Workings!$E270,'Discount Scheme Target'!$B:$B,'Discount Scheme Target'!$H:$H,0,0),0)</f>
        <v>0</v>
      </c>
      <c r="L270" s="72">
        <f>IF(INDEX('TT Around time'!$A$1:$F$46,MATCH($A270,'TT Around time'!$A:$A,0),6)&gt;='Discount Scheme Target'!$I$4,_xlfn.XLOOKUP(Workings!$E270,'Discount Scheme Target'!$B:$B,'Discount Scheme Target'!$I:$I,0,0),0)</f>
        <v>5.0000000000000001E-3</v>
      </c>
      <c r="M270" s="72">
        <f t="shared" ref="M270:M320" si="41">SUM($I270:$L270)</f>
        <v>4.4999999999999998E-2</v>
      </c>
      <c r="N270" s="62">
        <f t="shared" si="40"/>
        <v>1535668.279579439</v>
      </c>
      <c r="T270" s="61">
        <f t="shared" ref="T270:T320" si="42">IFERROR(($H270/$G270)*$F270*$I270,)</f>
        <v>1365038.4707372792</v>
      </c>
      <c r="U270" s="61">
        <f t="shared" ref="U270:U320" si="43">IFERROR(($H270/$G270)*$F270*$J270,)</f>
        <v>0</v>
      </c>
      <c r="V270" s="61">
        <f t="shared" ref="V270:V320" si="44">IFERROR(($H270/$G270)*$F270*$K270,)</f>
        <v>0</v>
      </c>
      <c r="W270" s="61">
        <f t="shared" ref="W270:W320" si="45">IFERROR(($H270/$G270)*$F270*$L270,)</f>
        <v>170629.80884215989</v>
      </c>
      <c r="X270" s="61">
        <f t="shared" ref="X270:X320" si="46">SUM(T270:W270)</f>
        <v>1535668.279579439</v>
      </c>
      <c r="Y270" s="61">
        <f t="shared" ref="Y270:Y320" si="47">N270-X270</f>
        <v>0</v>
      </c>
    </row>
    <row r="271" spans="1:25" x14ac:dyDescent="0.25">
      <c r="A271" s="51">
        <v>2300004631</v>
      </c>
      <c r="B271" s="51" t="s">
        <v>148</v>
      </c>
      <c r="C271" s="51" t="s">
        <v>145</v>
      </c>
      <c r="D271" s="51" t="s">
        <v>141</v>
      </c>
      <c r="E271" s="51" t="s">
        <v>515</v>
      </c>
      <c r="F271" s="52">
        <f>SUMIF('Customer Budget Per Category'!$A:$A,$A271,'Customer Budget Per Category'!$J:$J)</f>
        <v>1162.2918946063498</v>
      </c>
      <c r="G271" s="52">
        <f>SUMIFS('Navision sales Dump'!$E:$E,'Navision sales Dump'!$K:$K,$E271,'Navision sales Dump'!$A:$A,$A271)</f>
        <v>432</v>
      </c>
      <c r="H271" s="62">
        <f>SUMIFS('Navision sales Dump'!$G:$G,'Navision sales Dump'!$K:$K,$E271,'Navision sales Dump'!$A:$A,$A271)</f>
        <v>1219492.7999999998</v>
      </c>
      <c r="I271" s="72">
        <f>IFERROR(IF(($G271/$F271)&gt;='Discount Scheme Target'!$F$4,_xlfn.XLOOKUP($E271,'Discount Scheme Target'!$B:$B,'Discount Scheme Target'!$F:$F,0,0),IF(($G271/$F271)&gt;='Discount Scheme Target'!$E$4,_xlfn.XLOOKUP($E271,'Discount Scheme Target'!$B:$B,'Discount Scheme Target'!$E:$E,0,0),IF(($G271/$F271)&gt;='Discount Scheme Target'!$D$4,_xlfn.XLOOKUP($E271,'Discount Scheme Target'!$B:$B,'Discount Scheme Target'!$D:$D,0,0),0))),0)</f>
        <v>0</v>
      </c>
      <c r="J271" s="72">
        <f>IF(SUMIF('Customer Num Distr.'!$A:$A,Workings!$A271,'Customer Num Distr.'!$E:$E)&gt;='Discount Scheme Target'!$G$4,_xlfn.XLOOKUP(Workings!$E271,'Discount Scheme Target'!$B:$B,'Discount Scheme Target'!$G:$G,0,0),0)</f>
        <v>0</v>
      </c>
      <c r="K271" s="72">
        <f>IF(SUMIF('Bouclage EG Cust Cons_Decons'!$A:$A,Workings!$A271,'Bouclage EG Cust Cons_Decons'!$F:$F)&gt;='Discount Scheme Target'!$H$4,_xlfn.XLOOKUP(Workings!$E271,'Discount Scheme Target'!$B:$B,'Discount Scheme Target'!$H:$H,0,0),0)</f>
        <v>0</v>
      </c>
      <c r="L271" s="72">
        <f>IF(INDEX('TT Around time'!$A$1:$F$46,MATCH($A271,'TT Around time'!$A:$A,0),6)&gt;='Discount Scheme Target'!$I$4,_xlfn.XLOOKUP(Workings!$E271,'Discount Scheme Target'!$B:$B,'Discount Scheme Target'!$I:$I,0,0),0)</f>
        <v>5.0000000000000001E-3</v>
      </c>
      <c r="M271" s="72">
        <f t="shared" si="41"/>
        <v>5.0000000000000001E-3</v>
      </c>
      <c r="N271" s="62">
        <f t="shared" si="40"/>
        <v>16405.168946421323</v>
      </c>
      <c r="T271" s="61">
        <f t="shared" si="42"/>
        <v>0</v>
      </c>
      <c r="U271" s="61">
        <f t="shared" si="43"/>
        <v>0</v>
      </c>
      <c r="V271" s="61">
        <f t="shared" si="44"/>
        <v>0</v>
      </c>
      <c r="W271" s="61">
        <f t="shared" si="45"/>
        <v>16405.168946421323</v>
      </c>
      <c r="X271" s="61">
        <f t="shared" si="46"/>
        <v>16405.168946421323</v>
      </c>
      <c r="Y271" s="61">
        <f t="shared" si="47"/>
        <v>0</v>
      </c>
    </row>
    <row r="272" spans="1:25" x14ac:dyDescent="0.25">
      <c r="A272" s="51">
        <v>2300004631</v>
      </c>
      <c r="B272" s="51" t="s">
        <v>148</v>
      </c>
      <c r="C272" s="51" t="s">
        <v>145</v>
      </c>
      <c r="D272" s="51" t="s">
        <v>141</v>
      </c>
      <c r="E272" s="51" t="s">
        <v>161</v>
      </c>
      <c r="F272" s="52">
        <f>SUMIF('Customer Budget Per Category'!$A:$A,$A272,'Customer Budget Per Category'!$K:$K)</f>
        <v>0</v>
      </c>
      <c r="G272" s="52">
        <f>SUMIFS('Navision sales Dump'!$E:$E,'Navision sales Dump'!$K:$K,$E272,'Navision sales Dump'!$A:$A,$A272)</f>
        <v>0</v>
      </c>
      <c r="H272" s="62">
        <f>SUMIFS('Navision sales Dump'!$G:$G,'Navision sales Dump'!$K:$K,$E272,'Navision sales Dump'!$A:$A,$A272)</f>
        <v>0</v>
      </c>
      <c r="I272" s="72">
        <f>IFERROR(IF(($G272/$F272)&gt;='Discount Scheme Target'!$F$4,_xlfn.XLOOKUP($E272,'Discount Scheme Target'!$B:$B,'Discount Scheme Target'!$F:$F,0,0),IF(($G272/$F272)&gt;='Discount Scheme Target'!$E$4,_xlfn.XLOOKUP($E272,'Discount Scheme Target'!$B:$B,'Discount Scheme Target'!$E:$E,0,0),IF(($G272/$F272)&gt;='Discount Scheme Target'!$D$4,_xlfn.XLOOKUP($E272,'Discount Scheme Target'!$B:$B,'Discount Scheme Target'!$D:$D,0,0),0))),0)</f>
        <v>0</v>
      </c>
      <c r="J272" s="72">
        <f>IF(SUMIF('Customer Num Distr.'!$A:$A,Workings!$A272,'Customer Num Distr.'!$E:$E)&gt;='Discount Scheme Target'!$G$4,_xlfn.XLOOKUP(Workings!$E272,'Discount Scheme Target'!$B:$B,'Discount Scheme Target'!$G:$G,0,0),0)</f>
        <v>0</v>
      </c>
      <c r="K272" s="72">
        <f>IF(SUMIF('Bouclage EG Cust Cons_Decons'!$A:$A,Workings!$A272,'Bouclage EG Cust Cons_Decons'!$F:$F)&gt;='Discount Scheme Target'!$H$4,_xlfn.XLOOKUP(Workings!$E272,'Discount Scheme Target'!$B:$B,'Discount Scheme Target'!$H:$H,0,0),0)</f>
        <v>0</v>
      </c>
      <c r="L272" s="72">
        <f>IF(INDEX('TT Around time'!$A$1:$F$46,MATCH($A272,'TT Around time'!$A:$A,0),6)&gt;='Discount Scheme Target'!$I$4,_xlfn.XLOOKUP(Workings!$E272,'Discount Scheme Target'!$B:$B,'Discount Scheme Target'!$I:$I,0,0),0)</f>
        <v>0</v>
      </c>
      <c r="M272" s="72">
        <f t="shared" si="41"/>
        <v>0</v>
      </c>
      <c r="N272" s="62">
        <f t="shared" si="40"/>
        <v>0</v>
      </c>
      <c r="T272" s="61">
        <f t="shared" si="42"/>
        <v>0</v>
      </c>
      <c r="U272" s="61">
        <f t="shared" si="43"/>
        <v>0</v>
      </c>
      <c r="V272" s="61">
        <f t="shared" si="44"/>
        <v>0</v>
      </c>
      <c r="W272" s="61">
        <f t="shared" si="45"/>
        <v>0</v>
      </c>
      <c r="X272" s="61">
        <f t="shared" si="46"/>
        <v>0</v>
      </c>
      <c r="Y272" s="61">
        <f t="shared" si="47"/>
        <v>0</v>
      </c>
    </row>
    <row r="273" spans="1:25" x14ac:dyDescent="0.25">
      <c r="A273" s="51">
        <v>2300004631</v>
      </c>
      <c r="B273" s="51" t="s">
        <v>148</v>
      </c>
      <c r="C273" s="51" t="s">
        <v>145</v>
      </c>
      <c r="D273" s="51" t="s">
        <v>141</v>
      </c>
      <c r="E273" s="51" t="s">
        <v>354</v>
      </c>
      <c r="F273" s="52">
        <f>SUMIF('Customer Budget Per Category'!$A:$A,$A273,'Customer Budget Per Category'!$L:$L)</f>
        <v>3592.5571170226704</v>
      </c>
      <c r="G273" s="52">
        <f>SUMIFS('Navision sales Dump'!$E:$E,'Navision sales Dump'!$K:$K,$E273,'Navision sales Dump'!$A:$A,$A273)</f>
        <v>4171</v>
      </c>
      <c r="H273" s="62">
        <f>SUMIFS('Navision sales Dump'!$G:$G,'Navision sales Dump'!$K:$K,$E273,'Navision sales Dump'!$A:$A,$A273)</f>
        <v>14184925.720000001</v>
      </c>
      <c r="I273" s="72">
        <f>IFERROR(IF(($G273/$F273)&gt;='Discount Scheme Target'!$F$4,_xlfn.XLOOKUP($E273,'Discount Scheme Target'!$B:$B,'Discount Scheme Target'!$F:$F,0,0),IF(($G273/$F273)&gt;='Discount Scheme Target'!$E$4,_xlfn.XLOOKUP($E273,'Discount Scheme Target'!$B:$B,'Discount Scheme Target'!$E:$E,0,0),IF(($G273/$F273)&gt;='Discount Scheme Target'!$D$4,_xlfn.XLOOKUP($E273,'Discount Scheme Target'!$B:$B,'Discount Scheme Target'!$D:$D,0,0),0))),0)</f>
        <v>0.04</v>
      </c>
      <c r="J273" s="72">
        <f>IF(SUMIF('Customer Num Distr.'!$A:$A,Workings!$A273,'Customer Num Distr.'!$E:$E)&gt;='Discount Scheme Target'!$G$4,_xlfn.XLOOKUP(Workings!$E273,'Discount Scheme Target'!$B:$B,'Discount Scheme Target'!$G:$G,0,0),0)</f>
        <v>0</v>
      </c>
      <c r="K273" s="72">
        <f>IF(SUMIF('Bouclage EG Cust Cons_Decons'!$A:$A,Workings!$A273,'Bouclage EG Cust Cons_Decons'!$F:$F)&gt;='Discount Scheme Target'!$H$4,_xlfn.XLOOKUP(Workings!$E273,'Discount Scheme Target'!$B:$B,'Discount Scheme Target'!$H:$H,0,0),0)</f>
        <v>0</v>
      </c>
      <c r="L273" s="72">
        <f>IF(INDEX('TT Around time'!$A$1:$F$46,MATCH($A273,'TT Around time'!$A:$A,0),6)&gt;='Discount Scheme Target'!$I$4,_xlfn.XLOOKUP(Workings!$E273,'Discount Scheme Target'!$B:$B,'Discount Scheme Target'!$I:$I,0,0),0)</f>
        <v>5.0000000000000001E-3</v>
      </c>
      <c r="M273" s="72">
        <f t="shared" si="41"/>
        <v>4.4999999999999998E-2</v>
      </c>
      <c r="N273" s="62">
        <f t="shared" si="40"/>
        <v>549797.89336899458</v>
      </c>
      <c r="T273" s="61">
        <f t="shared" si="42"/>
        <v>488709.23855021747</v>
      </c>
      <c r="U273" s="61">
        <f t="shared" si="43"/>
        <v>0</v>
      </c>
      <c r="V273" s="61">
        <f t="shared" si="44"/>
        <v>0</v>
      </c>
      <c r="W273" s="61">
        <f t="shared" si="45"/>
        <v>61088.654818777184</v>
      </c>
      <c r="X273" s="61">
        <f t="shared" si="46"/>
        <v>549797.8933689947</v>
      </c>
      <c r="Y273" s="61">
        <f t="shared" si="47"/>
        <v>0</v>
      </c>
    </row>
    <row r="274" spans="1:25" x14ac:dyDescent="0.25">
      <c r="A274" s="51">
        <v>2300004631</v>
      </c>
      <c r="B274" s="51" t="s">
        <v>148</v>
      </c>
      <c r="C274" s="51" t="s">
        <v>145</v>
      </c>
      <c r="D274" s="51" t="s">
        <v>141</v>
      </c>
      <c r="E274" s="51" t="s">
        <v>355</v>
      </c>
      <c r="F274" s="52">
        <f>SUMIF('Customer Budget Per Category'!$A:$A,$A274,'Customer Budget Per Category'!$M:$M)</f>
        <v>2158.3034590032908</v>
      </c>
      <c r="G274" s="52">
        <f>SUMIFS('Navision sales Dump'!$E:$E,'Navision sales Dump'!$K:$K,$E274,'Navision sales Dump'!$A:$A,$A274)</f>
        <v>1797</v>
      </c>
      <c r="H274" s="62">
        <f>SUMIFS('Navision sales Dump'!$G:$G,'Navision sales Dump'!$K:$K,$E274,'Navision sales Dump'!$A:$A,$A274)</f>
        <v>4435181.4300000006</v>
      </c>
      <c r="I274" s="72">
        <f>IFERROR(IF(($G274/$F274)&gt;='Discount Scheme Target'!$F$4,_xlfn.XLOOKUP($E274,'Discount Scheme Target'!$B:$B,'Discount Scheme Target'!$F:$F,0,0),IF(($G274/$F274)&gt;='Discount Scheme Target'!$E$4,_xlfn.XLOOKUP($E274,'Discount Scheme Target'!$B:$B,'Discount Scheme Target'!$E:$E,0,0),IF(($G274/$F274)&gt;='Discount Scheme Target'!$D$4,_xlfn.XLOOKUP($E274,'Discount Scheme Target'!$B:$B,'Discount Scheme Target'!$D:$D,0,0),0))),0)</f>
        <v>0</v>
      </c>
      <c r="J274" s="72">
        <f>IF(SUMIF('Customer Num Distr.'!$A:$A,Workings!$A274,'Customer Num Distr.'!$E:$E)&gt;='Discount Scheme Target'!$G$4,_xlfn.XLOOKUP(Workings!$E274,'Discount Scheme Target'!$B:$B,'Discount Scheme Target'!$G:$G,0,0),0)</f>
        <v>0</v>
      </c>
      <c r="K274" s="72">
        <f>IF(SUMIF('Bouclage EG Cust Cons_Decons'!$A:$A,Workings!$A274,'Bouclage EG Cust Cons_Decons'!$F:$F)&gt;='Discount Scheme Target'!$H$4,_xlfn.XLOOKUP(Workings!$E274,'Discount Scheme Target'!$B:$B,'Discount Scheme Target'!$H:$H,0,0),0)</f>
        <v>0</v>
      </c>
      <c r="L274" s="72">
        <f>IF(INDEX('TT Around time'!$A$1:$F$46,MATCH($A274,'TT Around time'!$A:$A,0),6)&gt;='Discount Scheme Target'!$I$4,_xlfn.XLOOKUP(Workings!$E274,'Discount Scheme Target'!$B:$B,'Discount Scheme Target'!$I:$I,0,0),0)</f>
        <v>5.0000000000000001E-3</v>
      </c>
      <c r="M274" s="72">
        <f t="shared" si="41"/>
        <v>5.0000000000000001E-3</v>
      </c>
      <c r="N274" s="62">
        <f t="shared" si="40"/>
        <v>26634.578246177418</v>
      </c>
      <c r="T274" s="61">
        <f t="shared" si="42"/>
        <v>0</v>
      </c>
      <c r="U274" s="61">
        <f t="shared" si="43"/>
        <v>0</v>
      </c>
      <c r="V274" s="61">
        <f t="shared" si="44"/>
        <v>0</v>
      </c>
      <c r="W274" s="61">
        <f t="shared" si="45"/>
        <v>26634.578246177418</v>
      </c>
      <c r="X274" s="61">
        <f t="shared" si="46"/>
        <v>26634.578246177418</v>
      </c>
      <c r="Y274" s="61">
        <f t="shared" si="47"/>
        <v>0</v>
      </c>
    </row>
    <row r="275" spans="1:25" x14ac:dyDescent="0.25">
      <c r="A275" s="51">
        <v>2300004631</v>
      </c>
      <c r="B275" s="51" t="s">
        <v>148</v>
      </c>
      <c r="C275" s="51" t="s">
        <v>145</v>
      </c>
      <c r="D275" s="51" t="s">
        <v>141</v>
      </c>
      <c r="E275" s="51" t="s">
        <v>132</v>
      </c>
      <c r="F275" s="52">
        <f>SUMIF('Customer Budget Per Category'!$A:$A,$A275,'Customer Budget Per Category'!$N:$N)</f>
        <v>402</v>
      </c>
      <c r="G275" s="52">
        <f>SUMIFS('Navision sales Dump'!$E:$E,'Navision sales Dump'!$K:$K,$E275,'Navision sales Dump'!$A:$A,$A275)</f>
        <v>432</v>
      </c>
      <c r="H275" s="62">
        <f>SUMIFS('Navision sales Dump'!$G:$G,'Navision sales Dump'!$K:$K,$E275,'Navision sales Dump'!$A:$A,$A275)</f>
        <v>942796.80000000005</v>
      </c>
      <c r="I275" s="72">
        <f>IFERROR(IF(($G275/$F275)&gt;='Discount Scheme Target'!$F$4,_xlfn.XLOOKUP($E275,'Discount Scheme Target'!$B:$B,'Discount Scheme Target'!$F:$F,0,0),IF(($G275/$F275)&gt;='Discount Scheme Target'!$E$4,_xlfn.XLOOKUP($E275,'Discount Scheme Target'!$B:$B,'Discount Scheme Target'!$E:$E,0,0),IF(($G275/$F275)&gt;='Discount Scheme Target'!$D$4,_xlfn.XLOOKUP($E275,'Discount Scheme Target'!$B:$B,'Discount Scheme Target'!$D:$D,0,0),0))),0)</f>
        <v>0.03</v>
      </c>
      <c r="J275" s="72">
        <f>IF(SUMIF('Customer Num Distr.'!$A:$A,Workings!$A275,'Customer Num Distr.'!$E:$E)&gt;='Discount Scheme Target'!$G$4,_xlfn.XLOOKUP(Workings!$E275,'Discount Scheme Target'!$B:$B,'Discount Scheme Target'!$G:$G,0,0),0)</f>
        <v>0</v>
      </c>
      <c r="K275" s="72">
        <f>IF(SUMIF('Bouclage EG Cust Cons_Decons'!$A:$A,Workings!$A275,'Bouclage EG Cust Cons_Decons'!$F:$F)&gt;='Discount Scheme Target'!$H$4,_xlfn.XLOOKUP(Workings!$E275,'Discount Scheme Target'!$B:$B,'Discount Scheme Target'!$H:$H,0,0),0)</f>
        <v>0</v>
      </c>
      <c r="L275" s="72">
        <f>IF(INDEX('TT Around time'!$A$1:$F$46,MATCH($A275,'TT Around time'!$A:$A,0),6)&gt;='Discount Scheme Target'!$I$4,_xlfn.XLOOKUP(Workings!$E275,'Discount Scheme Target'!$B:$B,'Discount Scheme Target'!$I:$I,0,0),0)</f>
        <v>5.0000000000000001E-3</v>
      </c>
      <c r="M275" s="72">
        <f t="shared" si="41"/>
        <v>3.4999999999999996E-2</v>
      </c>
      <c r="N275" s="62">
        <f t="shared" si="40"/>
        <v>30706.367999999999</v>
      </c>
      <c r="T275" s="61">
        <f t="shared" si="42"/>
        <v>26319.743999999999</v>
      </c>
      <c r="U275" s="61">
        <f t="shared" si="43"/>
        <v>0</v>
      </c>
      <c r="V275" s="61">
        <f t="shared" si="44"/>
        <v>0</v>
      </c>
      <c r="W275" s="61">
        <f t="shared" si="45"/>
        <v>4386.6240000000007</v>
      </c>
      <c r="X275" s="61">
        <f t="shared" si="46"/>
        <v>30706.367999999999</v>
      </c>
      <c r="Y275" s="61">
        <f t="shared" si="47"/>
        <v>0</v>
      </c>
    </row>
    <row r="276" spans="1:25" x14ac:dyDescent="0.25">
      <c r="A276" s="51">
        <v>2300004631</v>
      </c>
      <c r="B276" s="51" t="s">
        <v>148</v>
      </c>
      <c r="C276" s="51" t="s">
        <v>145</v>
      </c>
      <c r="D276" s="51" t="s">
        <v>141</v>
      </c>
      <c r="E276" s="51" t="s">
        <v>133</v>
      </c>
      <c r="F276" s="52">
        <f>SUMIF('Customer Budget Per Category'!$A:$A,$A276,'Customer Budget Per Category'!$O:$O)</f>
        <v>350</v>
      </c>
      <c r="G276" s="52">
        <f>SUMIFS('Navision sales Dump'!$E:$E,'Navision sales Dump'!$K:$K,$E276,'Navision sales Dump'!$A:$A,$A276)</f>
        <v>502</v>
      </c>
      <c r="H276" s="62">
        <f>SUMIFS('Navision sales Dump'!$G:$G,'Navision sales Dump'!$K:$K,$E276,'Navision sales Dump'!$A:$A,$A276)</f>
        <v>5033744.76</v>
      </c>
      <c r="I276" s="72">
        <f>IFERROR(IF(($G276/$F276)&gt;='Discount Scheme Target'!$F$4,_xlfn.XLOOKUP($E276,'Discount Scheme Target'!$B:$B,'Discount Scheme Target'!$F:$F,0,0),IF(($G276/$F276)&gt;='Discount Scheme Target'!$E$4,_xlfn.XLOOKUP($E276,'Discount Scheme Target'!$B:$B,'Discount Scheme Target'!$E:$E,0,0),IF(($G276/$F276)&gt;='Discount Scheme Target'!$D$4,_xlfn.XLOOKUP($E276,'Discount Scheme Target'!$B:$B,'Discount Scheme Target'!$D:$D,0,0),0))),0)</f>
        <v>0.04</v>
      </c>
      <c r="J276" s="72">
        <f>IF(SUMIF('Customer Num Distr.'!$A:$A,Workings!$A276,'Customer Num Distr.'!$E:$E)&gt;='Discount Scheme Target'!$G$4,_xlfn.XLOOKUP(Workings!$E276,'Discount Scheme Target'!$B:$B,'Discount Scheme Target'!$G:$G,0,0),0)</f>
        <v>0</v>
      </c>
      <c r="K276" s="72">
        <f>IF(SUMIF('Bouclage EG Cust Cons_Decons'!$A:$A,Workings!$A276,'Bouclage EG Cust Cons_Decons'!$F:$F)&gt;='Discount Scheme Target'!$H$4,_xlfn.XLOOKUP(Workings!$E276,'Discount Scheme Target'!$B:$B,'Discount Scheme Target'!$H:$H,0,0),0)</f>
        <v>0</v>
      </c>
      <c r="L276" s="72">
        <f>IF(INDEX('TT Around time'!$A$1:$F$46,MATCH($A276,'TT Around time'!$A:$A,0),6)&gt;='Discount Scheme Target'!$I$4,_xlfn.XLOOKUP(Workings!$E276,'Discount Scheme Target'!$B:$B,'Discount Scheme Target'!$I:$I,0,0),0)</f>
        <v>5.0000000000000001E-3</v>
      </c>
      <c r="M276" s="72">
        <f t="shared" si="41"/>
        <v>4.4999999999999998E-2</v>
      </c>
      <c r="N276" s="62">
        <f t="shared" si="40"/>
        <v>157931.23499999999</v>
      </c>
      <c r="T276" s="61">
        <f t="shared" si="42"/>
        <v>140383.31999999998</v>
      </c>
      <c r="U276" s="61">
        <f t="shared" si="43"/>
        <v>0</v>
      </c>
      <c r="V276" s="61">
        <f t="shared" si="44"/>
        <v>0</v>
      </c>
      <c r="W276" s="61">
        <f t="shared" si="45"/>
        <v>17547.914999999997</v>
      </c>
      <c r="X276" s="61">
        <f t="shared" si="46"/>
        <v>157931.23499999999</v>
      </c>
      <c r="Y276" s="61">
        <f t="shared" si="47"/>
        <v>0</v>
      </c>
    </row>
    <row r="277" spans="1:25" x14ac:dyDescent="0.25">
      <c r="A277" s="51">
        <v>2300002301</v>
      </c>
      <c r="B277" s="51" t="s">
        <v>345</v>
      </c>
      <c r="C277" s="51" t="s">
        <v>145</v>
      </c>
      <c r="D277" s="51" t="s">
        <v>141</v>
      </c>
      <c r="E277" s="51" t="s">
        <v>417</v>
      </c>
      <c r="F277" s="52">
        <f>SUMIF('Customer Budget Per Category'!$A:$A,$A277,'Customer Budget Per Category'!$E:$E)</f>
        <v>9761</v>
      </c>
      <c r="G277" s="52">
        <f>SUMIFS('Navision sales Dump'!$E:$E,'Navision sales Dump'!$K:$K,$E277,'Navision sales Dump'!$A:$A,$A277)</f>
        <v>8825</v>
      </c>
      <c r="H277" s="62">
        <f>SUMIFS('Navision sales Dump'!$G:$G,'Navision sales Dump'!$K:$K,$E277,'Navision sales Dump'!$A:$A,$A277)</f>
        <v>65769525.960000008</v>
      </c>
      <c r="I277" s="72">
        <f>IFERROR(IF(($G277/$F277)&gt;='Discount Scheme Target'!$F$4,_xlfn.XLOOKUP($E277,'Discount Scheme Target'!$B:$B,'Discount Scheme Target'!$F:$F,0,0),IF(($G277/$F277)&gt;='Discount Scheme Target'!$E$4,_xlfn.XLOOKUP($E277,'Discount Scheme Target'!$B:$B,'Discount Scheme Target'!$E:$E,0,0),IF(($G277/$F277)&gt;='Discount Scheme Target'!$D$4,_xlfn.XLOOKUP($E277,'Discount Scheme Target'!$B:$B,'Discount Scheme Target'!$D:$D,0,0),0))),0)</f>
        <v>0</v>
      </c>
      <c r="J277" s="72">
        <f>IF(SUMIF('Customer Num Distr.'!$A:$A,Workings!$A277,'Customer Num Distr.'!$E:$E)&gt;='Discount Scheme Target'!$G$4,_xlfn.XLOOKUP(Workings!$E277,'Discount Scheme Target'!$B:$B,'Discount Scheme Target'!$G:$G,0,0),0)</f>
        <v>0</v>
      </c>
      <c r="K277" s="72">
        <f>IF(SUMIF('Bouclage EG Cust Cons_Decons'!$A:$A,Workings!$A277,'Bouclage EG Cust Cons_Decons'!$F:$F)&gt;='Discount Scheme Target'!$H$4,_xlfn.XLOOKUP(Workings!$E277,'Discount Scheme Target'!$B:$B,'Discount Scheme Target'!$H:$H,0,0),0)</f>
        <v>0</v>
      </c>
      <c r="L277" s="72">
        <f>IF(INDEX('TT Around time'!$A$1:$F$46,MATCH($A277,'TT Around time'!$A:$A,0),6)&gt;='Discount Scheme Target'!$I$4,_xlfn.XLOOKUP(Workings!$E277,'Discount Scheme Target'!$B:$B,'Discount Scheme Target'!$I:$I,0,0),0)</f>
        <v>0</v>
      </c>
      <c r="M277" s="72">
        <f t="shared" si="41"/>
        <v>0</v>
      </c>
      <c r="N277" s="62">
        <f t="shared" ref="N277:N323" si="48">IFERROR((H277/G277)*F277*M277,)</f>
        <v>0</v>
      </c>
      <c r="T277" s="61">
        <f t="shared" si="42"/>
        <v>0</v>
      </c>
      <c r="U277" s="61">
        <f t="shared" si="43"/>
        <v>0</v>
      </c>
      <c r="V277" s="61">
        <f t="shared" si="44"/>
        <v>0</v>
      </c>
      <c r="W277" s="61">
        <f t="shared" si="45"/>
        <v>0</v>
      </c>
      <c r="X277" s="61">
        <f t="shared" si="46"/>
        <v>0</v>
      </c>
      <c r="Y277" s="61">
        <f t="shared" si="47"/>
        <v>0</v>
      </c>
    </row>
    <row r="278" spans="1:25" x14ac:dyDescent="0.25">
      <c r="A278" s="51">
        <v>2300002301</v>
      </c>
      <c r="B278" s="51" t="s">
        <v>345</v>
      </c>
      <c r="C278" s="51" t="s">
        <v>145</v>
      </c>
      <c r="D278" s="51" t="s">
        <v>141</v>
      </c>
      <c r="E278" s="51" t="s">
        <v>418</v>
      </c>
      <c r="F278" s="52">
        <f>SUMIF('Customer Budget Per Category'!$A:$A,$A278,'Customer Budget Per Category'!$F:$F)</f>
        <v>0</v>
      </c>
      <c r="G278" s="52">
        <f>SUMIFS('Navision sales Dump'!$E:$E,'Navision sales Dump'!$K:$K,$E278,'Navision sales Dump'!$A:$A,$A278)</f>
        <v>0</v>
      </c>
      <c r="H278" s="62">
        <f>SUMIFS('Navision sales Dump'!$G:$G,'Navision sales Dump'!$K:$K,$E278,'Navision sales Dump'!$A:$A,$A278)</f>
        <v>0</v>
      </c>
      <c r="I278" s="72">
        <f>IFERROR(IF(($G278/$F278)&gt;='Discount Scheme Target'!$F$4,_xlfn.XLOOKUP($E278,'Discount Scheme Target'!$B:$B,'Discount Scheme Target'!$F:$F,0,0),IF(($G278/$F278)&gt;='Discount Scheme Target'!$E$4,_xlfn.XLOOKUP($E278,'Discount Scheme Target'!$B:$B,'Discount Scheme Target'!$E:$E,0,0),IF(($G278/$F278)&gt;='Discount Scheme Target'!$D$4,_xlfn.XLOOKUP($E278,'Discount Scheme Target'!$B:$B,'Discount Scheme Target'!$D:$D,0,0),0))),0)</f>
        <v>0</v>
      </c>
      <c r="J278" s="72">
        <f>IF(SUMIF('Customer Num Distr.'!$A:$A,Workings!$A278,'Customer Num Distr.'!$E:$E)&gt;='Discount Scheme Target'!$G$4,_xlfn.XLOOKUP(Workings!$E278,'Discount Scheme Target'!$B:$B,'Discount Scheme Target'!$G:$G,0,0),0)</f>
        <v>0</v>
      </c>
      <c r="K278" s="72">
        <f>IF(SUMIF('Bouclage EG Cust Cons_Decons'!$A:$A,Workings!$A278,'Bouclage EG Cust Cons_Decons'!$F:$F)&gt;='Discount Scheme Target'!$H$4,_xlfn.XLOOKUP(Workings!$E278,'Discount Scheme Target'!$B:$B,'Discount Scheme Target'!$H:$H,0,0),0)</f>
        <v>0</v>
      </c>
      <c r="L278" s="72">
        <f>IF(INDEX('TT Around time'!$A$1:$F$46,MATCH($A278,'TT Around time'!$A:$A,0),6)&gt;='Discount Scheme Target'!$I$4,_xlfn.XLOOKUP(Workings!$E278,'Discount Scheme Target'!$B:$B,'Discount Scheme Target'!$I:$I,0,0),0)</f>
        <v>0</v>
      </c>
      <c r="M278" s="72">
        <f t="shared" si="41"/>
        <v>0</v>
      </c>
      <c r="N278" s="62">
        <f t="shared" si="48"/>
        <v>0</v>
      </c>
      <c r="T278" s="61">
        <f t="shared" si="42"/>
        <v>0</v>
      </c>
      <c r="U278" s="61">
        <f t="shared" si="43"/>
        <v>0</v>
      </c>
      <c r="V278" s="61">
        <f t="shared" si="44"/>
        <v>0</v>
      </c>
      <c r="W278" s="61">
        <f t="shared" si="45"/>
        <v>0</v>
      </c>
      <c r="X278" s="61">
        <f t="shared" si="46"/>
        <v>0</v>
      </c>
      <c r="Y278" s="61">
        <f t="shared" si="47"/>
        <v>0</v>
      </c>
    </row>
    <row r="279" spans="1:25" x14ac:dyDescent="0.25">
      <c r="A279" s="51">
        <v>2300002301</v>
      </c>
      <c r="B279" s="51" t="s">
        <v>345</v>
      </c>
      <c r="C279" s="51" t="s">
        <v>145</v>
      </c>
      <c r="D279" s="51" t="s">
        <v>141</v>
      </c>
      <c r="E279" s="51" t="s">
        <v>130</v>
      </c>
      <c r="F279" s="52">
        <f>SUMIF('Customer Budget Per Category'!$A:$A,$A279,'Customer Budget Per Category'!$G:$G)</f>
        <v>215</v>
      </c>
      <c r="G279" s="52">
        <f>SUMIFS('Navision sales Dump'!$E:$E,'Navision sales Dump'!$K:$K,$E279,'Navision sales Dump'!$A:$A,$A279)</f>
        <v>144</v>
      </c>
      <c r="H279" s="62">
        <f>SUMIFS('Navision sales Dump'!$G:$G,'Navision sales Dump'!$K:$K,$E279,'Navision sales Dump'!$A:$A,$A279)</f>
        <v>1112446.08</v>
      </c>
      <c r="I279" s="72">
        <f>IFERROR(IF(($G279/$F279)&gt;='Discount Scheme Target'!$F$4,_xlfn.XLOOKUP($E279,'Discount Scheme Target'!$B:$B,'Discount Scheme Target'!$F:$F,0,0),IF(($G279/$F279)&gt;='Discount Scheme Target'!$E$4,_xlfn.XLOOKUP($E279,'Discount Scheme Target'!$B:$B,'Discount Scheme Target'!$E:$E,0,0),IF(($G279/$F279)&gt;='Discount Scheme Target'!$D$4,_xlfn.XLOOKUP($E279,'Discount Scheme Target'!$B:$B,'Discount Scheme Target'!$D:$D,0,0),0))),0)</f>
        <v>0</v>
      </c>
      <c r="J279" s="72">
        <f>IF(SUMIF('Customer Num Distr.'!$A:$A,Workings!$A279,'Customer Num Distr.'!$E:$E)&gt;='Discount Scheme Target'!$G$4,_xlfn.XLOOKUP(Workings!$E279,'Discount Scheme Target'!$B:$B,'Discount Scheme Target'!$G:$G,0,0),0)</f>
        <v>0</v>
      </c>
      <c r="K279" s="72">
        <f>IF(SUMIF('Bouclage EG Cust Cons_Decons'!$A:$A,Workings!$A279,'Bouclage EG Cust Cons_Decons'!$F:$F)&gt;='Discount Scheme Target'!$H$4,_xlfn.XLOOKUP(Workings!$E279,'Discount Scheme Target'!$B:$B,'Discount Scheme Target'!$H:$H,0,0),0)</f>
        <v>0</v>
      </c>
      <c r="L279" s="72">
        <f>IF(INDEX('TT Around time'!$A$1:$F$46,MATCH($A279,'TT Around time'!$A:$A,0),6)&gt;='Discount Scheme Target'!$I$4,_xlfn.XLOOKUP(Workings!$E279,'Discount Scheme Target'!$B:$B,'Discount Scheme Target'!$I:$I,0,0),0)</f>
        <v>0</v>
      </c>
      <c r="M279" s="72">
        <f t="shared" si="41"/>
        <v>0</v>
      </c>
      <c r="N279" s="62">
        <f t="shared" si="48"/>
        <v>0</v>
      </c>
      <c r="T279" s="61">
        <f t="shared" si="42"/>
        <v>0</v>
      </c>
      <c r="U279" s="61">
        <f t="shared" si="43"/>
        <v>0</v>
      </c>
      <c r="V279" s="61">
        <f t="shared" si="44"/>
        <v>0</v>
      </c>
      <c r="W279" s="61">
        <f t="shared" si="45"/>
        <v>0</v>
      </c>
      <c r="X279" s="61">
        <f t="shared" si="46"/>
        <v>0</v>
      </c>
      <c r="Y279" s="61">
        <f t="shared" si="47"/>
        <v>0</v>
      </c>
    </row>
    <row r="280" spans="1:25" x14ac:dyDescent="0.25">
      <c r="A280" s="51">
        <v>2300002301</v>
      </c>
      <c r="B280" s="51" t="s">
        <v>345</v>
      </c>
      <c r="C280" s="51" t="s">
        <v>145</v>
      </c>
      <c r="D280" s="51" t="s">
        <v>141</v>
      </c>
      <c r="E280" s="51" t="s">
        <v>131</v>
      </c>
      <c r="F280" s="52">
        <f>SUMIF('Customer Budget Per Category'!$A:$A,$A280,'Customer Budget Per Category'!$H:$H)</f>
        <v>126.72977791946238</v>
      </c>
      <c r="G280" s="52">
        <f>SUMIFS('Navision sales Dump'!$E:$E,'Navision sales Dump'!$K:$K,$E280,'Navision sales Dump'!$A:$A,$A280)</f>
        <v>140</v>
      </c>
      <c r="H280" s="62">
        <f>SUMIFS('Navision sales Dump'!$G:$G,'Navision sales Dump'!$K:$K,$E280,'Navision sales Dump'!$A:$A,$A280)</f>
        <v>5672994.9000000004</v>
      </c>
      <c r="I280" s="72">
        <f>IFERROR(IF(($G280/$F280)&gt;='Discount Scheme Target'!$F$4,_xlfn.XLOOKUP($E280,'Discount Scheme Target'!$B:$B,'Discount Scheme Target'!$F:$F,0,0),IF(($G280/$F280)&gt;='Discount Scheme Target'!$E$4,_xlfn.XLOOKUP($E280,'Discount Scheme Target'!$B:$B,'Discount Scheme Target'!$E:$E,0,0),IF(($G280/$F280)&gt;='Discount Scheme Target'!$D$4,_xlfn.XLOOKUP($E280,'Discount Scheme Target'!$B:$B,'Discount Scheme Target'!$D:$D,0,0),0))),0)</f>
        <v>0.03</v>
      </c>
      <c r="J280" s="72">
        <f>IF(SUMIF('Customer Num Distr.'!$A:$A,Workings!$A280,'Customer Num Distr.'!$E:$E)&gt;='Discount Scheme Target'!$G$4,_xlfn.XLOOKUP(Workings!$E280,'Discount Scheme Target'!$B:$B,'Discount Scheme Target'!$G:$G,0,0),0)</f>
        <v>0</v>
      </c>
      <c r="K280" s="72">
        <f>IF(SUMIF('Bouclage EG Cust Cons_Decons'!$A:$A,Workings!$A280,'Bouclage EG Cust Cons_Decons'!$F:$F)&gt;='Discount Scheme Target'!$H$4,_xlfn.XLOOKUP(Workings!$E280,'Discount Scheme Target'!$B:$B,'Discount Scheme Target'!$H:$H,0,0),0)</f>
        <v>0</v>
      </c>
      <c r="L280" s="72">
        <f>IF(INDEX('TT Around time'!$A$1:$F$46,MATCH($A280,'TT Around time'!$A:$A,0),6)&gt;='Discount Scheme Target'!$I$4,_xlfn.XLOOKUP(Workings!$E280,'Discount Scheme Target'!$B:$B,'Discount Scheme Target'!$I:$I,0,0),0)</f>
        <v>0</v>
      </c>
      <c r="M280" s="72">
        <f t="shared" si="41"/>
        <v>0.03</v>
      </c>
      <c r="N280" s="62">
        <f t="shared" si="48"/>
        <v>154058.01081755201</v>
      </c>
      <c r="T280" s="61">
        <f t="shared" si="42"/>
        <v>154058.01081755201</v>
      </c>
      <c r="U280" s="61">
        <f t="shared" si="43"/>
        <v>0</v>
      </c>
      <c r="V280" s="61">
        <f t="shared" si="44"/>
        <v>0</v>
      </c>
      <c r="W280" s="61">
        <f t="shared" si="45"/>
        <v>0</v>
      </c>
      <c r="X280" s="61">
        <f t="shared" si="46"/>
        <v>154058.01081755201</v>
      </c>
      <c r="Y280" s="61">
        <f t="shared" si="47"/>
        <v>0</v>
      </c>
    </row>
    <row r="281" spans="1:25" x14ac:dyDescent="0.25">
      <c r="A281" s="51">
        <v>2300002301</v>
      </c>
      <c r="B281" s="51" t="s">
        <v>345</v>
      </c>
      <c r="C281" s="51" t="s">
        <v>145</v>
      </c>
      <c r="D281" s="51" t="s">
        <v>141</v>
      </c>
      <c r="E281" s="51" t="s">
        <v>514</v>
      </c>
      <c r="F281" s="52">
        <f>SUMIF('Customer Budget Per Category'!$A:$A,$A281,'Customer Budget Per Category'!$I:$I)</f>
        <v>3595</v>
      </c>
      <c r="G281" s="52">
        <f>SUMIFS('Navision sales Dump'!$E:$E,'Navision sales Dump'!$K:$K,$E281,'Navision sales Dump'!$A:$A,$A281)</f>
        <v>4098</v>
      </c>
      <c r="H281" s="62">
        <f>SUMIFS('Navision sales Dump'!$G:$G,'Navision sales Dump'!$K:$K,$E281,'Navision sales Dump'!$A:$A,$A281)</f>
        <v>16220006.940000001</v>
      </c>
      <c r="I281" s="72">
        <f>IFERROR(IF(($G281/$F281)&gt;='Discount Scheme Target'!$F$4,_xlfn.XLOOKUP($E281,'Discount Scheme Target'!$B:$B,'Discount Scheme Target'!$F:$F,0,0),IF(($G281/$F281)&gt;='Discount Scheme Target'!$E$4,_xlfn.XLOOKUP($E281,'Discount Scheme Target'!$B:$B,'Discount Scheme Target'!$E:$E,0,0),IF(($G281/$F281)&gt;='Discount Scheme Target'!$D$4,_xlfn.XLOOKUP($E281,'Discount Scheme Target'!$B:$B,'Discount Scheme Target'!$D:$D,0,0),0))),0)</f>
        <v>0.03</v>
      </c>
      <c r="J281" s="72">
        <f>IF(SUMIF('Customer Num Distr.'!$A:$A,Workings!$A281,'Customer Num Distr.'!$E:$E)&gt;='Discount Scheme Target'!$G$4,_xlfn.XLOOKUP(Workings!$E281,'Discount Scheme Target'!$B:$B,'Discount Scheme Target'!$G:$G,0,0),0)</f>
        <v>0</v>
      </c>
      <c r="K281" s="72">
        <f>IF(SUMIF('Bouclage EG Cust Cons_Decons'!$A:$A,Workings!$A281,'Bouclage EG Cust Cons_Decons'!$F:$F)&gt;='Discount Scheme Target'!$H$4,_xlfn.XLOOKUP(Workings!$E281,'Discount Scheme Target'!$B:$B,'Discount Scheme Target'!$H:$H,0,0),0)</f>
        <v>0</v>
      </c>
      <c r="L281" s="72">
        <f>IF(INDEX('TT Around time'!$A$1:$F$46,MATCH($A281,'TT Around time'!$A:$A,0),6)&gt;='Discount Scheme Target'!$I$4,_xlfn.XLOOKUP(Workings!$E281,'Discount Scheme Target'!$B:$B,'Discount Scheme Target'!$I:$I,0,0),0)</f>
        <v>0</v>
      </c>
      <c r="M281" s="72">
        <f t="shared" si="41"/>
        <v>0.03</v>
      </c>
      <c r="N281" s="62">
        <f t="shared" si="48"/>
        <v>426873.53550000006</v>
      </c>
      <c r="T281" s="61">
        <f t="shared" si="42"/>
        <v>426873.53550000006</v>
      </c>
      <c r="U281" s="61">
        <f t="shared" si="43"/>
        <v>0</v>
      </c>
      <c r="V281" s="61">
        <f t="shared" si="44"/>
        <v>0</v>
      </c>
      <c r="W281" s="61">
        <f t="shared" si="45"/>
        <v>0</v>
      </c>
      <c r="X281" s="61">
        <f t="shared" si="46"/>
        <v>426873.53550000006</v>
      </c>
      <c r="Y281" s="61">
        <f t="shared" si="47"/>
        <v>0</v>
      </c>
    </row>
    <row r="282" spans="1:25" x14ac:dyDescent="0.25">
      <c r="A282" s="51">
        <v>2300002301</v>
      </c>
      <c r="B282" s="51" t="s">
        <v>345</v>
      </c>
      <c r="C282" s="51" t="s">
        <v>145</v>
      </c>
      <c r="D282" s="51" t="s">
        <v>141</v>
      </c>
      <c r="E282" s="51" t="s">
        <v>515</v>
      </c>
      <c r="F282" s="52">
        <f>SUMIF('Customer Budget Per Category'!$A:$A,$A282,'Customer Budget Per Category'!$J:$J)</f>
        <v>595</v>
      </c>
      <c r="G282" s="52">
        <f>SUMIFS('Navision sales Dump'!$E:$E,'Navision sales Dump'!$K:$K,$E282,'Navision sales Dump'!$A:$A,$A282)</f>
        <v>288</v>
      </c>
      <c r="H282" s="62">
        <f>SUMIFS('Navision sales Dump'!$G:$G,'Navision sales Dump'!$K:$K,$E282,'Navision sales Dump'!$A:$A,$A282)</f>
        <v>812995.2</v>
      </c>
      <c r="I282" s="72">
        <f>IFERROR(IF(($G282/$F282)&gt;='Discount Scheme Target'!$F$4,_xlfn.XLOOKUP($E282,'Discount Scheme Target'!$B:$B,'Discount Scheme Target'!$F:$F,0,0),IF(($G282/$F282)&gt;='Discount Scheme Target'!$E$4,_xlfn.XLOOKUP($E282,'Discount Scheme Target'!$B:$B,'Discount Scheme Target'!$E:$E,0,0),IF(($G282/$F282)&gt;='Discount Scheme Target'!$D$4,_xlfn.XLOOKUP($E282,'Discount Scheme Target'!$B:$B,'Discount Scheme Target'!$D:$D,0,0),0))),0)</f>
        <v>0</v>
      </c>
      <c r="J282" s="72">
        <f>IF(SUMIF('Customer Num Distr.'!$A:$A,Workings!$A282,'Customer Num Distr.'!$E:$E)&gt;='Discount Scheme Target'!$G$4,_xlfn.XLOOKUP(Workings!$E282,'Discount Scheme Target'!$B:$B,'Discount Scheme Target'!$G:$G,0,0),0)</f>
        <v>0</v>
      </c>
      <c r="K282" s="72">
        <f>IF(SUMIF('Bouclage EG Cust Cons_Decons'!$A:$A,Workings!$A282,'Bouclage EG Cust Cons_Decons'!$F:$F)&gt;='Discount Scheme Target'!$H$4,_xlfn.XLOOKUP(Workings!$E282,'Discount Scheme Target'!$B:$B,'Discount Scheme Target'!$H:$H,0,0),0)</f>
        <v>0</v>
      </c>
      <c r="L282" s="72">
        <f>IF(INDEX('TT Around time'!$A$1:$F$46,MATCH($A282,'TT Around time'!$A:$A,0),6)&gt;='Discount Scheme Target'!$I$4,_xlfn.XLOOKUP(Workings!$E282,'Discount Scheme Target'!$B:$B,'Discount Scheme Target'!$I:$I,0,0),0)</f>
        <v>0</v>
      </c>
      <c r="M282" s="72">
        <f t="shared" si="41"/>
        <v>0</v>
      </c>
      <c r="N282" s="62">
        <f t="shared" si="48"/>
        <v>0</v>
      </c>
      <c r="T282" s="61">
        <f t="shared" si="42"/>
        <v>0</v>
      </c>
      <c r="U282" s="61">
        <f t="shared" si="43"/>
        <v>0</v>
      </c>
      <c r="V282" s="61">
        <f t="shared" si="44"/>
        <v>0</v>
      </c>
      <c r="W282" s="61">
        <f t="shared" si="45"/>
        <v>0</v>
      </c>
      <c r="X282" s="61">
        <f t="shared" si="46"/>
        <v>0</v>
      </c>
      <c r="Y282" s="61">
        <f t="shared" si="47"/>
        <v>0</v>
      </c>
    </row>
    <row r="283" spans="1:25" x14ac:dyDescent="0.25">
      <c r="A283" s="51">
        <v>2300002301</v>
      </c>
      <c r="B283" s="51" t="s">
        <v>345</v>
      </c>
      <c r="C283" s="51" t="s">
        <v>145</v>
      </c>
      <c r="D283" s="51" t="s">
        <v>141</v>
      </c>
      <c r="E283" s="51" t="s">
        <v>161</v>
      </c>
      <c r="F283" s="52">
        <f>SUMIF('Customer Budget Per Category'!$A:$A,$A283,'Customer Budget Per Category'!$K:$K)</f>
        <v>0</v>
      </c>
      <c r="G283" s="52">
        <f>SUMIFS('Navision sales Dump'!$E:$E,'Navision sales Dump'!$K:$K,$E283,'Navision sales Dump'!$A:$A,$A283)</f>
        <v>0</v>
      </c>
      <c r="H283" s="62">
        <f>SUMIFS('Navision sales Dump'!$G:$G,'Navision sales Dump'!$K:$K,$E283,'Navision sales Dump'!$A:$A,$A283)</f>
        <v>0</v>
      </c>
      <c r="I283" s="72">
        <f>IFERROR(IF(($G283/$F283)&gt;='Discount Scheme Target'!$F$4,_xlfn.XLOOKUP($E283,'Discount Scheme Target'!$B:$B,'Discount Scheme Target'!$F:$F,0,0),IF(($G283/$F283)&gt;='Discount Scheme Target'!$E$4,_xlfn.XLOOKUP($E283,'Discount Scheme Target'!$B:$B,'Discount Scheme Target'!$E:$E,0,0),IF(($G283/$F283)&gt;='Discount Scheme Target'!$D$4,_xlfn.XLOOKUP($E283,'Discount Scheme Target'!$B:$B,'Discount Scheme Target'!$D:$D,0,0),0))),0)</f>
        <v>0</v>
      </c>
      <c r="J283" s="72">
        <f>IF(SUMIF('Customer Num Distr.'!$A:$A,Workings!$A283,'Customer Num Distr.'!$E:$E)&gt;='Discount Scheme Target'!$G$4,_xlfn.XLOOKUP(Workings!$E283,'Discount Scheme Target'!$B:$B,'Discount Scheme Target'!$G:$G,0,0),0)</f>
        <v>0</v>
      </c>
      <c r="K283" s="72">
        <f>IF(SUMIF('Bouclage EG Cust Cons_Decons'!$A:$A,Workings!$A283,'Bouclage EG Cust Cons_Decons'!$F:$F)&gt;='Discount Scheme Target'!$H$4,_xlfn.XLOOKUP(Workings!$E283,'Discount Scheme Target'!$B:$B,'Discount Scheme Target'!$H:$H,0,0),0)</f>
        <v>0</v>
      </c>
      <c r="L283" s="72">
        <f>IF(INDEX('TT Around time'!$A$1:$F$46,MATCH($A283,'TT Around time'!$A:$A,0),6)&gt;='Discount Scheme Target'!$I$4,_xlfn.XLOOKUP(Workings!$E283,'Discount Scheme Target'!$B:$B,'Discount Scheme Target'!$I:$I,0,0),0)</f>
        <v>0</v>
      </c>
      <c r="M283" s="72">
        <f t="shared" si="41"/>
        <v>0</v>
      </c>
      <c r="N283" s="62">
        <f t="shared" si="48"/>
        <v>0</v>
      </c>
      <c r="T283" s="61">
        <f t="shared" si="42"/>
        <v>0</v>
      </c>
      <c r="U283" s="61">
        <f t="shared" si="43"/>
        <v>0</v>
      </c>
      <c r="V283" s="61">
        <f t="shared" si="44"/>
        <v>0</v>
      </c>
      <c r="W283" s="61">
        <f t="shared" si="45"/>
        <v>0</v>
      </c>
      <c r="X283" s="61">
        <f t="shared" si="46"/>
        <v>0</v>
      </c>
      <c r="Y283" s="61">
        <f t="shared" si="47"/>
        <v>0</v>
      </c>
    </row>
    <row r="284" spans="1:25" x14ac:dyDescent="0.25">
      <c r="A284" s="51">
        <v>2300002301</v>
      </c>
      <c r="B284" s="51" t="s">
        <v>345</v>
      </c>
      <c r="C284" s="51" t="s">
        <v>145</v>
      </c>
      <c r="D284" s="51" t="s">
        <v>141</v>
      </c>
      <c r="E284" s="51" t="s">
        <v>354</v>
      </c>
      <c r="F284" s="52">
        <f>SUMIF('Customer Budget Per Category'!$A:$A,$A284,'Customer Budget Per Category'!$L:$L)</f>
        <v>1726</v>
      </c>
      <c r="G284" s="52">
        <f>SUMIFS('Navision sales Dump'!$E:$E,'Navision sales Dump'!$K:$K,$E284,'Navision sales Dump'!$A:$A,$A284)</f>
        <v>1507</v>
      </c>
      <c r="H284" s="62">
        <f>SUMIFS('Navision sales Dump'!$G:$G,'Navision sales Dump'!$K:$K,$E284,'Navision sales Dump'!$A:$A,$A284)</f>
        <v>5112457.57</v>
      </c>
      <c r="I284" s="72">
        <f>IFERROR(IF(($G284/$F284)&gt;='Discount Scheme Target'!$F$4,_xlfn.XLOOKUP($E284,'Discount Scheme Target'!$B:$B,'Discount Scheme Target'!$F:$F,0,0),IF(($G284/$F284)&gt;='Discount Scheme Target'!$E$4,_xlfn.XLOOKUP($E284,'Discount Scheme Target'!$B:$B,'Discount Scheme Target'!$E:$E,0,0),IF(($G284/$F284)&gt;='Discount Scheme Target'!$D$4,_xlfn.XLOOKUP($E284,'Discount Scheme Target'!$B:$B,'Discount Scheme Target'!$D:$D,0,0),0))),0)</f>
        <v>0</v>
      </c>
      <c r="J284" s="72">
        <f>IF(SUMIF('Customer Num Distr.'!$A:$A,Workings!$A284,'Customer Num Distr.'!$E:$E)&gt;='Discount Scheme Target'!$G$4,_xlfn.XLOOKUP(Workings!$E284,'Discount Scheme Target'!$B:$B,'Discount Scheme Target'!$G:$G,0,0),0)</f>
        <v>0</v>
      </c>
      <c r="K284" s="72">
        <f>IF(SUMIF('Bouclage EG Cust Cons_Decons'!$A:$A,Workings!$A284,'Bouclage EG Cust Cons_Decons'!$F:$F)&gt;='Discount Scheme Target'!$H$4,_xlfn.XLOOKUP(Workings!$E284,'Discount Scheme Target'!$B:$B,'Discount Scheme Target'!$H:$H,0,0),0)</f>
        <v>0</v>
      </c>
      <c r="L284" s="72">
        <f>IF(INDEX('TT Around time'!$A$1:$F$46,MATCH($A284,'TT Around time'!$A:$A,0),6)&gt;='Discount Scheme Target'!$I$4,_xlfn.XLOOKUP(Workings!$E284,'Discount Scheme Target'!$B:$B,'Discount Scheme Target'!$I:$I,0,0),0)</f>
        <v>0</v>
      </c>
      <c r="M284" s="72">
        <f t="shared" si="41"/>
        <v>0</v>
      </c>
      <c r="N284" s="62">
        <f t="shared" si="48"/>
        <v>0</v>
      </c>
      <c r="T284" s="61">
        <f t="shared" si="42"/>
        <v>0</v>
      </c>
      <c r="U284" s="61">
        <f t="shared" si="43"/>
        <v>0</v>
      </c>
      <c r="V284" s="61">
        <f t="shared" si="44"/>
        <v>0</v>
      </c>
      <c r="W284" s="61">
        <f t="shared" si="45"/>
        <v>0</v>
      </c>
      <c r="X284" s="61">
        <f t="shared" si="46"/>
        <v>0</v>
      </c>
      <c r="Y284" s="61">
        <f t="shared" si="47"/>
        <v>0</v>
      </c>
    </row>
    <row r="285" spans="1:25" x14ac:dyDescent="0.25">
      <c r="A285" s="51">
        <v>2300002301</v>
      </c>
      <c r="B285" s="51" t="s">
        <v>345</v>
      </c>
      <c r="C285" s="51" t="s">
        <v>145</v>
      </c>
      <c r="D285" s="51" t="s">
        <v>141</v>
      </c>
      <c r="E285" s="51" t="s">
        <v>355</v>
      </c>
      <c r="F285" s="52">
        <f>SUMIF('Customer Budget Per Category'!$A:$A,$A285,'Customer Budget Per Category'!$M:$M)</f>
        <v>1260.5305467307485</v>
      </c>
      <c r="G285" s="52">
        <f>SUMIFS('Navision sales Dump'!$E:$E,'Navision sales Dump'!$K:$K,$E285,'Navision sales Dump'!$A:$A,$A285)</f>
        <v>431</v>
      </c>
      <c r="H285" s="62">
        <f>SUMIFS('Navision sales Dump'!$G:$G,'Navision sales Dump'!$K:$K,$E285,'Navision sales Dump'!$A:$A,$A285)</f>
        <v>1042860.53</v>
      </c>
      <c r="I285" s="72">
        <f>IFERROR(IF(($G285/$F285)&gt;='Discount Scheme Target'!$F$4,_xlfn.XLOOKUP($E285,'Discount Scheme Target'!$B:$B,'Discount Scheme Target'!$F:$F,0,0),IF(($G285/$F285)&gt;='Discount Scheme Target'!$E$4,_xlfn.XLOOKUP($E285,'Discount Scheme Target'!$B:$B,'Discount Scheme Target'!$E:$E,0,0),IF(($G285/$F285)&gt;='Discount Scheme Target'!$D$4,_xlfn.XLOOKUP($E285,'Discount Scheme Target'!$B:$B,'Discount Scheme Target'!$D:$D,0,0),0))),0)</f>
        <v>0</v>
      </c>
      <c r="J285" s="72">
        <f>IF(SUMIF('Customer Num Distr.'!$A:$A,Workings!$A285,'Customer Num Distr.'!$E:$E)&gt;='Discount Scheme Target'!$G$4,_xlfn.XLOOKUP(Workings!$E285,'Discount Scheme Target'!$B:$B,'Discount Scheme Target'!$G:$G,0,0),0)</f>
        <v>0</v>
      </c>
      <c r="K285" s="72">
        <f>IF(SUMIF('Bouclage EG Cust Cons_Decons'!$A:$A,Workings!$A285,'Bouclage EG Cust Cons_Decons'!$F:$F)&gt;='Discount Scheme Target'!$H$4,_xlfn.XLOOKUP(Workings!$E285,'Discount Scheme Target'!$B:$B,'Discount Scheme Target'!$H:$H,0,0),0)</f>
        <v>0</v>
      </c>
      <c r="L285" s="72">
        <f>IF(INDEX('TT Around time'!$A$1:$F$46,MATCH($A285,'TT Around time'!$A:$A,0),6)&gt;='Discount Scheme Target'!$I$4,_xlfn.XLOOKUP(Workings!$E285,'Discount Scheme Target'!$B:$B,'Discount Scheme Target'!$I:$I,0,0),0)</f>
        <v>0</v>
      </c>
      <c r="M285" s="72">
        <f t="shared" si="41"/>
        <v>0</v>
      </c>
      <c r="N285" s="62">
        <f t="shared" si="48"/>
        <v>0</v>
      </c>
      <c r="T285" s="61">
        <f t="shared" si="42"/>
        <v>0</v>
      </c>
      <c r="U285" s="61">
        <f t="shared" si="43"/>
        <v>0</v>
      </c>
      <c r="V285" s="61">
        <f t="shared" si="44"/>
        <v>0</v>
      </c>
      <c r="W285" s="61">
        <f t="shared" si="45"/>
        <v>0</v>
      </c>
      <c r="X285" s="61">
        <f t="shared" si="46"/>
        <v>0</v>
      </c>
      <c r="Y285" s="61">
        <f t="shared" si="47"/>
        <v>0</v>
      </c>
    </row>
    <row r="286" spans="1:25" x14ac:dyDescent="0.25">
      <c r="A286" s="51">
        <v>2300002301</v>
      </c>
      <c r="B286" s="51" t="s">
        <v>345</v>
      </c>
      <c r="C286" s="51" t="s">
        <v>145</v>
      </c>
      <c r="D286" s="51" t="s">
        <v>141</v>
      </c>
      <c r="E286" s="51" t="s">
        <v>132</v>
      </c>
      <c r="F286" s="52">
        <f>SUMIF('Customer Budget Per Category'!$A:$A,$A286,'Customer Budget Per Category'!$N:$N)</f>
        <v>291.03720448648346</v>
      </c>
      <c r="G286" s="52">
        <f>SUMIFS('Navision sales Dump'!$E:$E,'Navision sales Dump'!$K:$K,$E286,'Navision sales Dump'!$A:$A,$A286)</f>
        <v>288</v>
      </c>
      <c r="H286" s="62">
        <f>SUMIFS('Navision sales Dump'!$G:$G,'Navision sales Dump'!$K:$K,$E286,'Navision sales Dump'!$A:$A,$A286)</f>
        <v>628531.19999999995</v>
      </c>
      <c r="I286" s="72">
        <f>IFERROR(IF(($G286/$F286)&gt;='Discount Scheme Target'!$F$4,_xlfn.XLOOKUP($E286,'Discount Scheme Target'!$B:$B,'Discount Scheme Target'!$F:$F,0,0),IF(($G286/$F286)&gt;='Discount Scheme Target'!$E$4,_xlfn.XLOOKUP($E286,'Discount Scheme Target'!$B:$B,'Discount Scheme Target'!$E:$E,0,0),IF(($G286/$F286)&gt;='Discount Scheme Target'!$D$4,_xlfn.XLOOKUP($E286,'Discount Scheme Target'!$B:$B,'Discount Scheme Target'!$D:$D,0,0),0))),0)</f>
        <v>0</v>
      </c>
      <c r="J286" s="72">
        <f>IF(SUMIF('Customer Num Distr.'!$A:$A,Workings!$A286,'Customer Num Distr.'!$E:$E)&gt;='Discount Scheme Target'!$G$4,_xlfn.XLOOKUP(Workings!$E286,'Discount Scheme Target'!$B:$B,'Discount Scheme Target'!$G:$G,0,0),0)</f>
        <v>0</v>
      </c>
      <c r="K286" s="72">
        <f>IF(SUMIF('Bouclage EG Cust Cons_Decons'!$A:$A,Workings!$A286,'Bouclage EG Cust Cons_Decons'!$F:$F)&gt;='Discount Scheme Target'!$H$4,_xlfn.XLOOKUP(Workings!$E286,'Discount Scheme Target'!$B:$B,'Discount Scheme Target'!$H:$H,0,0),0)</f>
        <v>0</v>
      </c>
      <c r="L286" s="72">
        <f>IF(INDEX('TT Around time'!$A$1:$F$46,MATCH($A286,'TT Around time'!$A:$A,0),6)&gt;='Discount Scheme Target'!$I$4,_xlfn.XLOOKUP(Workings!$E286,'Discount Scheme Target'!$B:$B,'Discount Scheme Target'!$I:$I,0,0),0)</f>
        <v>0</v>
      </c>
      <c r="M286" s="72">
        <f t="shared" si="41"/>
        <v>0</v>
      </c>
      <c r="N286" s="62">
        <f t="shared" si="48"/>
        <v>0</v>
      </c>
      <c r="T286" s="61">
        <f t="shared" si="42"/>
        <v>0</v>
      </c>
      <c r="U286" s="61">
        <f t="shared" si="43"/>
        <v>0</v>
      </c>
      <c r="V286" s="61">
        <f t="shared" si="44"/>
        <v>0</v>
      </c>
      <c r="W286" s="61">
        <f t="shared" si="45"/>
        <v>0</v>
      </c>
      <c r="X286" s="61">
        <f t="shared" si="46"/>
        <v>0</v>
      </c>
      <c r="Y286" s="61">
        <f t="shared" si="47"/>
        <v>0</v>
      </c>
    </row>
    <row r="287" spans="1:25" x14ac:dyDescent="0.25">
      <c r="A287" s="51">
        <v>2300002301</v>
      </c>
      <c r="B287" s="51" t="s">
        <v>345</v>
      </c>
      <c r="C287" s="51" t="s">
        <v>145</v>
      </c>
      <c r="D287" s="51" t="s">
        <v>141</v>
      </c>
      <c r="E287" s="51" t="s">
        <v>133</v>
      </c>
      <c r="F287" s="52">
        <f>SUMIF('Customer Budget Per Category'!$A:$A,$A287,'Customer Budget Per Category'!$O:$O)</f>
        <v>275.8045607833954</v>
      </c>
      <c r="G287" s="52">
        <f>SUMIFS('Navision sales Dump'!$E:$E,'Navision sales Dump'!$K:$K,$E287,'Navision sales Dump'!$A:$A,$A287)</f>
        <v>216</v>
      </c>
      <c r="H287" s="62">
        <f>SUMIFS('Navision sales Dump'!$G:$G,'Navision sales Dump'!$K:$K,$E287,'Navision sales Dump'!$A:$A,$A287)</f>
        <v>2165914.08</v>
      </c>
      <c r="I287" s="72">
        <f>IFERROR(IF(($G287/$F287)&gt;='Discount Scheme Target'!$F$4,_xlfn.XLOOKUP($E287,'Discount Scheme Target'!$B:$B,'Discount Scheme Target'!$F:$F,0,0),IF(($G287/$F287)&gt;='Discount Scheme Target'!$E$4,_xlfn.XLOOKUP($E287,'Discount Scheme Target'!$B:$B,'Discount Scheme Target'!$E:$E,0,0),IF(($G287/$F287)&gt;='Discount Scheme Target'!$D$4,_xlfn.XLOOKUP($E287,'Discount Scheme Target'!$B:$B,'Discount Scheme Target'!$D:$D,0,0),0))),0)</f>
        <v>0</v>
      </c>
      <c r="J287" s="72">
        <f>IF(SUMIF('Customer Num Distr.'!$A:$A,Workings!$A287,'Customer Num Distr.'!$E:$E)&gt;='Discount Scheme Target'!$G$4,_xlfn.XLOOKUP(Workings!$E287,'Discount Scheme Target'!$B:$B,'Discount Scheme Target'!$G:$G,0,0),0)</f>
        <v>0</v>
      </c>
      <c r="K287" s="72">
        <f>IF(SUMIF('Bouclage EG Cust Cons_Decons'!$A:$A,Workings!$A287,'Bouclage EG Cust Cons_Decons'!$F:$F)&gt;='Discount Scheme Target'!$H$4,_xlfn.XLOOKUP(Workings!$E287,'Discount Scheme Target'!$B:$B,'Discount Scheme Target'!$H:$H,0,0),0)</f>
        <v>0</v>
      </c>
      <c r="L287" s="72">
        <f>IF(INDEX('TT Around time'!$A$1:$F$46,MATCH($A287,'TT Around time'!$A:$A,0),6)&gt;='Discount Scheme Target'!$I$4,_xlfn.XLOOKUP(Workings!$E287,'Discount Scheme Target'!$B:$B,'Discount Scheme Target'!$I:$I,0,0),0)</f>
        <v>0</v>
      </c>
      <c r="M287" s="72">
        <f t="shared" si="41"/>
        <v>0</v>
      </c>
      <c r="N287" s="62">
        <f t="shared" si="48"/>
        <v>0</v>
      </c>
      <c r="T287" s="61">
        <f t="shared" si="42"/>
        <v>0</v>
      </c>
      <c r="U287" s="61">
        <f t="shared" si="43"/>
        <v>0</v>
      </c>
      <c r="V287" s="61">
        <f t="shared" si="44"/>
        <v>0</v>
      </c>
      <c r="W287" s="61">
        <f t="shared" si="45"/>
        <v>0</v>
      </c>
      <c r="X287" s="61">
        <f t="shared" si="46"/>
        <v>0</v>
      </c>
      <c r="Y287" s="61">
        <f t="shared" si="47"/>
        <v>0</v>
      </c>
    </row>
    <row r="288" spans="1:25" x14ac:dyDescent="0.25">
      <c r="A288" s="51">
        <v>2300002312</v>
      </c>
      <c r="B288" s="51" t="s">
        <v>107</v>
      </c>
      <c r="C288" s="51" t="s">
        <v>145</v>
      </c>
      <c r="D288" s="51" t="s">
        <v>141</v>
      </c>
      <c r="E288" s="51" t="s">
        <v>417</v>
      </c>
      <c r="F288" s="52">
        <f>SUMIF('Customer Budget Per Category'!$A:$A,$A288,'Customer Budget Per Category'!$E:$E)</f>
        <v>16924</v>
      </c>
      <c r="G288" s="52">
        <f>SUMIFS('Navision sales Dump'!$E:$E,'Navision sales Dump'!$K:$K,$E288,'Navision sales Dump'!$A:$A,$A288)</f>
        <v>17315</v>
      </c>
      <c r="H288" s="62">
        <f>SUMIFS('Navision sales Dump'!$G:$G,'Navision sales Dump'!$K:$K,$E288,'Navision sales Dump'!$A:$A,$A288)</f>
        <v>125894415.22000001</v>
      </c>
      <c r="I288" s="72">
        <f>IFERROR(IF(($G288/$F288)&gt;='Discount Scheme Target'!$F$4,_xlfn.XLOOKUP($E288,'Discount Scheme Target'!$B:$B,'Discount Scheme Target'!$F:$F,0,0),IF(($G288/$F288)&gt;='Discount Scheme Target'!$E$4,_xlfn.XLOOKUP($E288,'Discount Scheme Target'!$B:$B,'Discount Scheme Target'!$E:$E,0,0),IF(($G288/$F288)&gt;='Discount Scheme Target'!$D$4,_xlfn.XLOOKUP($E288,'Discount Scheme Target'!$B:$B,'Discount Scheme Target'!$D:$D,0,0),0))),0)</f>
        <v>1.4999999999999999E-2</v>
      </c>
      <c r="J288" s="72">
        <f>IF(SUMIF('Customer Num Distr.'!$A:$A,Workings!$A288,'Customer Num Distr.'!$E:$E)&gt;='Discount Scheme Target'!$G$4,_xlfn.XLOOKUP(Workings!$E288,'Discount Scheme Target'!$B:$B,'Discount Scheme Target'!$G:$G,0,0),0)</f>
        <v>0</v>
      </c>
      <c r="K288" s="72">
        <f>IF(SUMIF('Bouclage EG Cust Cons_Decons'!$A:$A,Workings!$A288,'Bouclage EG Cust Cons_Decons'!$F:$F)&gt;='Discount Scheme Target'!$H$4,_xlfn.XLOOKUP(Workings!$E288,'Discount Scheme Target'!$B:$B,'Discount Scheme Target'!$H:$H,0,0),0)</f>
        <v>0</v>
      </c>
      <c r="L288" s="72">
        <f>IF(INDEX('TT Around time'!$A$1:$F$46,MATCH($A288,'TT Around time'!$A:$A,0),6)&gt;='Discount Scheme Target'!$I$4,_xlfn.XLOOKUP(Workings!$E288,'Discount Scheme Target'!$B:$B,'Discount Scheme Target'!$I:$I,0,0),0)</f>
        <v>0.01</v>
      </c>
      <c r="M288" s="72">
        <f t="shared" si="41"/>
        <v>2.5000000000000001E-2</v>
      </c>
      <c r="N288" s="62">
        <f t="shared" si="48"/>
        <v>3076288.0207670815</v>
      </c>
      <c r="T288" s="61">
        <f t="shared" si="42"/>
        <v>1845772.8124602486</v>
      </c>
      <c r="U288" s="61">
        <f t="shared" si="43"/>
        <v>0</v>
      </c>
      <c r="V288" s="61">
        <f t="shared" si="44"/>
        <v>0</v>
      </c>
      <c r="W288" s="61">
        <f t="shared" si="45"/>
        <v>1230515.2083068325</v>
      </c>
      <c r="X288" s="61">
        <f t="shared" si="46"/>
        <v>3076288.0207670811</v>
      </c>
      <c r="Y288" s="61">
        <f t="shared" si="47"/>
        <v>0</v>
      </c>
    </row>
    <row r="289" spans="1:25" x14ac:dyDescent="0.25">
      <c r="A289" s="51">
        <v>2300002312</v>
      </c>
      <c r="B289" s="51" t="s">
        <v>107</v>
      </c>
      <c r="C289" s="51" t="s">
        <v>145</v>
      </c>
      <c r="D289" s="51" t="s">
        <v>141</v>
      </c>
      <c r="E289" s="51" t="s">
        <v>418</v>
      </c>
      <c r="F289" s="52">
        <f>SUMIF('Customer Budget Per Category'!$A:$A,$A289,'Customer Budget Per Category'!$F:$F)</f>
        <v>0</v>
      </c>
      <c r="G289" s="52">
        <f>SUMIFS('Navision sales Dump'!$E:$E,'Navision sales Dump'!$K:$K,$E289,'Navision sales Dump'!$A:$A,$A289)</f>
        <v>0</v>
      </c>
      <c r="H289" s="62">
        <f>SUMIFS('Navision sales Dump'!$G:$G,'Navision sales Dump'!$K:$K,$E289,'Navision sales Dump'!$A:$A,$A289)</f>
        <v>0</v>
      </c>
      <c r="I289" s="72">
        <f>IFERROR(IF(($G289/$F289)&gt;='Discount Scheme Target'!$F$4,_xlfn.XLOOKUP($E289,'Discount Scheme Target'!$B:$B,'Discount Scheme Target'!$F:$F,0,0),IF(($G289/$F289)&gt;='Discount Scheme Target'!$E$4,_xlfn.XLOOKUP($E289,'Discount Scheme Target'!$B:$B,'Discount Scheme Target'!$E:$E,0,0),IF(($G289/$F289)&gt;='Discount Scheme Target'!$D$4,_xlfn.XLOOKUP($E289,'Discount Scheme Target'!$B:$B,'Discount Scheme Target'!$D:$D,0,0),0))),0)</f>
        <v>0</v>
      </c>
      <c r="J289" s="72">
        <f>IF(SUMIF('Customer Num Distr.'!$A:$A,Workings!$A289,'Customer Num Distr.'!$E:$E)&gt;='Discount Scheme Target'!$G$4,_xlfn.XLOOKUP(Workings!$E289,'Discount Scheme Target'!$B:$B,'Discount Scheme Target'!$G:$G,0,0),0)</f>
        <v>0</v>
      </c>
      <c r="K289" s="72">
        <f>IF(SUMIF('Bouclage EG Cust Cons_Decons'!$A:$A,Workings!$A289,'Bouclage EG Cust Cons_Decons'!$F:$F)&gt;='Discount Scheme Target'!$H$4,_xlfn.XLOOKUP(Workings!$E289,'Discount Scheme Target'!$B:$B,'Discount Scheme Target'!$H:$H,0,0),0)</f>
        <v>0</v>
      </c>
      <c r="L289" s="72">
        <f>IF(INDEX('TT Around time'!$A$1:$F$46,MATCH($A289,'TT Around time'!$A:$A,0),6)&gt;='Discount Scheme Target'!$I$4,_xlfn.XLOOKUP(Workings!$E289,'Discount Scheme Target'!$B:$B,'Discount Scheme Target'!$I:$I,0,0),0)</f>
        <v>0</v>
      </c>
      <c r="M289" s="72">
        <f t="shared" si="41"/>
        <v>0</v>
      </c>
      <c r="N289" s="62">
        <f t="shared" si="48"/>
        <v>0</v>
      </c>
      <c r="T289" s="61">
        <f t="shared" si="42"/>
        <v>0</v>
      </c>
      <c r="U289" s="61">
        <f t="shared" si="43"/>
        <v>0</v>
      </c>
      <c r="V289" s="61">
        <f t="shared" si="44"/>
        <v>0</v>
      </c>
      <c r="W289" s="61">
        <f t="shared" si="45"/>
        <v>0</v>
      </c>
      <c r="X289" s="61">
        <f t="shared" si="46"/>
        <v>0</v>
      </c>
      <c r="Y289" s="61">
        <f t="shared" si="47"/>
        <v>0</v>
      </c>
    </row>
    <row r="290" spans="1:25" x14ac:dyDescent="0.25">
      <c r="A290" s="51">
        <v>2300002312</v>
      </c>
      <c r="B290" s="51" t="s">
        <v>107</v>
      </c>
      <c r="C290" s="51" t="s">
        <v>145</v>
      </c>
      <c r="D290" s="51" t="s">
        <v>141</v>
      </c>
      <c r="E290" s="51" t="s">
        <v>130</v>
      </c>
      <c r="F290" s="52">
        <f>SUMIF('Customer Budget Per Category'!$A:$A,$A290,'Customer Budget Per Category'!$G:$G)</f>
        <v>375.88240632779457</v>
      </c>
      <c r="G290" s="52">
        <f>SUMIFS('Navision sales Dump'!$E:$E,'Navision sales Dump'!$K:$K,$E290,'Navision sales Dump'!$A:$A,$A290)</f>
        <v>144</v>
      </c>
      <c r="H290" s="62">
        <f>SUMIFS('Navision sales Dump'!$G:$G,'Navision sales Dump'!$K:$K,$E290,'Navision sales Dump'!$A:$A,$A290)</f>
        <v>1112446.08</v>
      </c>
      <c r="I290" s="72">
        <f>IFERROR(IF(($G290/$F290)&gt;='Discount Scheme Target'!$F$4,_xlfn.XLOOKUP($E290,'Discount Scheme Target'!$B:$B,'Discount Scheme Target'!$F:$F,0,0),IF(($G290/$F290)&gt;='Discount Scheme Target'!$E$4,_xlfn.XLOOKUP($E290,'Discount Scheme Target'!$B:$B,'Discount Scheme Target'!$E:$E,0,0),IF(($G290/$F290)&gt;='Discount Scheme Target'!$D$4,_xlfn.XLOOKUP($E290,'Discount Scheme Target'!$B:$B,'Discount Scheme Target'!$D:$D,0,0),0))),0)</f>
        <v>0</v>
      </c>
      <c r="J290" s="72">
        <f>IF(SUMIF('Customer Num Distr.'!$A:$A,Workings!$A290,'Customer Num Distr.'!$E:$E)&gt;='Discount Scheme Target'!$G$4,_xlfn.XLOOKUP(Workings!$E290,'Discount Scheme Target'!$B:$B,'Discount Scheme Target'!$G:$G,0,0),0)</f>
        <v>0</v>
      </c>
      <c r="K290" s="72">
        <f>IF(SUMIF('Bouclage EG Cust Cons_Decons'!$A:$A,Workings!$A290,'Bouclage EG Cust Cons_Decons'!$F:$F)&gt;='Discount Scheme Target'!$H$4,_xlfn.XLOOKUP(Workings!$E290,'Discount Scheme Target'!$B:$B,'Discount Scheme Target'!$H:$H,0,0),0)</f>
        <v>0</v>
      </c>
      <c r="L290" s="72">
        <f>IF(INDEX('TT Around time'!$A$1:$F$46,MATCH($A290,'TT Around time'!$A:$A,0),6)&gt;='Discount Scheme Target'!$I$4,_xlfn.XLOOKUP(Workings!$E290,'Discount Scheme Target'!$B:$B,'Discount Scheme Target'!$I:$I,0,0),0)</f>
        <v>0.01</v>
      </c>
      <c r="M290" s="72">
        <f t="shared" si="41"/>
        <v>0.01</v>
      </c>
      <c r="N290" s="62">
        <f t="shared" si="48"/>
        <v>29038.118712522384</v>
      </c>
      <c r="T290" s="61">
        <f t="shared" si="42"/>
        <v>0</v>
      </c>
      <c r="U290" s="61">
        <f t="shared" si="43"/>
        <v>0</v>
      </c>
      <c r="V290" s="61">
        <f t="shared" si="44"/>
        <v>0</v>
      </c>
      <c r="W290" s="61">
        <f t="shared" si="45"/>
        <v>29038.118712522384</v>
      </c>
      <c r="X290" s="61">
        <f t="shared" si="46"/>
        <v>29038.118712522384</v>
      </c>
      <c r="Y290" s="61">
        <f t="shared" si="47"/>
        <v>0</v>
      </c>
    </row>
    <row r="291" spans="1:25" x14ac:dyDescent="0.25">
      <c r="A291" s="51">
        <v>2300002312</v>
      </c>
      <c r="B291" s="51" t="s">
        <v>107</v>
      </c>
      <c r="C291" s="51" t="s">
        <v>145</v>
      </c>
      <c r="D291" s="51" t="s">
        <v>141</v>
      </c>
      <c r="E291" s="51" t="s">
        <v>131</v>
      </c>
      <c r="F291" s="52">
        <f>SUMIF('Customer Budget Per Category'!$A:$A,$A291,'Customer Budget Per Category'!$H:$H)</f>
        <v>128.17588725188014</v>
      </c>
      <c r="G291" s="52">
        <f>SUMIFS('Navision sales Dump'!$E:$E,'Navision sales Dump'!$K:$K,$E291,'Navision sales Dump'!$A:$A,$A291)</f>
        <v>155</v>
      </c>
      <c r="H291" s="62">
        <f>SUMIFS('Navision sales Dump'!$G:$G,'Navision sales Dump'!$K:$K,$E291,'Navision sales Dump'!$A:$A,$A291)</f>
        <v>6411820.8499999996</v>
      </c>
      <c r="I291" s="72">
        <f>IFERROR(IF(($G291/$F291)&gt;='Discount Scheme Target'!$F$4,_xlfn.XLOOKUP($E291,'Discount Scheme Target'!$B:$B,'Discount Scheme Target'!$F:$F,0,0),IF(($G291/$F291)&gt;='Discount Scheme Target'!$E$4,_xlfn.XLOOKUP($E291,'Discount Scheme Target'!$B:$B,'Discount Scheme Target'!$E:$E,0,0),IF(($G291/$F291)&gt;='Discount Scheme Target'!$D$4,_xlfn.XLOOKUP($E291,'Discount Scheme Target'!$B:$B,'Discount Scheme Target'!$D:$D,0,0),0))),0)</f>
        <v>0.04</v>
      </c>
      <c r="J291" s="72">
        <f>IF(SUMIF('Customer Num Distr.'!$A:$A,Workings!$A291,'Customer Num Distr.'!$E:$E)&gt;='Discount Scheme Target'!$G$4,_xlfn.XLOOKUP(Workings!$E291,'Discount Scheme Target'!$B:$B,'Discount Scheme Target'!$G:$G,0,0),0)</f>
        <v>0</v>
      </c>
      <c r="K291" s="72">
        <f>IF(SUMIF('Bouclage EG Cust Cons_Decons'!$A:$A,Workings!$A291,'Bouclage EG Cust Cons_Decons'!$F:$F)&gt;='Discount Scheme Target'!$H$4,_xlfn.XLOOKUP(Workings!$E291,'Discount Scheme Target'!$B:$B,'Discount Scheme Target'!$H:$H,0,0),0)</f>
        <v>0</v>
      </c>
      <c r="L291" s="72">
        <f>IF(INDEX('TT Around time'!$A$1:$F$46,MATCH($A291,'TT Around time'!$A:$A,0),6)&gt;='Discount Scheme Target'!$I$4,_xlfn.XLOOKUP(Workings!$E291,'Discount Scheme Target'!$B:$B,'Discount Scheme Target'!$I:$I,0,0),0)</f>
        <v>5.0000000000000001E-3</v>
      </c>
      <c r="M291" s="72">
        <f t="shared" si="41"/>
        <v>4.4999999999999998E-2</v>
      </c>
      <c r="N291" s="62">
        <f t="shared" si="48"/>
        <v>238598.94958515125</v>
      </c>
      <c r="T291" s="61">
        <f t="shared" si="42"/>
        <v>212087.95518680112</v>
      </c>
      <c r="U291" s="61">
        <f t="shared" si="43"/>
        <v>0</v>
      </c>
      <c r="V291" s="61">
        <f t="shared" si="44"/>
        <v>0</v>
      </c>
      <c r="W291" s="61">
        <f t="shared" si="45"/>
        <v>26510.99439835014</v>
      </c>
      <c r="X291" s="61">
        <f t="shared" si="46"/>
        <v>238598.94958515125</v>
      </c>
      <c r="Y291" s="61">
        <f t="shared" si="47"/>
        <v>0</v>
      </c>
    </row>
    <row r="292" spans="1:25" x14ac:dyDescent="0.25">
      <c r="A292" s="51">
        <v>2300002312</v>
      </c>
      <c r="B292" s="51" t="s">
        <v>107</v>
      </c>
      <c r="C292" s="51" t="s">
        <v>145</v>
      </c>
      <c r="D292" s="51" t="s">
        <v>141</v>
      </c>
      <c r="E292" s="51" t="s">
        <v>514</v>
      </c>
      <c r="F292" s="52">
        <f>SUMIF('Customer Budget Per Category'!$A:$A,$A292,'Customer Budget Per Category'!$I:$I)</f>
        <v>4926</v>
      </c>
      <c r="G292" s="52">
        <f>SUMIFS('Navision sales Dump'!$E:$E,'Navision sales Dump'!$K:$K,$E292,'Navision sales Dump'!$A:$A,$A292)</f>
        <v>5606</v>
      </c>
      <c r="H292" s="62">
        <f>SUMIFS('Navision sales Dump'!$G:$G,'Navision sales Dump'!$K:$K,$E292,'Navision sales Dump'!$A:$A,$A292)</f>
        <v>22188716.18</v>
      </c>
      <c r="I292" s="72">
        <f>IFERROR(IF(($G292/$F292)&gt;='Discount Scheme Target'!$F$4,_xlfn.XLOOKUP($E292,'Discount Scheme Target'!$B:$B,'Discount Scheme Target'!$F:$F,0,0),IF(($G292/$F292)&gt;='Discount Scheme Target'!$E$4,_xlfn.XLOOKUP($E292,'Discount Scheme Target'!$B:$B,'Discount Scheme Target'!$E:$E,0,0),IF(($G292/$F292)&gt;='Discount Scheme Target'!$D$4,_xlfn.XLOOKUP($E292,'Discount Scheme Target'!$B:$B,'Discount Scheme Target'!$D:$D,0,0),0))),0)</f>
        <v>0.03</v>
      </c>
      <c r="J292" s="72">
        <f>IF(SUMIF('Customer Num Distr.'!$A:$A,Workings!$A292,'Customer Num Distr.'!$E:$E)&gt;='Discount Scheme Target'!$G$4,_xlfn.XLOOKUP(Workings!$E292,'Discount Scheme Target'!$B:$B,'Discount Scheme Target'!$G:$G,0,0),0)</f>
        <v>0</v>
      </c>
      <c r="K292" s="72">
        <f>IF(SUMIF('Bouclage EG Cust Cons_Decons'!$A:$A,Workings!$A292,'Bouclage EG Cust Cons_Decons'!$F:$F)&gt;='Discount Scheme Target'!$H$4,_xlfn.XLOOKUP(Workings!$E292,'Discount Scheme Target'!$B:$B,'Discount Scheme Target'!$H:$H,0,0),0)</f>
        <v>0</v>
      </c>
      <c r="L292" s="72">
        <f>IF(INDEX('TT Around time'!$A$1:$F$46,MATCH($A292,'TT Around time'!$A:$A,0),6)&gt;='Discount Scheme Target'!$I$4,_xlfn.XLOOKUP(Workings!$E292,'Discount Scheme Target'!$B:$B,'Discount Scheme Target'!$I:$I,0,0),0)</f>
        <v>5.0000000000000001E-3</v>
      </c>
      <c r="M292" s="72">
        <f t="shared" si="41"/>
        <v>3.4999999999999996E-2</v>
      </c>
      <c r="N292" s="62">
        <f t="shared" si="48"/>
        <v>682403.95229999989</v>
      </c>
      <c r="T292" s="61">
        <f t="shared" si="42"/>
        <v>584917.67339999985</v>
      </c>
      <c r="U292" s="61">
        <f t="shared" si="43"/>
        <v>0</v>
      </c>
      <c r="V292" s="61">
        <f t="shared" si="44"/>
        <v>0</v>
      </c>
      <c r="W292" s="61">
        <f t="shared" si="45"/>
        <v>97486.27889999999</v>
      </c>
      <c r="X292" s="61">
        <f t="shared" si="46"/>
        <v>682403.95229999989</v>
      </c>
      <c r="Y292" s="61">
        <f t="shared" si="47"/>
        <v>0</v>
      </c>
    </row>
    <row r="293" spans="1:25" x14ac:dyDescent="0.25">
      <c r="A293" s="51">
        <v>2300002312</v>
      </c>
      <c r="B293" s="51" t="s">
        <v>107</v>
      </c>
      <c r="C293" s="51" t="s">
        <v>145</v>
      </c>
      <c r="D293" s="51" t="s">
        <v>141</v>
      </c>
      <c r="E293" s="51" t="s">
        <v>515</v>
      </c>
      <c r="F293" s="52">
        <f>SUMIF('Customer Budget Per Category'!$A:$A,$A293,'Customer Budget Per Category'!$J:$J)</f>
        <v>830</v>
      </c>
      <c r="G293" s="52">
        <f>SUMIFS('Navision sales Dump'!$E:$E,'Navision sales Dump'!$K:$K,$E293,'Navision sales Dump'!$A:$A,$A293)</f>
        <v>432</v>
      </c>
      <c r="H293" s="62">
        <f>SUMIFS('Navision sales Dump'!$G:$G,'Navision sales Dump'!$K:$K,$E293,'Navision sales Dump'!$A:$A,$A293)</f>
        <v>1219492.8</v>
      </c>
      <c r="I293" s="72">
        <f>IFERROR(IF(($G293/$F293)&gt;='Discount Scheme Target'!$F$4,_xlfn.XLOOKUP($E293,'Discount Scheme Target'!$B:$B,'Discount Scheme Target'!$F:$F,0,0),IF(($G293/$F293)&gt;='Discount Scheme Target'!$E$4,_xlfn.XLOOKUP($E293,'Discount Scheme Target'!$B:$B,'Discount Scheme Target'!$E:$E,0,0),IF(($G293/$F293)&gt;='Discount Scheme Target'!$D$4,_xlfn.XLOOKUP($E293,'Discount Scheme Target'!$B:$B,'Discount Scheme Target'!$D:$D,0,0),0))),0)</f>
        <v>0</v>
      </c>
      <c r="J293" s="72">
        <f>IF(SUMIF('Customer Num Distr.'!$A:$A,Workings!$A293,'Customer Num Distr.'!$E:$E)&gt;='Discount Scheme Target'!$G$4,_xlfn.XLOOKUP(Workings!$E293,'Discount Scheme Target'!$B:$B,'Discount Scheme Target'!$G:$G,0,0),0)</f>
        <v>0</v>
      </c>
      <c r="K293" s="72">
        <f>IF(SUMIF('Bouclage EG Cust Cons_Decons'!$A:$A,Workings!$A293,'Bouclage EG Cust Cons_Decons'!$F:$F)&gt;='Discount Scheme Target'!$H$4,_xlfn.XLOOKUP(Workings!$E293,'Discount Scheme Target'!$B:$B,'Discount Scheme Target'!$H:$H,0,0),0)</f>
        <v>0</v>
      </c>
      <c r="L293" s="72">
        <f>IF(INDEX('TT Around time'!$A$1:$F$46,MATCH($A293,'TT Around time'!$A:$A,0),6)&gt;='Discount Scheme Target'!$I$4,_xlfn.XLOOKUP(Workings!$E293,'Discount Scheme Target'!$B:$B,'Discount Scheme Target'!$I:$I,0,0),0)</f>
        <v>5.0000000000000001E-3</v>
      </c>
      <c r="M293" s="72">
        <f t="shared" si="41"/>
        <v>5.0000000000000001E-3</v>
      </c>
      <c r="N293" s="62">
        <f t="shared" si="48"/>
        <v>11715.035</v>
      </c>
      <c r="T293" s="61">
        <f t="shared" si="42"/>
        <v>0</v>
      </c>
      <c r="U293" s="61">
        <f t="shared" si="43"/>
        <v>0</v>
      </c>
      <c r="V293" s="61">
        <f t="shared" si="44"/>
        <v>0</v>
      </c>
      <c r="W293" s="61">
        <f t="shared" si="45"/>
        <v>11715.035</v>
      </c>
      <c r="X293" s="61">
        <f t="shared" si="46"/>
        <v>11715.035</v>
      </c>
      <c r="Y293" s="61">
        <f t="shared" si="47"/>
        <v>0</v>
      </c>
    </row>
    <row r="294" spans="1:25" x14ac:dyDescent="0.25">
      <c r="A294" s="51">
        <v>2300002312</v>
      </c>
      <c r="B294" s="51" t="s">
        <v>107</v>
      </c>
      <c r="C294" s="51" t="s">
        <v>145</v>
      </c>
      <c r="D294" s="51" t="s">
        <v>141</v>
      </c>
      <c r="E294" s="51" t="s">
        <v>161</v>
      </c>
      <c r="F294" s="52">
        <f>SUMIF('Customer Budget Per Category'!$A:$A,$A294,'Customer Budget Per Category'!$K:$K)</f>
        <v>0</v>
      </c>
      <c r="G294" s="52">
        <f>SUMIFS('Navision sales Dump'!$E:$E,'Navision sales Dump'!$K:$K,$E294,'Navision sales Dump'!$A:$A,$A294)</f>
        <v>0</v>
      </c>
      <c r="H294" s="62">
        <f>SUMIFS('Navision sales Dump'!$G:$G,'Navision sales Dump'!$K:$K,$E294,'Navision sales Dump'!$A:$A,$A294)</f>
        <v>0</v>
      </c>
      <c r="I294" s="72">
        <f>IFERROR(IF(($G294/$F294)&gt;='Discount Scheme Target'!$F$4,_xlfn.XLOOKUP($E294,'Discount Scheme Target'!$B:$B,'Discount Scheme Target'!$F:$F,0,0),IF(($G294/$F294)&gt;='Discount Scheme Target'!$E$4,_xlfn.XLOOKUP($E294,'Discount Scheme Target'!$B:$B,'Discount Scheme Target'!$E:$E,0,0),IF(($G294/$F294)&gt;='Discount Scheme Target'!$D$4,_xlfn.XLOOKUP($E294,'Discount Scheme Target'!$B:$B,'Discount Scheme Target'!$D:$D,0,0),0))),0)</f>
        <v>0</v>
      </c>
      <c r="J294" s="72">
        <f>IF(SUMIF('Customer Num Distr.'!$A:$A,Workings!$A294,'Customer Num Distr.'!$E:$E)&gt;='Discount Scheme Target'!$G$4,_xlfn.XLOOKUP(Workings!$E294,'Discount Scheme Target'!$B:$B,'Discount Scheme Target'!$G:$G,0,0),0)</f>
        <v>0</v>
      </c>
      <c r="K294" s="72">
        <f>IF(SUMIF('Bouclage EG Cust Cons_Decons'!$A:$A,Workings!$A294,'Bouclage EG Cust Cons_Decons'!$F:$F)&gt;='Discount Scheme Target'!$H$4,_xlfn.XLOOKUP(Workings!$E294,'Discount Scheme Target'!$B:$B,'Discount Scheme Target'!$H:$H,0,0),0)</f>
        <v>0</v>
      </c>
      <c r="L294" s="72">
        <f>IF(INDEX('TT Around time'!$A$1:$F$46,MATCH($A294,'TT Around time'!$A:$A,0),6)&gt;='Discount Scheme Target'!$I$4,_xlfn.XLOOKUP(Workings!$E294,'Discount Scheme Target'!$B:$B,'Discount Scheme Target'!$I:$I,0,0),0)</f>
        <v>0</v>
      </c>
      <c r="M294" s="72">
        <f t="shared" si="41"/>
        <v>0</v>
      </c>
      <c r="N294" s="62">
        <f t="shared" si="48"/>
        <v>0</v>
      </c>
      <c r="T294" s="61">
        <f t="shared" si="42"/>
        <v>0</v>
      </c>
      <c r="U294" s="61">
        <f t="shared" si="43"/>
        <v>0</v>
      </c>
      <c r="V294" s="61">
        <f t="shared" si="44"/>
        <v>0</v>
      </c>
      <c r="W294" s="61">
        <f t="shared" si="45"/>
        <v>0</v>
      </c>
      <c r="X294" s="61">
        <f t="shared" si="46"/>
        <v>0</v>
      </c>
      <c r="Y294" s="61">
        <f t="shared" si="47"/>
        <v>0</v>
      </c>
    </row>
    <row r="295" spans="1:25" x14ac:dyDescent="0.25">
      <c r="A295" s="51">
        <v>2300002312</v>
      </c>
      <c r="B295" s="51" t="s">
        <v>107</v>
      </c>
      <c r="C295" s="51" t="s">
        <v>145</v>
      </c>
      <c r="D295" s="51" t="s">
        <v>141</v>
      </c>
      <c r="E295" s="51" t="s">
        <v>354</v>
      </c>
      <c r="F295" s="52">
        <f>SUMIF('Customer Budget Per Category'!$A:$A,$A295,'Customer Budget Per Category'!$L:$L)</f>
        <v>1956</v>
      </c>
      <c r="G295" s="52">
        <f>SUMIFS('Navision sales Dump'!$E:$E,'Navision sales Dump'!$K:$K,$E295,'Navision sales Dump'!$A:$A,$A295)</f>
        <v>2010</v>
      </c>
      <c r="H295" s="62">
        <f>SUMIFS('Navision sales Dump'!$G:$G,'Navision sales Dump'!$K:$K,$E295,'Navision sales Dump'!$A:$A,$A295)</f>
        <v>6629703.5999999996</v>
      </c>
      <c r="I295" s="72">
        <f>IFERROR(IF(($G295/$F295)&gt;='Discount Scheme Target'!$F$4,_xlfn.XLOOKUP($E295,'Discount Scheme Target'!$B:$B,'Discount Scheme Target'!$F:$F,0,0),IF(($G295/$F295)&gt;='Discount Scheme Target'!$E$4,_xlfn.XLOOKUP($E295,'Discount Scheme Target'!$B:$B,'Discount Scheme Target'!$E:$E,0,0),IF(($G295/$F295)&gt;='Discount Scheme Target'!$D$4,_xlfn.XLOOKUP($E295,'Discount Scheme Target'!$B:$B,'Discount Scheme Target'!$D:$D,0,0),0))),0)</f>
        <v>0.01</v>
      </c>
      <c r="J295" s="72">
        <f>IF(SUMIF('Customer Num Distr.'!$A:$A,Workings!$A295,'Customer Num Distr.'!$E:$E)&gt;='Discount Scheme Target'!$G$4,_xlfn.XLOOKUP(Workings!$E295,'Discount Scheme Target'!$B:$B,'Discount Scheme Target'!$G:$G,0,0),0)</f>
        <v>0</v>
      </c>
      <c r="K295" s="72">
        <f>IF(SUMIF('Bouclage EG Cust Cons_Decons'!$A:$A,Workings!$A295,'Bouclage EG Cust Cons_Decons'!$F:$F)&gt;='Discount Scheme Target'!$H$4,_xlfn.XLOOKUP(Workings!$E295,'Discount Scheme Target'!$B:$B,'Discount Scheme Target'!$H:$H,0,0),0)</f>
        <v>0</v>
      </c>
      <c r="L295" s="72">
        <f>IF(INDEX('TT Around time'!$A$1:$F$46,MATCH($A295,'TT Around time'!$A:$A,0),6)&gt;='Discount Scheme Target'!$I$4,_xlfn.XLOOKUP(Workings!$E295,'Discount Scheme Target'!$B:$B,'Discount Scheme Target'!$I:$I,0,0),0)</f>
        <v>5.0000000000000001E-3</v>
      </c>
      <c r="M295" s="72">
        <f t="shared" si="41"/>
        <v>1.4999999999999999E-2</v>
      </c>
      <c r="N295" s="62">
        <f t="shared" si="48"/>
        <v>96773.882399999988</v>
      </c>
      <c r="T295" s="61">
        <f t="shared" si="42"/>
        <v>64515.921599999994</v>
      </c>
      <c r="U295" s="61">
        <f t="shared" si="43"/>
        <v>0</v>
      </c>
      <c r="V295" s="61">
        <f t="shared" si="44"/>
        <v>0</v>
      </c>
      <c r="W295" s="61">
        <f t="shared" si="45"/>
        <v>32257.960799999997</v>
      </c>
      <c r="X295" s="61">
        <f t="shared" si="46"/>
        <v>96773.882399999988</v>
      </c>
      <c r="Y295" s="61">
        <f t="shared" si="47"/>
        <v>0</v>
      </c>
    </row>
    <row r="296" spans="1:25" x14ac:dyDescent="0.25">
      <c r="A296" s="51">
        <v>2300002312</v>
      </c>
      <c r="B296" s="51" t="s">
        <v>107</v>
      </c>
      <c r="C296" s="51" t="s">
        <v>145</v>
      </c>
      <c r="D296" s="51" t="s">
        <v>141</v>
      </c>
      <c r="E296" s="51" t="s">
        <v>355</v>
      </c>
      <c r="F296" s="52">
        <f>SUMIF('Customer Budget Per Category'!$A:$A,$A296,'Customer Budget Per Category'!$M:$M)</f>
        <v>1429.3381834425822</v>
      </c>
      <c r="G296" s="52">
        <f>SUMIFS('Navision sales Dump'!$E:$E,'Navision sales Dump'!$K:$K,$E296,'Navision sales Dump'!$A:$A,$A296)</f>
        <v>719</v>
      </c>
      <c r="H296" s="62">
        <f>SUMIFS('Navision sales Dump'!$G:$G,'Navision sales Dump'!$K:$K,$E296,'Navision sales Dump'!$A:$A,$A296)</f>
        <v>1739713.97</v>
      </c>
      <c r="I296" s="72">
        <f>IFERROR(IF(($G296/$F296)&gt;='Discount Scheme Target'!$F$4,_xlfn.XLOOKUP($E296,'Discount Scheme Target'!$B:$B,'Discount Scheme Target'!$F:$F,0,0),IF(($G296/$F296)&gt;='Discount Scheme Target'!$E$4,_xlfn.XLOOKUP($E296,'Discount Scheme Target'!$B:$B,'Discount Scheme Target'!$E:$E,0,0),IF(($G296/$F296)&gt;='Discount Scheme Target'!$D$4,_xlfn.XLOOKUP($E296,'Discount Scheme Target'!$B:$B,'Discount Scheme Target'!$D:$D,0,0),0))),0)</f>
        <v>0</v>
      </c>
      <c r="J296" s="72">
        <f>IF(SUMIF('Customer Num Distr.'!$A:$A,Workings!$A296,'Customer Num Distr.'!$E:$E)&gt;='Discount Scheme Target'!$G$4,_xlfn.XLOOKUP(Workings!$E296,'Discount Scheme Target'!$B:$B,'Discount Scheme Target'!$G:$G,0,0),0)</f>
        <v>0</v>
      </c>
      <c r="K296" s="72">
        <f>IF(SUMIF('Bouclage EG Cust Cons_Decons'!$A:$A,Workings!$A296,'Bouclage EG Cust Cons_Decons'!$F:$F)&gt;='Discount Scheme Target'!$H$4,_xlfn.XLOOKUP(Workings!$E296,'Discount Scheme Target'!$B:$B,'Discount Scheme Target'!$H:$H,0,0),0)</f>
        <v>0</v>
      </c>
      <c r="L296" s="72">
        <f>IF(INDEX('TT Around time'!$A$1:$F$46,MATCH($A296,'TT Around time'!$A:$A,0),6)&gt;='Discount Scheme Target'!$I$4,_xlfn.XLOOKUP(Workings!$E296,'Discount Scheme Target'!$B:$B,'Discount Scheme Target'!$I:$I,0,0),0)</f>
        <v>5.0000000000000001E-3</v>
      </c>
      <c r="M296" s="72">
        <f t="shared" si="41"/>
        <v>5.0000000000000001E-3</v>
      </c>
      <c r="N296" s="62">
        <f t="shared" si="48"/>
        <v>17292.347744015879</v>
      </c>
      <c r="T296" s="61">
        <f t="shared" si="42"/>
        <v>0</v>
      </c>
      <c r="U296" s="61">
        <f t="shared" si="43"/>
        <v>0</v>
      </c>
      <c r="V296" s="61">
        <f t="shared" si="44"/>
        <v>0</v>
      </c>
      <c r="W296" s="61">
        <f t="shared" si="45"/>
        <v>17292.347744015879</v>
      </c>
      <c r="X296" s="61">
        <f t="shared" si="46"/>
        <v>17292.347744015879</v>
      </c>
      <c r="Y296" s="61">
        <f t="shared" si="47"/>
        <v>0</v>
      </c>
    </row>
    <row r="297" spans="1:25" x14ac:dyDescent="0.25">
      <c r="A297" s="51">
        <v>2300002312</v>
      </c>
      <c r="B297" s="51" t="s">
        <v>107</v>
      </c>
      <c r="C297" s="51" t="s">
        <v>145</v>
      </c>
      <c r="D297" s="51" t="s">
        <v>141</v>
      </c>
      <c r="E297" s="51" t="s">
        <v>132</v>
      </c>
      <c r="F297" s="52">
        <f>SUMIF('Customer Budget Per Category'!$A:$A,$A297,'Customer Budget Per Category'!$N:$N)</f>
        <v>352.37273147498871</v>
      </c>
      <c r="G297" s="52">
        <f>SUMIFS('Navision sales Dump'!$E:$E,'Navision sales Dump'!$K:$K,$E297,'Navision sales Dump'!$A:$A,$A297)</f>
        <v>0</v>
      </c>
      <c r="H297" s="62">
        <f>SUMIFS('Navision sales Dump'!$G:$G,'Navision sales Dump'!$K:$K,$E297,'Navision sales Dump'!$A:$A,$A297)</f>
        <v>0</v>
      </c>
      <c r="I297" s="72">
        <f>IFERROR(IF(($G297/$F297)&gt;='Discount Scheme Target'!$F$4,_xlfn.XLOOKUP($E297,'Discount Scheme Target'!$B:$B,'Discount Scheme Target'!$F:$F,0,0),IF(($G297/$F297)&gt;='Discount Scheme Target'!$E$4,_xlfn.XLOOKUP($E297,'Discount Scheme Target'!$B:$B,'Discount Scheme Target'!$E:$E,0,0),IF(($G297/$F297)&gt;='Discount Scheme Target'!$D$4,_xlfn.XLOOKUP($E297,'Discount Scheme Target'!$B:$B,'Discount Scheme Target'!$D:$D,0,0),0))),0)</f>
        <v>0</v>
      </c>
      <c r="J297" s="72">
        <f>IF(SUMIF('Customer Num Distr.'!$A:$A,Workings!$A297,'Customer Num Distr.'!$E:$E)&gt;='Discount Scheme Target'!$G$4,_xlfn.XLOOKUP(Workings!$E297,'Discount Scheme Target'!$B:$B,'Discount Scheme Target'!$G:$G,0,0),0)</f>
        <v>0</v>
      </c>
      <c r="K297" s="72">
        <f>IF(SUMIF('Bouclage EG Cust Cons_Decons'!$A:$A,Workings!$A297,'Bouclage EG Cust Cons_Decons'!$F:$F)&gt;='Discount Scheme Target'!$H$4,_xlfn.XLOOKUP(Workings!$E297,'Discount Scheme Target'!$B:$B,'Discount Scheme Target'!$H:$H,0,0),0)</f>
        <v>0</v>
      </c>
      <c r="L297" s="72">
        <f>IF(INDEX('TT Around time'!$A$1:$F$46,MATCH($A297,'TT Around time'!$A:$A,0),6)&gt;='Discount Scheme Target'!$I$4,_xlfn.XLOOKUP(Workings!$E297,'Discount Scheme Target'!$B:$B,'Discount Scheme Target'!$I:$I,0,0),0)</f>
        <v>5.0000000000000001E-3</v>
      </c>
      <c r="M297" s="72">
        <f t="shared" si="41"/>
        <v>5.0000000000000001E-3</v>
      </c>
      <c r="N297" s="62">
        <f t="shared" si="48"/>
        <v>0</v>
      </c>
      <c r="T297" s="61">
        <f t="shared" si="42"/>
        <v>0</v>
      </c>
      <c r="U297" s="61">
        <f t="shared" si="43"/>
        <v>0</v>
      </c>
      <c r="V297" s="61">
        <f t="shared" si="44"/>
        <v>0</v>
      </c>
      <c r="W297" s="61">
        <f t="shared" si="45"/>
        <v>0</v>
      </c>
      <c r="X297" s="61">
        <f t="shared" si="46"/>
        <v>0</v>
      </c>
      <c r="Y297" s="61">
        <f t="shared" si="47"/>
        <v>0</v>
      </c>
    </row>
    <row r="298" spans="1:25" x14ac:dyDescent="0.25">
      <c r="A298" s="51">
        <v>2300002312</v>
      </c>
      <c r="B298" s="51" t="s">
        <v>107</v>
      </c>
      <c r="C298" s="51" t="s">
        <v>145</v>
      </c>
      <c r="D298" s="51" t="s">
        <v>141</v>
      </c>
      <c r="E298" s="51" t="s">
        <v>133</v>
      </c>
      <c r="F298" s="52">
        <f>SUMIF('Customer Budget Per Category'!$A:$A,$A298,'Customer Budget Per Category'!$O:$O)</f>
        <v>316.320947838287</v>
      </c>
      <c r="G298" s="52">
        <f>SUMIFS('Navision sales Dump'!$E:$E,'Navision sales Dump'!$K:$K,$E298,'Navision sales Dump'!$A:$A,$A298)</f>
        <v>216</v>
      </c>
      <c r="H298" s="62">
        <f>SUMIFS('Navision sales Dump'!$G:$G,'Navision sales Dump'!$K:$K,$E298,'Navision sales Dump'!$A:$A,$A298)</f>
        <v>2165914.08</v>
      </c>
      <c r="I298" s="72">
        <f>IFERROR(IF(($G298/$F298)&gt;='Discount Scheme Target'!$F$4,_xlfn.XLOOKUP($E298,'Discount Scheme Target'!$B:$B,'Discount Scheme Target'!$F:$F,0,0),IF(($G298/$F298)&gt;='Discount Scheme Target'!$E$4,_xlfn.XLOOKUP($E298,'Discount Scheme Target'!$B:$B,'Discount Scheme Target'!$E:$E,0,0),IF(($G298/$F298)&gt;='Discount Scheme Target'!$D$4,_xlfn.XLOOKUP($E298,'Discount Scheme Target'!$B:$B,'Discount Scheme Target'!$D:$D,0,0),0))),0)</f>
        <v>0</v>
      </c>
      <c r="J298" s="72">
        <f>IF(SUMIF('Customer Num Distr.'!$A:$A,Workings!$A298,'Customer Num Distr.'!$E:$E)&gt;='Discount Scheme Target'!$G$4,_xlfn.XLOOKUP(Workings!$E298,'Discount Scheme Target'!$B:$B,'Discount Scheme Target'!$G:$G,0,0),0)</f>
        <v>0</v>
      </c>
      <c r="K298" s="72">
        <f>IF(SUMIF('Bouclage EG Cust Cons_Decons'!$A:$A,Workings!$A298,'Bouclage EG Cust Cons_Decons'!$F:$F)&gt;='Discount Scheme Target'!$H$4,_xlfn.XLOOKUP(Workings!$E298,'Discount Scheme Target'!$B:$B,'Discount Scheme Target'!$H:$H,0,0),0)</f>
        <v>0</v>
      </c>
      <c r="L298" s="72">
        <f>IF(INDEX('TT Around time'!$A$1:$F$46,MATCH($A298,'TT Around time'!$A:$A,0),6)&gt;='Discount Scheme Target'!$I$4,_xlfn.XLOOKUP(Workings!$E298,'Discount Scheme Target'!$B:$B,'Discount Scheme Target'!$I:$I,0,0),0)</f>
        <v>5.0000000000000001E-3</v>
      </c>
      <c r="M298" s="72">
        <f t="shared" si="41"/>
        <v>5.0000000000000001E-3</v>
      </c>
      <c r="N298" s="62">
        <f t="shared" si="48"/>
        <v>15859.351729673414</v>
      </c>
      <c r="T298" s="61">
        <f t="shared" si="42"/>
        <v>0</v>
      </c>
      <c r="U298" s="61">
        <f t="shared" si="43"/>
        <v>0</v>
      </c>
      <c r="V298" s="61">
        <f t="shared" si="44"/>
        <v>0</v>
      </c>
      <c r="W298" s="61">
        <f t="shared" si="45"/>
        <v>15859.351729673414</v>
      </c>
      <c r="X298" s="61">
        <f t="shared" si="46"/>
        <v>15859.351729673414</v>
      </c>
      <c r="Y298" s="61">
        <f t="shared" si="47"/>
        <v>0</v>
      </c>
    </row>
    <row r="299" spans="1:25" x14ac:dyDescent="0.25">
      <c r="A299" s="51">
        <v>2011510034</v>
      </c>
      <c r="B299" s="51" t="s">
        <v>149</v>
      </c>
      <c r="C299" s="51" t="s">
        <v>145</v>
      </c>
      <c r="D299" s="51" t="s">
        <v>141</v>
      </c>
      <c r="E299" s="51" t="s">
        <v>417</v>
      </c>
      <c r="F299" s="52">
        <f>SUMIF('Customer Budget Per Category'!$A:$A,$A299,'Customer Budget Per Category'!$E:$E)</f>
        <v>12000</v>
      </c>
      <c r="G299" s="52">
        <f>SUMIFS('Navision sales Dump'!$E:$E,'Navision sales Dump'!$K:$K,$E299,'Navision sales Dump'!$A:$A,$A299)</f>
        <v>14214</v>
      </c>
      <c r="H299" s="62">
        <f>SUMIFS('Navision sales Dump'!$G:$G,'Navision sales Dump'!$K:$K,$E299,'Navision sales Dump'!$A:$A,$A299)</f>
        <v>101195279.37000002</v>
      </c>
      <c r="I299" s="72">
        <f>IFERROR(IF(($G299/$F299)&gt;='Discount Scheme Target'!$F$4,_xlfn.XLOOKUP($E299,'Discount Scheme Target'!$B:$B,'Discount Scheme Target'!$F:$F,0,0),IF(($G299/$F299)&gt;='Discount Scheme Target'!$E$4,_xlfn.XLOOKUP($E299,'Discount Scheme Target'!$B:$B,'Discount Scheme Target'!$E:$E,0,0),IF(($G299/$F299)&gt;='Discount Scheme Target'!$D$4,_xlfn.XLOOKUP($E299,'Discount Scheme Target'!$B:$B,'Discount Scheme Target'!$D:$D,0,0),0))),0)</f>
        <v>4.5000000000000005E-2</v>
      </c>
      <c r="J299" s="72">
        <f>IF(SUMIF('Customer Num Distr.'!$A:$A,Workings!$A299,'Customer Num Distr.'!$E:$E)&gt;='Discount Scheme Target'!$G$4,_xlfn.XLOOKUP(Workings!$E299,'Discount Scheme Target'!$B:$B,'Discount Scheme Target'!$G:$G,0,0),0)</f>
        <v>0</v>
      </c>
      <c r="K299" s="72">
        <f>IF(SUMIF('Bouclage EG Cust Cons_Decons'!$A:$A,Workings!$A299,'Bouclage EG Cust Cons_Decons'!$F:$F)&gt;='Discount Scheme Target'!$H$4,_xlfn.XLOOKUP(Workings!$E299,'Discount Scheme Target'!$B:$B,'Discount Scheme Target'!$H:$H,0,0),0)</f>
        <v>0</v>
      </c>
      <c r="L299" s="72">
        <f>IF(INDEX('TT Around time'!$A$1:$F$46,MATCH($A299,'TT Around time'!$A:$A,0),6)&gt;='Discount Scheme Target'!$I$4,_xlfn.XLOOKUP(Workings!$E299,'Discount Scheme Target'!$B:$B,'Discount Scheme Target'!$I:$I,0,0),0)</f>
        <v>0.01</v>
      </c>
      <c r="M299" s="72">
        <f t="shared" si="41"/>
        <v>5.5000000000000007E-2</v>
      </c>
      <c r="N299" s="62">
        <f t="shared" si="48"/>
        <v>4698809.9327564389</v>
      </c>
      <c r="T299" s="61">
        <f t="shared" si="42"/>
        <v>3844480.85407345</v>
      </c>
      <c r="U299" s="61">
        <f t="shared" si="43"/>
        <v>0</v>
      </c>
      <c r="V299" s="61">
        <f t="shared" si="44"/>
        <v>0</v>
      </c>
      <c r="W299" s="61">
        <f t="shared" si="45"/>
        <v>854329.07868298877</v>
      </c>
      <c r="X299" s="61">
        <f t="shared" si="46"/>
        <v>4698809.9327564389</v>
      </c>
      <c r="Y299" s="61">
        <f t="shared" si="47"/>
        <v>0</v>
      </c>
    </row>
    <row r="300" spans="1:25" x14ac:dyDescent="0.25">
      <c r="A300" s="51">
        <v>2011510034</v>
      </c>
      <c r="B300" s="51" t="s">
        <v>149</v>
      </c>
      <c r="C300" s="51" t="s">
        <v>145</v>
      </c>
      <c r="D300" s="51" t="s">
        <v>141</v>
      </c>
      <c r="E300" s="51" t="s">
        <v>418</v>
      </c>
      <c r="F300" s="52">
        <f>SUMIF('Customer Budget Per Category'!$A:$A,$A300,'Customer Budget Per Category'!$F:$F)</f>
        <v>0</v>
      </c>
      <c r="G300" s="52">
        <f>SUMIFS('Navision sales Dump'!$E:$E,'Navision sales Dump'!$K:$K,$E300,'Navision sales Dump'!$A:$A,$A300)</f>
        <v>0</v>
      </c>
      <c r="H300" s="62">
        <f>SUMIFS('Navision sales Dump'!$G:$G,'Navision sales Dump'!$K:$K,$E300,'Navision sales Dump'!$A:$A,$A300)</f>
        <v>0</v>
      </c>
      <c r="I300" s="72">
        <f>IFERROR(IF(($G300/$F300)&gt;='Discount Scheme Target'!$F$4,_xlfn.XLOOKUP($E300,'Discount Scheme Target'!$B:$B,'Discount Scheme Target'!$F:$F,0,0),IF(($G300/$F300)&gt;='Discount Scheme Target'!$E$4,_xlfn.XLOOKUP($E300,'Discount Scheme Target'!$B:$B,'Discount Scheme Target'!$E:$E,0,0),IF(($G300/$F300)&gt;='Discount Scheme Target'!$D$4,_xlfn.XLOOKUP($E300,'Discount Scheme Target'!$B:$B,'Discount Scheme Target'!$D:$D,0,0),0))),0)</f>
        <v>0</v>
      </c>
      <c r="J300" s="72">
        <f>IF(SUMIF('Customer Num Distr.'!$A:$A,Workings!$A300,'Customer Num Distr.'!$E:$E)&gt;='Discount Scheme Target'!$G$4,_xlfn.XLOOKUP(Workings!$E300,'Discount Scheme Target'!$B:$B,'Discount Scheme Target'!$G:$G,0,0),0)</f>
        <v>0</v>
      </c>
      <c r="K300" s="72">
        <f>IF(SUMIF('Bouclage EG Cust Cons_Decons'!$A:$A,Workings!$A300,'Bouclage EG Cust Cons_Decons'!$F:$F)&gt;='Discount Scheme Target'!$H$4,_xlfn.XLOOKUP(Workings!$E300,'Discount Scheme Target'!$B:$B,'Discount Scheme Target'!$H:$H,0,0),0)</f>
        <v>0</v>
      </c>
      <c r="L300" s="72">
        <f>IF(INDEX('TT Around time'!$A$1:$F$46,MATCH($A300,'TT Around time'!$A:$A,0),6)&gt;='Discount Scheme Target'!$I$4,_xlfn.XLOOKUP(Workings!$E300,'Discount Scheme Target'!$B:$B,'Discount Scheme Target'!$I:$I,0,0),0)</f>
        <v>0</v>
      </c>
      <c r="M300" s="72">
        <f t="shared" si="41"/>
        <v>0</v>
      </c>
      <c r="N300" s="62">
        <f t="shared" si="48"/>
        <v>0</v>
      </c>
      <c r="T300" s="61">
        <f t="shared" si="42"/>
        <v>0</v>
      </c>
      <c r="U300" s="61">
        <f t="shared" si="43"/>
        <v>0</v>
      </c>
      <c r="V300" s="61">
        <f t="shared" si="44"/>
        <v>0</v>
      </c>
      <c r="W300" s="61">
        <f t="shared" si="45"/>
        <v>0</v>
      </c>
      <c r="X300" s="61">
        <f t="shared" si="46"/>
        <v>0</v>
      </c>
      <c r="Y300" s="61">
        <f t="shared" si="47"/>
        <v>0</v>
      </c>
    </row>
    <row r="301" spans="1:25" x14ac:dyDescent="0.25">
      <c r="A301" s="51">
        <v>2011510034</v>
      </c>
      <c r="B301" s="51" t="s">
        <v>149</v>
      </c>
      <c r="C301" s="51" t="s">
        <v>145</v>
      </c>
      <c r="D301" s="51" t="s">
        <v>141</v>
      </c>
      <c r="E301" s="51" t="s">
        <v>130</v>
      </c>
      <c r="F301" s="52">
        <f>SUMIF('Customer Budget Per Category'!$A:$A,$A301,'Customer Budget Per Category'!$G:$G)</f>
        <v>499</v>
      </c>
      <c r="G301" s="52">
        <f>SUMIFS('Navision sales Dump'!$E:$E,'Navision sales Dump'!$K:$K,$E301,'Navision sales Dump'!$A:$A,$A301)</f>
        <v>286</v>
      </c>
      <c r="H301" s="62">
        <f>SUMIFS('Navision sales Dump'!$G:$G,'Navision sales Dump'!$K:$K,$E301,'Navision sales Dump'!$A:$A,$A301)</f>
        <v>2209441.52</v>
      </c>
      <c r="I301" s="72">
        <f>IFERROR(IF(($G301/$F301)&gt;='Discount Scheme Target'!$F$4,_xlfn.XLOOKUP($E301,'Discount Scheme Target'!$B:$B,'Discount Scheme Target'!$F:$F,0,0),IF(($G301/$F301)&gt;='Discount Scheme Target'!$E$4,_xlfn.XLOOKUP($E301,'Discount Scheme Target'!$B:$B,'Discount Scheme Target'!$E:$E,0,0),IF(($G301/$F301)&gt;='Discount Scheme Target'!$D$4,_xlfn.XLOOKUP($E301,'Discount Scheme Target'!$B:$B,'Discount Scheme Target'!$D:$D,0,0),0))),0)</f>
        <v>0</v>
      </c>
      <c r="J301" s="72">
        <f>IF(SUMIF('Customer Num Distr.'!$A:$A,Workings!$A301,'Customer Num Distr.'!$E:$E)&gt;='Discount Scheme Target'!$G$4,_xlfn.XLOOKUP(Workings!$E301,'Discount Scheme Target'!$B:$B,'Discount Scheme Target'!$G:$G,0,0),0)</f>
        <v>0</v>
      </c>
      <c r="K301" s="72">
        <f>IF(SUMIF('Bouclage EG Cust Cons_Decons'!$A:$A,Workings!$A301,'Bouclage EG Cust Cons_Decons'!$F:$F)&gt;='Discount Scheme Target'!$H$4,_xlfn.XLOOKUP(Workings!$E301,'Discount Scheme Target'!$B:$B,'Discount Scheme Target'!$H:$H,0,0),0)</f>
        <v>0</v>
      </c>
      <c r="L301" s="72">
        <f>IF(INDEX('TT Around time'!$A$1:$F$46,MATCH($A301,'TT Around time'!$A:$A,0),6)&gt;='Discount Scheme Target'!$I$4,_xlfn.XLOOKUP(Workings!$E301,'Discount Scheme Target'!$B:$B,'Discount Scheme Target'!$I:$I,0,0),0)</f>
        <v>0.01</v>
      </c>
      <c r="M301" s="72">
        <f t="shared" si="41"/>
        <v>0.01</v>
      </c>
      <c r="N301" s="62">
        <f t="shared" si="48"/>
        <v>38549.346799999999</v>
      </c>
      <c r="T301" s="61">
        <f t="shared" si="42"/>
        <v>0</v>
      </c>
      <c r="U301" s="61">
        <f t="shared" si="43"/>
        <v>0</v>
      </c>
      <c r="V301" s="61">
        <f t="shared" si="44"/>
        <v>0</v>
      </c>
      <c r="W301" s="61">
        <f t="shared" si="45"/>
        <v>38549.346799999999</v>
      </c>
      <c r="X301" s="61">
        <f t="shared" si="46"/>
        <v>38549.346799999999</v>
      </c>
      <c r="Y301" s="61">
        <f t="shared" si="47"/>
        <v>0</v>
      </c>
    </row>
    <row r="302" spans="1:25" x14ac:dyDescent="0.25">
      <c r="A302" s="51">
        <v>2011510034</v>
      </c>
      <c r="B302" s="51" t="s">
        <v>149</v>
      </c>
      <c r="C302" s="51" t="s">
        <v>145</v>
      </c>
      <c r="D302" s="51" t="s">
        <v>141</v>
      </c>
      <c r="E302" s="51" t="s">
        <v>131</v>
      </c>
      <c r="F302" s="52">
        <f>SUMIF('Customer Budget Per Category'!$A:$A,$A302,'Customer Budget Per Category'!$H:$H)</f>
        <v>105</v>
      </c>
      <c r="G302" s="52">
        <f>SUMIFS('Navision sales Dump'!$E:$E,'Navision sales Dump'!$K:$K,$E302,'Navision sales Dump'!$A:$A,$A302)</f>
        <v>70</v>
      </c>
      <c r="H302" s="62">
        <f>SUMIFS('Navision sales Dump'!$G:$G,'Navision sales Dump'!$K:$K,$E302,'Navision sales Dump'!$A:$A,$A302)</f>
        <v>2836497.45</v>
      </c>
      <c r="I302" s="72">
        <f>IFERROR(IF(($G302/$F302)&gt;='Discount Scheme Target'!$F$4,_xlfn.XLOOKUP($E302,'Discount Scheme Target'!$B:$B,'Discount Scheme Target'!$F:$F,0,0),IF(($G302/$F302)&gt;='Discount Scheme Target'!$E$4,_xlfn.XLOOKUP($E302,'Discount Scheme Target'!$B:$B,'Discount Scheme Target'!$E:$E,0,0),IF(($G302/$F302)&gt;='Discount Scheme Target'!$D$4,_xlfn.XLOOKUP($E302,'Discount Scheme Target'!$B:$B,'Discount Scheme Target'!$D:$D,0,0),0))),0)</f>
        <v>0</v>
      </c>
      <c r="J302" s="72">
        <f>IF(SUMIF('Customer Num Distr.'!$A:$A,Workings!$A302,'Customer Num Distr.'!$E:$E)&gt;='Discount Scheme Target'!$G$4,_xlfn.XLOOKUP(Workings!$E302,'Discount Scheme Target'!$B:$B,'Discount Scheme Target'!$G:$G,0,0),0)</f>
        <v>0</v>
      </c>
      <c r="K302" s="72">
        <f>IF(SUMIF('Bouclage EG Cust Cons_Decons'!$A:$A,Workings!$A302,'Bouclage EG Cust Cons_Decons'!$F:$F)&gt;='Discount Scheme Target'!$H$4,_xlfn.XLOOKUP(Workings!$E302,'Discount Scheme Target'!$B:$B,'Discount Scheme Target'!$H:$H,0,0),0)</f>
        <v>0</v>
      </c>
      <c r="L302" s="72">
        <f>IF(INDEX('TT Around time'!$A$1:$F$46,MATCH($A302,'TT Around time'!$A:$A,0),6)&gt;='Discount Scheme Target'!$I$4,_xlfn.XLOOKUP(Workings!$E302,'Discount Scheme Target'!$B:$B,'Discount Scheme Target'!$I:$I,0,0),0)</f>
        <v>5.0000000000000001E-3</v>
      </c>
      <c r="M302" s="72">
        <f t="shared" si="41"/>
        <v>5.0000000000000001E-3</v>
      </c>
      <c r="N302" s="62">
        <f t="shared" si="48"/>
        <v>21273.730875000005</v>
      </c>
      <c r="T302" s="61">
        <f t="shared" si="42"/>
        <v>0</v>
      </c>
      <c r="U302" s="61">
        <f t="shared" si="43"/>
        <v>0</v>
      </c>
      <c r="V302" s="61">
        <f t="shared" si="44"/>
        <v>0</v>
      </c>
      <c r="W302" s="61">
        <f t="shared" si="45"/>
        <v>21273.730875000005</v>
      </c>
      <c r="X302" s="61">
        <f t="shared" si="46"/>
        <v>21273.730875000005</v>
      </c>
      <c r="Y302" s="61">
        <f t="shared" si="47"/>
        <v>0</v>
      </c>
    </row>
    <row r="303" spans="1:25" x14ac:dyDescent="0.25">
      <c r="A303" s="51">
        <v>2011510034</v>
      </c>
      <c r="B303" s="51" t="s">
        <v>149</v>
      </c>
      <c r="C303" s="51" t="s">
        <v>145</v>
      </c>
      <c r="D303" s="51" t="s">
        <v>141</v>
      </c>
      <c r="E303" s="51" t="s">
        <v>514</v>
      </c>
      <c r="F303" s="52">
        <f>SUMIF('Customer Budget Per Category'!$A:$A,$A303,'Customer Budget Per Category'!$I:$I)</f>
        <v>5367</v>
      </c>
      <c r="G303" s="52">
        <f>SUMIFS('Navision sales Dump'!$E:$E,'Navision sales Dump'!$K:$K,$E303,'Navision sales Dump'!$A:$A,$A303)</f>
        <v>7829</v>
      </c>
      <c r="H303" s="62">
        <f>SUMIFS('Navision sales Dump'!$G:$G,'Navision sales Dump'!$K:$K,$E303,'Navision sales Dump'!$A:$A,$A303)</f>
        <v>30987416.870000005</v>
      </c>
      <c r="I303" s="72">
        <f>IFERROR(IF(($G303/$F303)&gt;='Discount Scheme Target'!$F$4,_xlfn.XLOOKUP($E303,'Discount Scheme Target'!$B:$B,'Discount Scheme Target'!$F:$F,0,0),IF(($G303/$F303)&gt;='Discount Scheme Target'!$E$4,_xlfn.XLOOKUP($E303,'Discount Scheme Target'!$B:$B,'Discount Scheme Target'!$E:$E,0,0),IF(($G303/$F303)&gt;='Discount Scheme Target'!$D$4,_xlfn.XLOOKUP($E303,'Discount Scheme Target'!$B:$B,'Discount Scheme Target'!$D:$D,0,0),0))),0)</f>
        <v>0.04</v>
      </c>
      <c r="J303" s="72">
        <f>IF(SUMIF('Customer Num Distr.'!$A:$A,Workings!$A303,'Customer Num Distr.'!$E:$E)&gt;='Discount Scheme Target'!$G$4,_xlfn.XLOOKUP(Workings!$E303,'Discount Scheme Target'!$B:$B,'Discount Scheme Target'!$G:$G,0,0),0)</f>
        <v>0</v>
      </c>
      <c r="K303" s="72">
        <f>IF(SUMIF('Bouclage EG Cust Cons_Decons'!$A:$A,Workings!$A303,'Bouclage EG Cust Cons_Decons'!$F:$F)&gt;='Discount Scheme Target'!$H$4,_xlfn.XLOOKUP(Workings!$E303,'Discount Scheme Target'!$B:$B,'Discount Scheme Target'!$H:$H,0,0),0)</f>
        <v>0</v>
      </c>
      <c r="L303" s="72">
        <f>IF(INDEX('TT Around time'!$A$1:$F$46,MATCH($A303,'TT Around time'!$A:$A,0),6)&gt;='Discount Scheme Target'!$I$4,_xlfn.XLOOKUP(Workings!$E303,'Discount Scheme Target'!$B:$B,'Discount Scheme Target'!$I:$I,0,0),0)</f>
        <v>5.0000000000000001E-3</v>
      </c>
      <c r="M303" s="72">
        <f t="shared" si="41"/>
        <v>4.4999999999999998E-2</v>
      </c>
      <c r="N303" s="62">
        <f t="shared" si="48"/>
        <v>955923.61545000016</v>
      </c>
      <c r="T303" s="61">
        <f t="shared" si="42"/>
        <v>849709.88040000026</v>
      </c>
      <c r="U303" s="61">
        <f t="shared" si="43"/>
        <v>0</v>
      </c>
      <c r="V303" s="61">
        <f t="shared" si="44"/>
        <v>0</v>
      </c>
      <c r="W303" s="61">
        <f t="shared" si="45"/>
        <v>106213.73505000003</v>
      </c>
      <c r="X303" s="61">
        <f t="shared" si="46"/>
        <v>955923.61545000027</v>
      </c>
      <c r="Y303" s="61">
        <f t="shared" si="47"/>
        <v>0</v>
      </c>
    </row>
    <row r="304" spans="1:25" x14ac:dyDescent="0.25">
      <c r="A304" s="51">
        <v>2011510034</v>
      </c>
      <c r="B304" s="51" t="s">
        <v>149</v>
      </c>
      <c r="C304" s="51" t="s">
        <v>145</v>
      </c>
      <c r="D304" s="51" t="s">
        <v>141</v>
      </c>
      <c r="E304" s="51" t="s">
        <v>515</v>
      </c>
      <c r="F304" s="52">
        <f>SUMIF('Customer Budget Per Category'!$A:$A,$A304,'Customer Budget Per Category'!$J:$J)</f>
        <v>900</v>
      </c>
      <c r="G304" s="52">
        <f>SUMIFS('Navision sales Dump'!$E:$E,'Navision sales Dump'!$K:$K,$E304,'Navision sales Dump'!$A:$A,$A304)</f>
        <v>717</v>
      </c>
      <c r="H304" s="62">
        <f>SUMIFS('Navision sales Dump'!$G:$G,'Navision sales Dump'!$K:$K,$E304,'Navision sales Dump'!$A:$A,$A304)</f>
        <v>2024019.3</v>
      </c>
      <c r="I304" s="72">
        <f>IFERROR(IF(($G304/$F304)&gt;='Discount Scheme Target'!$F$4,_xlfn.XLOOKUP($E304,'Discount Scheme Target'!$B:$B,'Discount Scheme Target'!$F:$F,0,0),IF(($G304/$F304)&gt;='Discount Scheme Target'!$E$4,_xlfn.XLOOKUP($E304,'Discount Scheme Target'!$B:$B,'Discount Scheme Target'!$E:$E,0,0),IF(($G304/$F304)&gt;='Discount Scheme Target'!$D$4,_xlfn.XLOOKUP($E304,'Discount Scheme Target'!$B:$B,'Discount Scheme Target'!$D:$D,0,0),0))),0)</f>
        <v>0</v>
      </c>
      <c r="J304" s="72">
        <f>IF(SUMIF('Customer Num Distr.'!$A:$A,Workings!$A304,'Customer Num Distr.'!$E:$E)&gt;='Discount Scheme Target'!$G$4,_xlfn.XLOOKUP(Workings!$E304,'Discount Scheme Target'!$B:$B,'Discount Scheme Target'!$G:$G,0,0),0)</f>
        <v>0</v>
      </c>
      <c r="K304" s="72">
        <f>IF(SUMIF('Bouclage EG Cust Cons_Decons'!$A:$A,Workings!$A304,'Bouclage EG Cust Cons_Decons'!$F:$F)&gt;='Discount Scheme Target'!$H$4,_xlfn.XLOOKUP(Workings!$E304,'Discount Scheme Target'!$B:$B,'Discount Scheme Target'!$H:$H,0,0),0)</f>
        <v>0</v>
      </c>
      <c r="L304" s="72">
        <f>IF(INDEX('TT Around time'!$A$1:$F$46,MATCH($A304,'TT Around time'!$A:$A,0),6)&gt;='Discount Scheme Target'!$I$4,_xlfn.XLOOKUP(Workings!$E304,'Discount Scheme Target'!$B:$B,'Discount Scheme Target'!$I:$I,0,0),0)</f>
        <v>5.0000000000000001E-3</v>
      </c>
      <c r="M304" s="72">
        <f t="shared" si="41"/>
        <v>5.0000000000000001E-3</v>
      </c>
      <c r="N304" s="62">
        <f t="shared" si="48"/>
        <v>12703.050000000001</v>
      </c>
      <c r="T304" s="61">
        <f t="shared" si="42"/>
        <v>0</v>
      </c>
      <c r="U304" s="61">
        <f t="shared" si="43"/>
        <v>0</v>
      </c>
      <c r="V304" s="61">
        <f t="shared" si="44"/>
        <v>0</v>
      </c>
      <c r="W304" s="61">
        <f t="shared" si="45"/>
        <v>12703.050000000001</v>
      </c>
      <c r="X304" s="61">
        <f t="shared" si="46"/>
        <v>12703.050000000001</v>
      </c>
      <c r="Y304" s="61">
        <f t="shared" si="47"/>
        <v>0</v>
      </c>
    </row>
    <row r="305" spans="1:25" x14ac:dyDescent="0.25">
      <c r="A305" s="51">
        <v>2011510034</v>
      </c>
      <c r="B305" s="51" t="s">
        <v>149</v>
      </c>
      <c r="C305" s="51" t="s">
        <v>145</v>
      </c>
      <c r="D305" s="51" t="s">
        <v>141</v>
      </c>
      <c r="E305" s="51" t="s">
        <v>161</v>
      </c>
      <c r="F305" s="52">
        <f>SUMIF('Customer Budget Per Category'!$A:$A,$A305,'Customer Budget Per Category'!$K:$K)</f>
        <v>0</v>
      </c>
      <c r="G305" s="52">
        <f>SUMIFS('Navision sales Dump'!$E:$E,'Navision sales Dump'!$K:$K,$E305,'Navision sales Dump'!$A:$A,$A305)</f>
        <v>0</v>
      </c>
      <c r="H305" s="62">
        <f>SUMIFS('Navision sales Dump'!$G:$G,'Navision sales Dump'!$K:$K,$E305,'Navision sales Dump'!$A:$A,$A305)</f>
        <v>0</v>
      </c>
      <c r="I305" s="72">
        <f>IFERROR(IF(($G305/$F305)&gt;='Discount Scheme Target'!$F$4,_xlfn.XLOOKUP($E305,'Discount Scheme Target'!$B:$B,'Discount Scheme Target'!$F:$F,0,0),IF(($G305/$F305)&gt;='Discount Scheme Target'!$E$4,_xlfn.XLOOKUP($E305,'Discount Scheme Target'!$B:$B,'Discount Scheme Target'!$E:$E,0,0),IF(($G305/$F305)&gt;='Discount Scheme Target'!$D$4,_xlfn.XLOOKUP($E305,'Discount Scheme Target'!$B:$B,'Discount Scheme Target'!$D:$D,0,0),0))),0)</f>
        <v>0</v>
      </c>
      <c r="J305" s="72">
        <f>IF(SUMIF('Customer Num Distr.'!$A:$A,Workings!$A305,'Customer Num Distr.'!$E:$E)&gt;='Discount Scheme Target'!$G$4,_xlfn.XLOOKUP(Workings!$E305,'Discount Scheme Target'!$B:$B,'Discount Scheme Target'!$G:$G,0,0),0)</f>
        <v>0</v>
      </c>
      <c r="K305" s="72">
        <f>IF(SUMIF('Bouclage EG Cust Cons_Decons'!$A:$A,Workings!$A305,'Bouclage EG Cust Cons_Decons'!$F:$F)&gt;='Discount Scheme Target'!$H$4,_xlfn.XLOOKUP(Workings!$E305,'Discount Scheme Target'!$B:$B,'Discount Scheme Target'!$H:$H,0,0),0)</f>
        <v>0</v>
      </c>
      <c r="L305" s="72">
        <f>IF(INDEX('TT Around time'!$A$1:$F$46,MATCH($A305,'TT Around time'!$A:$A,0),6)&gt;='Discount Scheme Target'!$I$4,_xlfn.XLOOKUP(Workings!$E305,'Discount Scheme Target'!$B:$B,'Discount Scheme Target'!$I:$I,0,0),0)</f>
        <v>0</v>
      </c>
      <c r="M305" s="72">
        <f t="shared" si="41"/>
        <v>0</v>
      </c>
      <c r="N305" s="62">
        <f t="shared" si="48"/>
        <v>0</v>
      </c>
      <c r="T305" s="61">
        <f t="shared" si="42"/>
        <v>0</v>
      </c>
      <c r="U305" s="61">
        <f t="shared" si="43"/>
        <v>0</v>
      </c>
      <c r="V305" s="61">
        <f t="shared" si="44"/>
        <v>0</v>
      </c>
      <c r="W305" s="61">
        <f t="shared" si="45"/>
        <v>0</v>
      </c>
      <c r="X305" s="61">
        <f t="shared" si="46"/>
        <v>0</v>
      </c>
      <c r="Y305" s="61">
        <f t="shared" si="47"/>
        <v>0</v>
      </c>
    </row>
    <row r="306" spans="1:25" x14ac:dyDescent="0.25">
      <c r="A306" s="51">
        <v>2011510034</v>
      </c>
      <c r="B306" s="51" t="s">
        <v>149</v>
      </c>
      <c r="C306" s="51" t="s">
        <v>145</v>
      </c>
      <c r="D306" s="51" t="s">
        <v>141</v>
      </c>
      <c r="E306" s="51" t="s">
        <v>354</v>
      </c>
      <c r="F306" s="52">
        <f>SUMIF('Customer Budget Per Category'!$A:$A,$A306,'Customer Budget Per Category'!$L:$L)</f>
        <v>2766</v>
      </c>
      <c r="G306" s="52">
        <f>SUMIFS('Navision sales Dump'!$E:$E,'Navision sales Dump'!$K:$K,$E306,'Navision sales Dump'!$A:$A,$A306)</f>
        <v>935</v>
      </c>
      <c r="H306" s="62">
        <f>SUMIFS('Navision sales Dump'!$G:$G,'Navision sales Dump'!$K:$K,$E306,'Navision sales Dump'!$A:$A,$A306)</f>
        <v>3463276.85</v>
      </c>
      <c r="I306" s="72">
        <f>IFERROR(IF(($G306/$F306)&gt;='Discount Scheme Target'!$F$4,_xlfn.XLOOKUP($E306,'Discount Scheme Target'!$B:$B,'Discount Scheme Target'!$F:$F,0,0),IF(($G306/$F306)&gt;='Discount Scheme Target'!$E$4,_xlfn.XLOOKUP($E306,'Discount Scheme Target'!$B:$B,'Discount Scheme Target'!$E:$E,0,0),IF(($G306/$F306)&gt;='Discount Scheme Target'!$D$4,_xlfn.XLOOKUP($E306,'Discount Scheme Target'!$B:$B,'Discount Scheme Target'!$D:$D,0,0),0))),0)</f>
        <v>0</v>
      </c>
      <c r="J306" s="72">
        <f>IF(SUMIF('Customer Num Distr.'!$A:$A,Workings!$A306,'Customer Num Distr.'!$E:$E)&gt;='Discount Scheme Target'!$G$4,_xlfn.XLOOKUP(Workings!$E306,'Discount Scheme Target'!$B:$B,'Discount Scheme Target'!$G:$G,0,0),0)</f>
        <v>0</v>
      </c>
      <c r="K306" s="72">
        <f>IF(SUMIF('Bouclage EG Cust Cons_Decons'!$A:$A,Workings!$A306,'Bouclage EG Cust Cons_Decons'!$F:$F)&gt;='Discount Scheme Target'!$H$4,_xlfn.XLOOKUP(Workings!$E306,'Discount Scheme Target'!$B:$B,'Discount Scheme Target'!$H:$H,0,0),0)</f>
        <v>0</v>
      </c>
      <c r="L306" s="72">
        <f>IF(INDEX('TT Around time'!$A$1:$F$46,MATCH($A306,'TT Around time'!$A:$A,0),6)&gt;='Discount Scheme Target'!$I$4,_xlfn.XLOOKUP(Workings!$E306,'Discount Scheme Target'!$B:$B,'Discount Scheme Target'!$I:$I,0,0),0)</f>
        <v>5.0000000000000001E-3</v>
      </c>
      <c r="M306" s="72">
        <f t="shared" si="41"/>
        <v>5.0000000000000001E-3</v>
      </c>
      <c r="N306" s="62">
        <f t="shared" si="48"/>
        <v>51226.865064705882</v>
      </c>
      <c r="T306" s="61">
        <f t="shared" si="42"/>
        <v>0</v>
      </c>
      <c r="U306" s="61">
        <f t="shared" si="43"/>
        <v>0</v>
      </c>
      <c r="V306" s="61">
        <f t="shared" si="44"/>
        <v>0</v>
      </c>
      <c r="W306" s="61">
        <f t="shared" si="45"/>
        <v>51226.865064705882</v>
      </c>
      <c r="X306" s="61">
        <f t="shared" si="46"/>
        <v>51226.865064705882</v>
      </c>
      <c r="Y306" s="61">
        <f t="shared" si="47"/>
        <v>0</v>
      </c>
    </row>
    <row r="307" spans="1:25" x14ac:dyDescent="0.25">
      <c r="A307" s="51">
        <v>2011510034</v>
      </c>
      <c r="B307" s="51" t="s">
        <v>149</v>
      </c>
      <c r="C307" s="51" t="s">
        <v>145</v>
      </c>
      <c r="D307" s="51" t="s">
        <v>141</v>
      </c>
      <c r="E307" s="51" t="s">
        <v>355</v>
      </c>
      <c r="F307" s="52">
        <f>SUMIF('Customer Budget Per Category'!$A:$A,$A307,'Customer Budget Per Category'!$M:$M)</f>
        <v>1804</v>
      </c>
      <c r="G307" s="52">
        <f>SUMIFS('Navision sales Dump'!$E:$E,'Navision sales Dump'!$K:$K,$E307,'Navision sales Dump'!$A:$A,$A307)</f>
        <v>1290</v>
      </c>
      <c r="H307" s="62">
        <f>SUMIFS('Navision sales Dump'!$G:$G,'Navision sales Dump'!$K:$K,$E307,'Navision sales Dump'!$A:$A,$A307)</f>
        <v>3179393.58</v>
      </c>
      <c r="I307" s="72">
        <f>IFERROR(IF(($G307/$F307)&gt;='Discount Scheme Target'!$F$4,_xlfn.XLOOKUP($E307,'Discount Scheme Target'!$B:$B,'Discount Scheme Target'!$F:$F,0,0),IF(($G307/$F307)&gt;='Discount Scheme Target'!$E$4,_xlfn.XLOOKUP($E307,'Discount Scheme Target'!$B:$B,'Discount Scheme Target'!$E:$E,0,0),IF(($G307/$F307)&gt;='Discount Scheme Target'!$D$4,_xlfn.XLOOKUP($E307,'Discount Scheme Target'!$B:$B,'Discount Scheme Target'!$D:$D,0,0),0))),0)</f>
        <v>0</v>
      </c>
      <c r="J307" s="72">
        <f>IF(SUMIF('Customer Num Distr.'!$A:$A,Workings!$A307,'Customer Num Distr.'!$E:$E)&gt;='Discount Scheme Target'!$G$4,_xlfn.XLOOKUP(Workings!$E307,'Discount Scheme Target'!$B:$B,'Discount Scheme Target'!$G:$G,0,0),0)</f>
        <v>0</v>
      </c>
      <c r="K307" s="72">
        <f>IF(SUMIF('Bouclage EG Cust Cons_Decons'!$A:$A,Workings!$A307,'Bouclage EG Cust Cons_Decons'!$F:$F)&gt;='Discount Scheme Target'!$H$4,_xlfn.XLOOKUP(Workings!$E307,'Discount Scheme Target'!$B:$B,'Discount Scheme Target'!$H:$H,0,0),0)</f>
        <v>0</v>
      </c>
      <c r="L307" s="72">
        <f>IF(INDEX('TT Around time'!$A$1:$F$46,MATCH($A307,'TT Around time'!$A:$A,0),6)&gt;='Discount Scheme Target'!$I$4,_xlfn.XLOOKUP(Workings!$E307,'Discount Scheme Target'!$B:$B,'Discount Scheme Target'!$I:$I,0,0),0)</f>
        <v>5.0000000000000001E-3</v>
      </c>
      <c r="M307" s="72">
        <f t="shared" si="41"/>
        <v>5.0000000000000001E-3</v>
      </c>
      <c r="N307" s="62">
        <f t="shared" si="48"/>
        <v>22231.108598139534</v>
      </c>
      <c r="T307" s="61">
        <f t="shared" si="42"/>
        <v>0</v>
      </c>
      <c r="U307" s="61">
        <f t="shared" si="43"/>
        <v>0</v>
      </c>
      <c r="V307" s="61">
        <f t="shared" si="44"/>
        <v>0</v>
      </c>
      <c r="W307" s="61">
        <f t="shared" si="45"/>
        <v>22231.108598139534</v>
      </c>
      <c r="X307" s="61">
        <f t="shared" si="46"/>
        <v>22231.108598139534</v>
      </c>
      <c r="Y307" s="61">
        <f t="shared" si="47"/>
        <v>0</v>
      </c>
    </row>
    <row r="308" spans="1:25" x14ac:dyDescent="0.25">
      <c r="A308" s="51">
        <v>2011510034</v>
      </c>
      <c r="B308" s="51" t="s">
        <v>149</v>
      </c>
      <c r="C308" s="51" t="s">
        <v>145</v>
      </c>
      <c r="D308" s="51" t="s">
        <v>141</v>
      </c>
      <c r="E308" s="51" t="s">
        <v>132</v>
      </c>
      <c r="F308" s="52">
        <f>SUMIF('Customer Budget Per Category'!$A:$A,$A308,'Customer Budget Per Category'!$N:$N)</f>
        <v>163.99152489879376</v>
      </c>
      <c r="G308" s="52">
        <f>SUMIFS('Navision sales Dump'!$E:$E,'Navision sales Dump'!$K:$K,$E308,'Navision sales Dump'!$A:$A,$A308)</f>
        <v>139</v>
      </c>
      <c r="H308" s="62">
        <f>SUMIFS('Navision sales Dump'!$G:$G,'Navision sales Dump'!$K:$K,$E308,'Navision sales Dump'!$A:$A,$A308)</f>
        <v>303353.59999999998</v>
      </c>
      <c r="I308" s="72">
        <f>IFERROR(IF(($G308/$F308)&gt;='Discount Scheme Target'!$F$4,_xlfn.XLOOKUP($E308,'Discount Scheme Target'!$B:$B,'Discount Scheme Target'!$F:$F,0,0),IF(($G308/$F308)&gt;='Discount Scheme Target'!$E$4,_xlfn.XLOOKUP($E308,'Discount Scheme Target'!$B:$B,'Discount Scheme Target'!$E:$E,0,0),IF(($G308/$F308)&gt;='Discount Scheme Target'!$D$4,_xlfn.XLOOKUP($E308,'Discount Scheme Target'!$B:$B,'Discount Scheme Target'!$D:$D,0,0),0))),0)</f>
        <v>0</v>
      </c>
      <c r="J308" s="72">
        <f>IF(SUMIF('Customer Num Distr.'!$A:$A,Workings!$A308,'Customer Num Distr.'!$E:$E)&gt;='Discount Scheme Target'!$G$4,_xlfn.XLOOKUP(Workings!$E308,'Discount Scheme Target'!$B:$B,'Discount Scheme Target'!$G:$G,0,0),0)</f>
        <v>0</v>
      </c>
      <c r="K308" s="72">
        <f>IF(SUMIF('Bouclage EG Cust Cons_Decons'!$A:$A,Workings!$A308,'Bouclage EG Cust Cons_Decons'!$F:$F)&gt;='Discount Scheme Target'!$H$4,_xlfn.XLOOKUP(Workings!$E308,'Discount Scheme Target'!$B:$B,'Discount Scheme Target'!$H:$H,0,0),0)</f>
        <v>0</v>
      </c>
      <c r="L308" s="72">
        <f>IF(INDEX('TT Around time'!$A$1:$F$46,MATCH($A308,'TT Around time'!$A:$A,0),6)&gt;='Discount Scheme Target'!$I$4,_xlfn.XLOOKUP(Workings!$E308,'Discount Scheme Target'!$B:$B,'Discount Scheme Target'!$I:$I,0,0),0)</f>
        <v>5.0000000000000001E-3</v>
      </c>
      <c r="M308" s="72">
        <f t="shared" si="41"/>
        <v>5.0000000000000001E-3</v>
      </c>
      <c r="N308" s="62">
        <f t="shared" si="48"/>
        <v>1789.4755196956371</v>
      </c>
      <c r="T308" s="61">
        <f t="shared" si="42"/>
        <v>0</v>
      </c>
      <c r="U308" s="61">
        <f t="shared" si="43"/>
        <v>0</v>
      </c>
      <c r="V308" s="61">
        <f t="shared" si="44"/>
        <v>0</v>
      </c>
      <c r="W308" s="61">
        <f t="shared" si="45"/>
        <v>1789.4755196956371</v>
      </c>
      <c r="X308" s="61">
        <f t="shared" si="46"/>
        <v>1789.4755196956371</v>
      </c>
      <c r="Y308" s="61">
        <f t="shared" si="47"/>
        <v>0</v>
      </c>
    </row>
    <row r="309" spans="1:25" x14ac:dyDescent="0.25">
      <c r="A309" s="51">
        <v>2011510034</v>
      </c>
      <c r="B309" s="51" t="s">
        <v>149</v>
      </c>
      <c r="C309" s="51" t="s">
        <v>145</v>
      </c>
      <c r="D309" s="51" t="s">
        <v>141</v>
      </c>
      <c r="E309" s="51" t="s">
        <v>133</v>
      </c>
      <c r="F309" s="52">
        <f>SUMIF('Customer Budget Per Category'!$A:$A,$A309,'Customer Budget Per Category'!$O:$O)</f>
        <v>114.41529862112839</v>
      </c>
      <c r="G309" s="52">
        <f>SUMIFS('Navision sales Dump'!$E:$E,'Navision sales Dump'!$K:$K,$E309,'Navision sales Dump'!$A:$A,$A309)</f>
        <v>0</v>
      </c>
      <c r="H309" s="62">
        <f>SUMIFS('Navision sales Dump'!$G:$G,'Navision sales Dump'!$K:$K,$E309,'Navision sales Dump'!$A:$A,$A309)</f>
        <v>0</v>
      </c>
      <c r="I309" s="72">
        <f>IFERROR(IF(($G309/$F309)&gt;='Discount Scheme Target'!$F$4,_xlfn.XLOOKUP($E309,'Discount Scheme Target'!$B:$B,'Discount Scheme Target'!$F:$F,0,0),IF(($G309/$F309)&gt;='Discount Scheme Target'!$E$4,_xlfn.XLOOKUP($E309,'Discount Scheme Target'!$B:$B,'Discount Scheme Target'!$E:$E,0,0),IF(($G309/$F309)&gt;='Discount Scheme Target'!$D$4,_xlfn.XLOOKUP($E309,'Discount Scheme Target'!$B:$B,'Discount Scheme Target'!$D:$D,0,0),0))),0)</f>
        <v>0</v>
      </c>
      <c r="J309" s="72">
        <f>IF(SUMIF('Customer Num Distr.'!$A:$A,Workings!$A309,'Customer Num Distr.'!$E:$E)&gt;='Discount Scheme Target'!$G$4,_xlfn.XLOOKUP(Workings!$E309,'Discount Scheme Target'!$B:$B,'Discount Scheme Target'!$G:$G,0,0),0)</f>
        <v>0</v>
      </c>
      <c r="K309" s="72">
        <f>IF(SUMIF('Bouclage EG Cust Cons_Decons'!$A:$A,Workings!$A309,'Bouclage EG Cust Cons_Decons'!$F:$F)&gt;='Discount Scheme Target'!$H$4,_xlfn.XLOOKUP(Workings!$E309,'Discount Scheme Target'!$B:$B,'Discount Scheme Target'!$H:$H,0,0),0)</f>
        <v>0</v>
      </c>
      <c r="L309" s="72">
        <f>IF(INDEX('TT Around time'!$A$1:$F$46,MATCH($A309,'TT Around time'!$A:$A,0),6)&gt;='Discount Scheme Target'!$I$4,_xlfn.XLOOKUP(Workings!$E309,'Discount Scheme Target'!$B:$B,'Discount Scheme Target'!$I:$I,0,0),0)</f>
        <v>5.0000000000000001E-3</v>
      </c>
      <c r="M309" s="72">
        <f t="shared" si="41"/>
        <v>5.0000000000000001E-3</v>
      </c>
      <c r="N309" s="62">
        <f t="shared" si="48"/>
        <v>0</v>
      </c>
      <c r="T309" s="61">
        <f t="shared" si="42"/>
        <v>0</v>
      </c>
      <c r="U309" s="61">
        <f t="shared" si="43"/>
        <v>0</v>
      </c>
      <c r="V309" s="61">
        <f t="shared" si="44"/>
        <v>0</v>
      </c>
      <c r="W309" s="61">
        <f t="shared" si="45"/>
        <v>0</v>
      </c>
      <c r="X309" s="61">
        <f t="shared" si="46"/>
        <v>0</v>
      </c>
      <c r="Y309" s="61">
        <f t="shared" si="47"/>
        <v>0</v>
      </c>
    </row>
    <row r="310" spans="1:25" x14ac:dyDescent="0.25">
      <c r="A310" s="51">
        <v>2300001198</v>
      </c>
      <c r="B310" s="51" t="s">
        <v>103</v>
      </c>
      <c r="C310" s="51" t="s">
        <v>145</v>
      </c>
      <c r="D310" s="51" t="s">
        <v>141</v>
      </c>
      <c r="E310" s="51" t="s">
        <v>417</v>
      </c>
      <c r="F310" s="52">
        <f>SUMIF('Customer Budget Per Category'!$A:$A,$A310,'Customer Budget Per Category'!$E:$E)</f>
        <v>14500</v>
      </c>
      <c r="G310" s="52">
        <f>SUMIFS('Navision sales Dump'!$E:$E,'Navision sales Dump'!$K:$K,$E310,'Navision sales Dump'!$A:$A,$A310)</f>
        <v>13810</v>
      </c>
      <c r="H310" s="62">
        <f>SUMIFS('Navision sales Dump'!$G:$G,'Navision sales Dump'!$K:$K,$E310,'Navision sales Dump'!$A:$A,$A310)</f>
        <v>100042914.79999998</v>
      </c>
      <c r="I310" s="72">
        <f>IFERROR(IF(($G310/$F310)&gt;='Discount Scheme Target'!$F$4,_xlfn.XLOOKUP($E310,'Discount Scheme Target'!$B:$B,'Discount Scheme Target'!$F:$F,0,0),IF(($G310/$F310)&gt;='Discount Scheme Target'!$E$4,_xlfn.XLOOKUP($E310,'Discount Scheme Target'!$B:$B,'Discount Scheme Target'!$E:$E,0,0),IF(($G310/$F310)&gt;='Discount Scheme Target'!$D$4,_xlfn.XLOOKUP($E310,'Discount Scheme Target'!$B:$B,'Discount Scheme Target'!$D:$D,0,0),0))),0)</f>
        <v>0</v>
      </c>
      <c r="J310" s="72">
        <f>IF(SUMIF('Customer Num Distr.'!$A:$A,Workings!$A310,'Customer Num Distr.'!$E:$E)&gt;='Discount Scheme Target'!$G$4,_xlfn.XLOOKUP(Workings!$E310,'Discount Scheme Target'!$B:$B,'Discount Scheme Target'!$G:$G,0,0),0)</f>
        <v>0</v>
      </c>
      <c r="K310" s="72">
        <f>IF(SUMIF('Bouclage EG Cust Cons_Decons'!$A:$A,Workings!$A310,'Bouclage EG Cust Cons_Decons'!$F:$F)&gt;='Discount Scheme Target'!$H$4,_xlfn.XLOOKUP(Workings!$E310,'Discount Scheme Target'!$B:$B,'Discount Scheme Target'!$H:$H,0,0),0)</f>
        <v>0</v>
      </c>
      <c r="L310" s="72">
        <f>IF(INDEX('TT Around time'!$A$1:$F$46,MATCH($A310,'TT Around time'!$A:$A,0),6)&gt;='Discount Scheme Target'!$I$4,_xlfn.XLOOKUP(Workings!$E310,'Discount Scheme Target'!$B:$B,'Discount Scheme Target'!$I:$I,0,0),0)</f>
        <v>0.01</v>
      </c>
      <c r="M310" s="72">
        <f t="shared" si="41"/>
        <v>0.01</v>
      </c>
      <c r="N310" s="62">
        <f t="shared" si="48"/>
        <v>1050414.3842143372</v>
      </c>
      <c r="T310" s="61">
        <f t="shared" si="42"/>
        <v>0</v>
      </c>
      <c r="U310" s="61">
        <f t="shared" si="43"/>
        <v>0</v>
      </c>
      <c r="V310" s="61">
        <f t="shared" si="44"/>
        <v>0</v>
      </c>
      <c r="W310" s="61">
        <f t="shared" si="45"/>
        <v>1050414.3842143372</v>
      </c>
      <c r="X310" s="61">
        <f t="shared" si="46"/>
        <v>1050414.3842143372</v>
      </c>
      <c r="Y310" s="61">
        <f t="shared" si="47"/>
        <v>0</v>
      </c>
    </row>
    <row r="311" spans="1:25" x14ac:dyDescent="0.25">
      <c r="A311" s="51">
        <v>2300001198</v>
      </c>
      <c r="B311" s="51" t="s">
        <v>103</v>
      </c>
      <c r="C311" s="51" t="s">
        <v>145</v>
      </c>
      <c r="D311" s="51" t="s">
        <v>141</v>
      </c>
      <c r="E311" s="51" t="s">
        <v>418</v>
      </c>
      <c r="F311" s="52">
        <f>SUMIF('Customer Budget Per Category'!$A:$A,$A311,'Customer Budget Per Category'!$F:$F)</f>
        <v>0</v>
      </c>
      <c r="G311" s="52">
        <f>SUMIFS('Navision sales Dump'!$E:$E,'Navision sales Dump'!$K:$K,$E311,'Navision sales Dump'!$A:$A,$A311)</f>
        <v>0</v>
      </c>
      <c r="H311" s="62">
        <f>SUMIFS('Navision sales Dump'!$G:$G,'Navision sales Dump'!$K:$K,$E311,'Navision sales Dump'!$A:$A,$A311)</f>
        <v>0</v>
      </c>
      <c r="I311" s="72">
        <f>IFERROR(IF(($G311/$F311)&gt;='Discount Scheme Target'!$F$4,_xlfn.XLOOKUP($E311,'Discount Scheme Target'!$B:$B,'Discount Scheme Target'!$F:$F,0,0),IF(($G311/$F311)&gt;='Discount Scheme Target'!$E$4,_xlfn.XLOOKUP($E311,'Discount Scheme Target'!$B:$B,'Discount Scheme Target'!$E:$E,0,0),IF(($G311/$F311)&gt;='Discount Scheme Target'!$D$4,_xlfn.XLOOKUP($E311,'Discount Scheme Target'!$B:$B,'Discount Scheme Target'!$D:$D,0,0),0))),0)</f>
        <v>0</v>
      </c>
      <c r="J311" s="72">
        <f>IF(SUMIF('Customer Num Distr.'!$A:$A,Workings!$A311,'Customer Num Distr.'!$E:$E)&gt;='Discount Scheme Target'!$G$4,_xlfn.XLOOKUP(Workings!$E311,'Discount Scheme Target'!$B:$B,'Discount Scheme Target'!$G:$G,0,0),0)</f>
        <v>0</v>
      </c>
      <c r="K311" s="72">
        <f>IF(SUMIF('Bouclage EG Cust Cons_Decons'!$A:$A,Workings!$A311,'Bouclage EG Cust Cons_Decons'!$F:$F)&gt;='Discount Scheme Target'!$H$4,_xlfn.XLOOKUP(Workings!$E311,'Discount Scheme Target'!$B:$B,'Discount Scheme Target'!$H:$H,0,0),0)</f>
        <v>0</v>
      </c>
      <c r="L311" s="72">
        <f>IF(INDEX('TT Around time'!$A$1:$F$46,MATCH($A311,'TT Around time'!$A:$A,0),6)&gt;='Discount Scheme Target'!$I$4,_xlfn.XLOOKUP(Workings!$E311,'Discount Scheme Target'!$B:$B,'Discount Scheme Target'!$I:$I,0,0),0)</f>
        <v>0</v>
      </c>
      <c r="M311" s="72">
        <f t="shared" si="41"/>
        <v>0</v>
      </c>
      <c r="N311" s="62">
        <f t="shared" si="48"/>
        <v>0</v>
      </c>
      <c r="T311" s="61">
        <f t="shared" si="42"/>
        <v>0</v>
      </c>
      <c r="U311" s="61">
        <f t="shared" si="43"/>
        <v>0</v>
      </c>
      <c r="V311" s="61">
        <f t="shared" si="44"/>
        <v>0</v>
      </c>
      <c r="W311" s="61">
        <f t="shared" si="45"/>
        <v>0</v>
      </c>
      <c r="X311" s="61">
        <f t="shared" si="46"/>
        <v>0</v>
      </c>
      <c r="Y311" s="61">
        <f t="shared" si="47"/>
        <v>0</v>
      </c>
    </row>
    <row r="312" spans="1:25" x14ac:dyDescent="0.25">
      <c r="A312" s="51">
        <v>2300001198</v>
      </c>
      <c r="B312" s="51" t="s">
        <v>103</v>
      </c>
      <c r="C312" s="51" t="s">
        <v>145</v>
      </c>
      <c r="D312" s="51" t="s">
        <v>141</v>
      </c>
      <c r="E312" s="51" t="s">
        <v>130</v>
      </c>
      <c r="F312" s="52">
        <f>SUMIF('Customer Budget Per Category'!$A:$A,$A312,'Customer Budget Per Category'!$G:$G)</f>
        <v>315.24184167239446</v>
      </c>
      <c r="G312" s="52">
        <f>SUMIFS('Navision sales Dump'!$E:$E,'Navision sales Dump'!$K:$K,$E312,'Navision sales Dump'!$A:$A,$A312)</f>
        <v>569</v>
      </c>
      <c r="H312" s="62">
        <f>SUMIFS('Navision sales Dump'!$G:$G,'Navision sales Dump'!$K:$K,$E312,'Navision sales Dump'!$A:$A,$A312)</f>
        <v>4395707.08</v>
      </c>
      <c r="I312" s="72">
        <f>IFERROR(IF(($G312/$F312)&gt;='Discount Scheme Target'!$F$4,_xlfn.XLOOKUP($E312,'Discount Scheme Target'!$B:$B,'Discount Scheme Target'!$F:$F,0,0),IF(($G312/$F312)&gt;='Discount Scheme Target'!$E$4,_xlfn.XLOOKUP($E312,'Discount Scheme Target'!$B:$B,'Discount Scheme Target'!$E:$E,0,0),IF(($G312/$F312)&gt;='Discount Scheme Target'!$D$4,_xlfn.XLOOKUP($E312,'Discount Scheme Target'!$B:$B,'Discount Scheme Target'!$D:$D,0,0),0))),0)</f>
        <v>4.5000000000000005E-2</v>
      </c>
      <c r="J312" s="72">
        <f>IF(SUMIF('Customer Num Distr.'!$A:$A,Workings!$A312,'Customer Num Distr.'!$E:$E)&gt;='Discount Scheme Target'!$G$4,_xlfn.XLOOKUP(Workings!$E312,'Discount Scheme Target'!$B:$B,'Discount Scheme Target'!$G:$G,0,0),0)</f>
        <v>0</v>
      </c>
      <c r="K312" s="72">
        <f>IF(SUMIF('Bouclage EG Cust Cons_Decons'!$A:$A,Workings!$A312,'Bouclage EG Cust Cons_Decons'!$F:$F)&gt;='Discount Scheme Target'!$H$4,_xlfn.XLOOKUP(Workings!$E312,'Discount Scheme Target'!$B:$B,'Discount Scheme Target'!$H:$H,0,0),0)</f>
        <v>0</v>
      </c>
      <c r="L312" s="72">
        <f>IF(INDEX('TT Around time'!$A$1:$F$46,MATCH($A312,'TT Around time'!$A:$A,0),6)&gt;='Discount Scheme Target'!$I$4,_xlfn.XLOOKUP(Workings!$E312,'Discount Scheme Target'!$B:$B,'Discount Scheme Target'!$I:$I,0,0),0)</f>
        <v>0.01</v>
      </c>
      <c r="M312" s="72">
        <f t="shared" si="41"/>
        <v>5.5000000000000007E-2</v>
      </c>
      <c r="N312" s="62">
        <f t="shared" si="48"/>
        <v>133943.92573697204</v>
      </c>
      <c r="T312" s="61">
        <f t="shared" si="42"/>
        <v>109590.48469388622</v>
      </c>
      <c r="U312" s="61">
        <f t="shared" si="43"/>
        <v>0</v>
      </c>
      <c r="V312" s="61">
        <f t="shared" si="44"/>
        <v>0</v>
      </c>
      <c r="W312" s="61">
        <f t="shared" si="45"/>
        <v>24353.441043085822</v>
      </c>
      <c r="X312" s="61">
        <f t="shared" si="46"/>
        <v>133943.92573697204</v>
      </c>
      <c r="Y312" s="61">
        <f t="shared" si="47"/>
        <v>0</v>
      </c>
    </row>
    <row r="313" spans="1:25" x14ac:dyDescent="0.25">
      <c r="A313" s="51">
        <v>2300001198</v>
      </c>
      <c r="B313" s="51" t="s">
        <v>103</v>
      </c>
      <c r="C313" s="51" t="s">
        <v>145</v>
      </c>
      <c r="D313" s="51" t="s">
        <v>141</v>
      </c>
      <c r="E313" s="51" t="s">
        <v>131</v>
      </c>
      <c r="F313" s="52">
        <f>SUMIF('Customer Budget Per Category'!$A:$A,$A313,'Customer Budget Per Category'!$H:$H)</f>
        <v>120</v>
      </c>
      <c r="G313" s="52">
        <f>SUMIFS('Navision sales Dump'!$E:$E,'Navision sales Dump'!$K:$K,$E313,'Navision sales Dump'!$A:$A,$A313)</f>
        <v>50</v>
      </c>
      <c r="H313" s="62">
        <f>SUMIFS('Navision sales Dump'!$G:$G,'Navision sales Dump'!$K:$K,$E313,'Navision sales Dump'!$A:$A,$A313)</f>
        <v>2012279.6</v>
      </c>
      <c r="I313" s="72">
        <f>IFERROR(IF(($G313/$F313)&gt;='Discount Scheme Target'!$F$4,_xlfn.XLOOKUP($E313,'Discount Scheme Target'!$B:$B,'Discount Scheme Target'!$F:$F,0,0),IF(($G313/$F313)&gt;='Discount Scheme Target'!$E$4,_xlfn.XLOOKUP($E313,'Discount Scheme Target'!$B:$B,'Discount Scheme Target'!$E:$E,0,0),IF(($G313/$F313)&gt;='Discount Scheme Target'!$D$4,_xlfn.XLOOKUP($E313,'Discount Scheme Target'!$B:$B,'Discount Scheme Target'!$D:$D,0,0),0))),0)</f>
        <v>0</v>
      </c>
      <c r="J313" s="72">
        <f>IF(SUMIF('Customer Num Distr.'!$A:$A,Workings!$A313,'Customer Num Distr.'!$E:$E)&gt;='Discount Scheme Target'!$G$4,_xlfn.XLOOKUP(Workings!$E313,'Discount Scheme Target'!$B:$B,'Discount Scheme Target'!$G:$G,0,0),0)</f>
        <v>0</v>
      </c>
      <c r="K313" s="72">
        <f>IF(SUMIF('Bouclage EG Cust Cons_Decons'!$A:$A,Workings!$A313,'Bouclage EG Cust Cons_Decons'!$F:$F)&gt;='Discount Scheme Target'!$H$4,_xlfn.XLOOKUP(Workings!$E313,'Discount Scheme Target'!$B:$B,'Discount Scheme Target'!$H:$H,0,0),0)</f>
        <v>0</v>
      </c>
      <c r="L313" s="72">
        <f>IF(INDEX('TT Around time'!$A$1:$F$46,MATCH($A313,'TT Around time'!$A:$A,0),6)&gt;='Discount Scheme Target'!$I$4,_xlfn.XLOOKUP(Workings!$E313,'Discount Scheme Target'!$B:$B,'Discount Scheme Target'!$I:$I,0,0),0)</f>
        <v>5.0000000000000001E-3</v>
      </c>
      <c r="M313" s="72">
        <f t="shared" si="41"/>
        <v>5.0000000000000001E-3</v>
      </c>
      <c r="N313" s="62">
        <f t="shared" si="48"/>
        <v>24147.355200000005</v>
      </c>
      <c r="T313" s="61">
        <f t="shared" si="42"/>
        <v>0</v>
      </c>
      <c r="U313" s="61">
        <f t="shared" si="43"/>
        <v>0</v>
      </c>
      <c r="V313" s="61">
        <f t="shared" si="44"/>
        <v>0</v>
      </c>
      <c r="W313" s="61">
        <f t="shared" si="45"/>
        <v>24147.355200000005</v>
      </c>
      <c r="X313" s="61">
        <f t="shared" si="46"/>
        <v>24147.355200000005</v>
      </c>
      <c r="Y313" s="61">
        <f t="shared" si="47"/>
        <v>0</v>
      </c>
    </row>
    <row r="314" spans="1:25" x14ac:dyDescent="0.25">
      <c r="A314" s="51">
        <v>2300001198</v>
      </c>
      <c r="B314" s="51" t="s">
        <v>103</v>
      </c>
      <c r="C314" s="51" t="s">
        <v>145</v>
      </c>
      <c r="D314" s="51" t="s">
        <v>141</v>
      </c>
      <c r="E314" s="51" t="s">
        <v>514</v>
      </c>
      <c r="F314" s="52">
        <f>SUMIF('Customer Budget Per Category'!$A:$A,$A314,'Customer Budget Per Category'!$I:$I)</f>
        <v>7643</v>
      </c>
      <c r="G314" s="52">
        <f>SUMIFS('Navision sales Dump'!$E:$E,'Navision sales Dump'!$K:$K,$E314,'Navision sales Dump'!$A:$A,$A314)</f>
        <v>8352</v>
      </c>
      <c r="H314" s="62">
        <f>SUMIFS('Navision sales Dump'!$G:$G,'Navision sales Dump'!$K:$K,$E314,'Navision sales Dump'!$A:$A,$A314)</f>
        <v>33057466.560000002</v>
      </c>
      <c r="I314" s="72">
        <f>IFERROR(IF(($G314/$F314)&gt;='Discount Scheme Target'!$F$4,_xlfn.XLOOKUP($E314,'Discount Scheme Target'!$B:$B,'Discount Scheme Target'!$F:$F,0,0),IF(($G314/$F314)&gt;='Discount Scheme Target'!$E$4,_xlfn.XLOOKUP($E314,'Discount Scheme Target'!$B:$B,'Discount Scheme Target'!$E:$E,0,0),IF(($G314/$F314)&gt;='Discount Scheme Target'!$D$4,_xlfn.XLOOKUP($E314,'Discount Scheme Target'!$B:$B,'Discount Scheme Target'!$D:$D,0,0),0))),0)</f>
        <v>0.03</v>
      </c>
      <c r="J314" s="72">
        <f>IF(SUMIF('Customer Num Distr.'!$A:$A,Workings!$A314,'Customer Num Distr.'!$E:$E)&gt;='Discount Scheme Target'!$G$4,_xlfn.XLOOKUP(Workings!$E314,'Discount Scheme Target'!$B:$B,'Discount Scheme Target'!$G:$G,0,0),0)</f>
        <v>0</v>
      </c>
      <c r="K314" s="72">
        <f>IF(SUMIF('Bouclage EG Cust Cons_Decons'!$A:$A,Workings!$A314,'Bouclage EG Cust Cons_Decons'!$F:$F)&gt;='Discount Scheme Target'!$H$4,_xlfn.XLOOKUP(Workings!$E314,'Discount Scheme Target'!$B:$B,'Discount Scheme Target'!$H:$H,0,0),0)</f>
        <v>0</v>
      </c>
      <c r="L314" s="72">
        <f>IF(INDEX('TT Around time'!$A$1:$F$46,MATCH($A314,'TT Around time'!$A:$A,0),6)&gt;='Discount Scheme Target'!$I$4,_xlfn.XLOOKUP(Workings!$E314,'Discount Scheme Target'!$B:$B,'Discount Scheme Target'!$I:$I,0,0),0)</f>
        <v>5.0000000000000001E-3</v>
      </c>
      <c r="M314" s="72">
        <f t="shared" si="41"/>
        <v>3.4999999999999996E-2</v>
      </c>
      <c r="N314" s="62">
        <f t="shared" si="48"/>
        <v>1058792.8151499999</v>
      </c>
      <c r="T314" s="61">
        <f t="shared" si="42"/>
        <v>907536.69870000007</v>
      </c>
      <c r="U314" s="61">
        <f t="shared" si="43"/>
        <v>0</v>
      </c>
      <c r="V314" s="61">
        <f t="shared" si="44"/>
        <v>0</v>
      </c>
      <c r="W314" s="61">
        <f t="shared" si="45"/>
        <v>151256.11645000003</v>
      </c>
      <c r="X314" s="61">
        <f t="shared" si="46"/>
        <v>1058792.8151500002</v>
      </c>
      <c r="Y314" s="61">
        <f t="shared" si="47"/>
        <v>0</v>
      </c>
    </row>
    <row r="315" spans="1:25" x14ac:dyDescent="0.25">
      <c r="A315" s="51">
        <v>2300001198</v>
      </c>
      <c r="B315" s="51" t="s">
        <v>103</v>
      </c>
      <c r="C315" s="51" t="s">
        <v>145</v>
      </c>
      <c r="D315" s="51" t="s">
        <v>141</v>
      </c>
      <c r="E315" s="51" t="s">
        <v>515</v>
      </c>
      <c r="F315" s="52">
        <f>SUMIF('Customer Budget Per Category'!$A:$A,$A315,'Customer Budget Per Category'!$J:$J)</f>
        <v>912</v>
      </c>
      <c r="G315" s="52">
        <f>SUMIFS('Navision sales Dump'!$E:$E,'Navision sales Dump'!$K:$K,$E315,'Navision sales Dump'!$A:$A,$A315)</f>
        <v>719</v>
      </c>
      <c r="H315" s="62">
        <f>SUMIFS('Navision sales Dump'!$G:$G,'Navision sales Dump'!$K:$K,$E315,'Navision sales Dump'!$A:$A,$A315)</f>
        <v>2029665.1</v>
      </c>
      <c r="I315" s="72">
        <f>IFERROR(IF(($G315/$F315)&gt;='Discount Scheme Target'!$F$4,_xlfn.XLOOKUP($E315,'Discount Scheme Target'!$B:$B,'Discount Scheme Target'!$F:$F,0,0),IF(($G315/$F315)&gt;='Discount Scheme Target'!$E$4,_xlfn.XLOOKUP($E315,'Discount Scheme Target'!$B:$B,'Discount Scheme Target'!$E:$E,0,0),IF(($G315/$F315)&gt;='Discount Scheme Target'!$D$4,_xlfn.XLOOKUP($E315,'Discount Scheme Target'!$B:$B,'Discount Scheme Target'!$D:$D,0,0),0))),0)</f>
        <v>0</v>
      </c>
      <c r="J315" s="72">
        <f>IF(SUMIF('Customer Num Distr.'!$A:$A,Workings!$A315,'Customer Num Distr.'!$E:$E)&gt;='Discount Scheme Target'!$G$4,_xlfn.XLOOKUP(Workings!$E315,'Discount Scheme Target'!$B:$B,'Discount Scheme Target'!$G:$G,0,0),0)</f>
        <v>0</v>
      </c>
      <c r="K315" s="72">
        <f>IF(SUMIF('Bouclage EG Cust Cons_Decons'!$A:$A,Workings!$A315,'Bouclage EG Cust Cons_Decons'!$F:$F)&gt;='Discount Scheme Target'!$H$4,_xlfn.XLOOKUP(Workings!$E315,'Discount Scheme Target'!$B:$B,'Discount Scheme Target'!$H:$H,0,0),0)</f>
        <v>0</v>
      </c>
      <c r="L315" s="72">
        <f>IF(INDEX('TT Around time'!$A$1:$F$46,MATCH($A315,'TT Around time'!$A:$A,0),6)&gt;='Discount Scheme Target'!$I$4,_xlfn.XLOOKUP(Workings!$E315,'Discount Scheme Target'!$B:$B,'Discount Scheme Target'!$I:$I,0,0),0)</f>
        <v>5.0000000000000001E-3</v>
      </c>
      <c r="M315" s="72">
        <f t="shared" si="41"/>
        <v>5.0000000000000001E-3</v>
      </c>
      <c r="N315" s="62">
        <f t="shared" si="48"/>
        <v>12872.424000000001</v>
      </c>
      <c r="T315" s="61">
        <f t="shared" si="42"/>
        <v>0</v>
      </c>
      <c r="U315" s="61">
        <f t="shared" si="43"/>
        <v>0</v>
      </c>
      <c r="V315" s="61">
        <f t="shared" si="44"/>
        <v>0</v>
      </c>
      <c r="W315" s="61">
        <f t="shared" si="45"/>
        <v>12872.424000000001</v>
      </c>
      <c r="X315" s="61">
        <f t="shared" si="46"/>
        <v>12872.424000000001</v>
      </c>
      <c r="Y315" s="61">
        <f t="shared" si="47"/>
        <v>0</v>
      </c>
    </row>
    <row r="316" spans="1:25" x14ac:dyDescent="0.25">
      <c r="A316" s="51">
        <v>2300001198</v>
      </c>
      <c r="B316" s="51" t="s">
        <v>103</v>
      </c>
      <c r="C316" s="51" t="s">
        <v>145</v>
      </c>
      <c r="D316" s="51" t="s">
        <v>141</v>
      </c>
      <c r="E316" s="51" t="s">
        <v>161</v>
      </c>
      <c r="F316" s="52">
        <f>SUMIF('Customer Budget Per Category'!$A:$A,$A316,'Customer Budget Per Category'!$K:$K)</f>
        <v>0</v>
      </c>
      <c r="G316" s="52">
        <f>SUMIFS('Navision sales Dump'!$E:$E,'Navision sales Dump'!$K:$K,$E316,'Navision sales Dump'!$A:$A,$A316)</f>
        <v>0</v>
      </c>
      <c r="H316" s="62">
        <f>SUMIFS('Navision sales Dump'!$G:$G,'Navision sales Dump'!$K:$K,$E316,'Navision sales Dump'!$A:$A,$A316)</f>
        <v>0</v>
      </c>
      <c r="I316" s="72">
        <f>IFERROR(IF(($G316/$F316)&gt;='Discount Scheme Target'!$F$4,_xlfn.XLOOKUP($E316,'Discount Scheme Target'!$B:$B,'Discount Scheme Target'!$F:$F,0,0),IF(($G316/$F316)&gt;='Discount Scheme Target'!$E$4,_xlfn.XLOOKUP($E316,'Discount Scheme Target'!$B:$B,'Discount Scheme Target'!$E:$E,0,0),IF(($G316/$F316)&gt;='Discount Scheme Target'!$D$4,_xlfn.XLOOKUP($E316,'Discount Scheme Target'!$B:$B,'Discount Scheme Target'!$D:$D,0,0),0))),0)</f>
        <v>0</v>
      </c>
      <c r="J316" s="72">
        <f>IF(SUMIF('Customer Num Distr.'!$A:$A,Workings!$A316,'Customer Num Distr.'!$E:$E)&gt;='Discount Scheme Target'!$G$4,_xlfn.XLOOKUP(Workings!$E316,'Discount Scheme Target'!$B:$B,'Discount Scheme Target'!$G:$G,0,0),0)</f>
        <v>0</v>
      </c>
      <c r="K316" s="72">
        <f>IF(SUMIF('Bouclage EG Cust Cons_Decons'!$A:$A,Workings!$A316,'Bouclage EG Cust Cons_Decons'!$F:$F)&gt;='Discount Scheme Target'!$H$4,_xlfn.XLOOKUP(Workings!$E316,'Discount Scheme Target'!$B:$B,'Discount Scheme Target'!$H:$H,0,0),0)</f>
        <v>0</v>
      </c>
      <c r="L316" s="72">
        <f>IF(INDEX('TT Around time'!$A$1:$F$46,MATCH($A316,'TT Around time'!$A:$A,0),6)&gt;='Discount Scheme Target'!$I$4,_xlfn.XLOOKUP(Workings!$E316,'Discount Scheme Target'!$B:$B,'Discount Scheme Target'!$I:$I,0,0),0)</f>
        <v>0</v>
      </c>
      <c r="M316" s="72">
        <f t="shared" si="41"/>
        <v>0</v>
      </c>
      <c r="N316" s="62">
        <f t="shared" si="48"/>
        <v>0</v>
      </c>
      <c r="T316" s="61">
        <f t="shared" si="42"/>
        <v>0</v>
      </c>
      <c r="U316" s="61">
        <f t="shared" si="43"/>
        <v>0</v>
      </c>
      <c r="V316" s="61">
        <f t="shared" si="44"/>
        <v>0</v>
      </c>
      <c r="W316" s="61">
        <f t="shared" si="45"/>
        <v>0</v>
      </c>
      <c r="X316" s="61">
        <f t="shared" si="46"/>
        <v>0</v>
      </c>
      <c r="Y316" s="61">
        <f t="shared" si="47"/>
        <v>0</v>
      </c>
    </row>
    <row r="317" spans="1:25" x14ac:dyDescent="0.25">
      <c r="A317" s="51">
        <v>2300001198</v>
      </c>
      <c r="B317" s="51" t="s">
        <v>103</v>
      </c>
      <c r="C317" s="51" t="s">
        <v>145</v>
      </c>
      <c r="D317" s="51" t="s">
        <v>141</v>
      </c>
      <c r="E317" s="51" t="s">
        <v>354</v>
      </c>
      <c r="F317" s="52">
        <f>SUMIF('Customer Budget Per Category'!$A:$A,$A317,'Customer Budget Per Category'!$L:$L)</f>
        <v>3146</v>
      </c>
      <c r="G317" s="52">
        <f>SUMIFS('Navision sales Dump'!$E:$E,'Navision sales Dump'!$K:$K,$E317,'Navision sales Dump'!$A:$A,$A317)</f>
        <v>3191</v>
      </c>
      <c r="H317" s="62">
        <f>SUMIFS('Navision sales Dump'!$G:$G,'Navision sales Dump'!$K:$K,$E317,'Navision sales Dump'!$A:$A,$A317)</f>
        <v>10967705.329999998</v>
      </c>
      <c r="I317" s="72">
        <f>IFERROR(IF(($G317/$F317)&gt;='Discount Scheme Target'!$F$4,_xlfn.XLOOKUP($E317,'Discount Scheme Target'!$B:$B,'Discount Scheme Target'!$F:$F,0,0),IF(($G317/$F317)&gt;='Discount Scheme Target'!$E$4,_xlfn.XLOOKUP($E317,'Discount Scheme Target'!$B:$B,'Discount Scheme Target'!$E:$E,0,0),IF(($G317/$F317)&gt;='Discount Scheme Target'!$D$4,_xlfn.XLOOKUP($E317,'Discount Scheme Target'!$B:$B,'Discount Scheme Target'!$D:$D,0,0),0))),0)</f>
        <v>0.01</v>
      </c>
      <c r="J317" s="72">
        <f>IF(SUMIF('Customer Num Distr.'!$A:$A,Workings!$A317,'Customer Num Distr.'!$E:$E)&gt;='Discount Scheme Target'!$G$4,_xlfn.XLOOKUP(Workings!$E317,'Discount Scheme Target'!$B:$B,'Discount Scheme Target'!$G:$G,0,0),0)</f>
        <v>0</v>
      </c>
      <c r="K317" s="72">
        <f>IF(SUMIF('Bouclage EG Cust Cons_Decons'!$A:$A,Workings!$A317,'Bouclage EG Cust Cons_Decons'!$F:$F)&gt;='Discount Scheme Target'!$H$4,_xlfn.XLOOKUP(Workings!$E317,'Discount Scheme Target'!$B:$B,'Discount Scheme Target'!$H:$H,0,0),0)</f>
        <v>0</v>
      </c>
      <c r="L317" s="72">
        <f>IF(INDEX('TT Around time'!$A$1:$F$46,MATCH($A317,'TT Around time'!$A:$A,0),6)&gt;='Discount Scheme Target'!$I$4,_xlfn.XLOOKUP(Workings!$E317,'Discount Scheme Target'!$B:$B,'Discount Scheme Target'!$I:$I,0,0),0)</f>
        <v>5.0000000000000001E-3</v>
      </c>
      <c r="M317" s="72">
        <f t="shared" si="41"/>
        <v>1.4999999999999999E-2</v>
      </c>
      <c r="N317" s="62">
        <f t="shared" si="48"/>
        <v>162195.55453547472</v>
      </c>
      <c r="T317" s="61">
        <f t="shared" si="42"/>
        <v>108130.3696903165</v>
      </c>
      <c r="U317" s="61">
        <f t="shared" si="43"/>
        <v>0</v>
      </c>
      <c r="V317" s="61">
        <f t="shared" si="44"/>
        <v>0</v>
      </c>
      <c r="W317" s="61">
        <f t="shared" si="45"/>
        <v>54065.184845158248</v>
      </c>
      <c r="X317" s="61">
        <f t="shared" si="46"/>
        <v>162195.55453547474</v>
      </c>
      <c r="Y317" s="61">
        <f t="shared" si="47"/>
        <v>0</v>
      </c>
    </row>
    <row r="318" spans="1:25" x14ac:dyDescent="0.25">
      <c r="A318" s="51">
        <v>2300001198</v>
      </c>
      <c r="B318" s="51" t="s">
        <v>103</v>
      </c>
      <c r="C318" s="51" t="s">
        <v>145</v>
      </c>
      <c r="D318" s="51" t="s">
        <v>141</v>
      </c>
      <c r="E318" s="51" t="s">
        <v>355</v>
      </c>
      <c r="F318" s="52">
        <f>SUMIF('Customer Budget Per Category'!$A:$A,$A318,'Customer Budget Per Category'!$M:$M)</f>
        <v>1949</v>
      </c>
      <c r="G318" s="52">
        <f>SUMIFS('Navision sales Dump'!$E:$E,'Navision sales Dump'!$K:$K,$E318,'Navision sales Dump'!$A:$A,$A318)</f>
        <v>862</v>
      </c>
      <c r="H318" s="62">
        <f>SUMIFS('Navision sales Dump'!$G:$G,'Navision sales Dump'!$K:$K,$E318,'Navision sales Dump'!$A:$A,$A318)</f>
        <v>2085721.06</v>
      </c>
      <c r="I318" s="72">
        <f>IFERROR(IF(($G318/$F318)&gt;='Discount Scheme Target'!$F$4,_xlfn.XLOOKUP($E318,'Discount Scheme Target'!$B:$B,'Discount Scheme Target'!$F:$F,0,0),IF(($G318/$F318)&gt;='Discount Scheme Target'!$E$4,_xlfn.XLOOKUP($E318,'Discount Scheme Target'!$B:$B,'Discount Scheme Target'!$E:$E,0,0),IF(($G318/$F318)&gt;='Discount Scheme Target'!$D$4,_xlfn.XLOOKUP($E318,'Discount Scheme Target'!$B:$B,'Discount Scheme Target'!$D:$D,0,0),0))),0)</f>
        <v>0</v>
      </c>
      <c r="J318" s="72">
        <f>IF(SUMIF('Customer Num Distr.'!$A:$A,Workings!$A318,'Customer Num Distr.'!$E:$E)&gt;='Discount Scheme Target'!$G$4,_xlfn.XLOOKUP(Workings!$E318,'Discount Scheme Target'!$B:$B,'Discount Scheme Target'!$G:$G,0,0),0)</f>
        <v>0</v>
      </c>
      <c r="K318" s="72">
        <f>IF(SUMIF('Bouclage EG Cust Cons_Decons'!$A:$A,Workings!$A318,'Bouclage EG Cust Cons_Decons'!$F:$F)&gt;='Discount Scheme Target'!$H$4,_xlfn.XLOOKUP(Workings!$E318,'Discount Scheme Target'!$B:$B,'Discount Scheme Target'!$H:$H,0,0),0)</f>
        <v>0</v>
      </c>
      <c r="L318" s="72">
        <f>IF(INDEX('TT Around time'!$A$1:$F$46,MATCH($A318,'TT Around time'!$A:$A,0),6)&gt;='Discount Scheme Target'!$I$4,_xlfn.XLOOKUP(Workings!$E318,'Discount Scheme Target'!$B:$B,'Discount Scheme Target'!$I:$I,0,0),0)</f>
        <v>5.0000000000000001E-3</v>
      </c>
      <c r="M318" s="72">
        <f t="shared" si="41"/>
        <v>5.0000000000000001E-3</v>
      </c>
      <c r="N318" s="62">
        <f t="shared" si="48"/>
        <v>23579.29435</v>
      </c>
      <c r="T318" s="61">
        <f t="shared" si="42"/>
        <v>0</v>
      </c>
      <c r="U318" s="61">
        <f t="shared" si="43"/>
        <v>0</v>
      </c>
      <c r="V318" s="61">
        <f t="shared" si="44"/>
        <v>0</v>
      </c>
      <c r="W318" s="61">
        <f t="shared" si="45"/>
        <v>23579.29435</v>
      </c>
      <c r="X318" s="61">
        <f t="shared" si="46"/>
        <v>23579.29435</v>
      </c>
      <c r="Y318" s="61">
        <f t="shared" si="47"/>
        <v>0</v>
      </c>
    </row>
    <row r="319" spans="1:25" x14ac:dyDescent="0.25">
      <c r="A319" s="51">
        <v>2300001198</v>
      </c>
      <c r="B319" s="51" t="s">
        <v>103</v>
      </c>
      <c r="C319" s="51" t="s">
        <v>145</v>
      </c>
      <c r="D319" s="51" t="s">
        <v>141</v>
      </c>
      <c r="E319" s="51" t="s">
        <v>132</v>
      </c>
      <c r="F319" s="52">
        <f>SUMIF('Customer Budget Per Category'!$A:$A,$A319,'Customer Budget Per Category'!$N:$N)</f>
        <v>325</v>
      </c>
      <c r="G319" s="52">
        <f>SUMIFS('Navision sales Dump'!$E:$E,'Navision sales Dump'!$K:$K,$E319,'Navision sales Dump'!$A:$A,$A319)</f>
        <v>144</v>
      </c>
      <c r="H319" s="62">
        <f>SUMIFS('Navision sales Dump'!$G:$G,'Navision sales Dump'!$K:$K,$E319,'Navision sales Dump'!$A:$A,$A319)</f>
        <v>314265.59999999998</v>
      </c>
      <c r="I319" s="72">
        <f>IFERROR(IF(($G319/$F319)&gt;='Discount Scheme Target'!$F$4,_xlfn.XLOOKUP($E319,'Discount Scheme Target'!$B:$B,'Discount Scheme Target'!$F:$F,0,0),IF(($G319/$F319)&gt;='Discount Scheme Target'!$E$4,_xlfn.XLOOKUP($E319,'Discount Scheme Target'!$B:$B,'Discount Scheme Target'!$E:$E,0,0),IF(($G319/$F319)&gt;='Discount Scheme Target'!$D$4,_xlfn.XLOOKUP($E319,'Discount Scheme Target'!$B:$B,'Discount Scheme Target'!$D:$D,0,0),0))),0)</f>
        <v>0</v>
      </c>
      <c r="J319" s="72">
        <f>IF(SUMIF('Customer Num Distr.'!$A:$A,Workings!$A319,'Customer Num Distr.'!$E:$E)&gt;='Discount Scheme Target'!$G$4,_xlfn.XLOOKUP(Workings!$E319,'Discount Scheme Target'!$B:$B,'Discount Scheme Target'!$G:$G,0,0),0)</f>
        <v>0</v>
      </c>
      <c r="K319" s="72">
        <f>IF(SUMIF('Bouclage EG Cust Cons_Decons'!$A:$A,Workings!$A319,'Bouclage EG Cust Cons_Decons'!$F:$F)&gt;='Discount Scheme Target'!$H$4,_xlfn.XLOOKUP(Workings!$E319,'Discount Scheme Target'!$B:$B,'Discount Scheme Target'!$H:$H,0,0),0)</f>
        <v>0</v>
      </c>
      <c r="L319" s="72">
        <f>IF(INDEX('TT Around time'!$A$1:$F$46,MATCH($A319,'TT Around time'!$A:$A,0),6)&gt;='Discount Scheme Target'!$I$4,_xlfn.XLOOKUP(Workings!$E319,'Discount Scheme Target'!$B:$B,'Discount Scheme Target'!$I:$I,0,0),0)</f>
        <v>5.0000000000000001E-3</v>
      </c>
      <c r="M319" s="72">
        <f t="shared" si="41"/>
        <v>5.0000000000000001E-3</v>
      </c>
      <c r="N319" s="62">
        <f t="shared" si="48"/>
        <v>3546.3999999999996</v>
      </c>
      <c r="T319" s="61">
        <f t="shared" si="42"/>
        <v>0</v>
      </c>
      <c r="U319" s="61">
        <f t="shared" si="43"/>
        <v>0</v>
      </c>
      <c r="V319" s="61">
        <f t="shared" si="44"/>
        <v>0</v>
      </c>
      <c r="W319" s="61">
        <f t="shared" si="45"/>
        <v>3546.3999999999996</v>
      </c>
      <c r="X319" s="61">
        <f t="shared" si="46"/>
        <v>3546.3999999999996</v>
      </c>
      <c r="Y319" s="61">
        <f t="shared" si="47"/>
        <v>0</v>
      </c>
    </row>
    <row r="320" spans="1:25" x14ac:dyDescent="0.25">
      <c r="A320" s="51">
        <v>2300001198</v>
      </c>
      <c r="B320" s="51" t="s">
        <v>103</v>
      </c>
      <c r="C320" s="51" t="s">
        <v>145</v>
      </c>
      <c r="D320" s="51" t="s">
        <v>141</v>
      </c>
      <c r="E320" s="51" t="s">
        <v>133</v>
      </c>
      <c r="F320" s="52">
        <f>SUMIF('Customer Budget Per Category'!$A:$A,$A320,'Customer Budget Per Category'!$O:$O)</f>
        <v>298</v>
      </c>
      <c r="G320" s="52">
        <f>SUMIFS('Navision sales Dump'!$E:$E,'Navision sales Dump'!$K:$K,$E320,'Navision sales Dump'!$A:$A,$A320)</f>
        <v>111</v>
      </c>
      <c r="H320" s="62">
        <f>SUMIFS('Navision sales Dump'!$G:$G,'Navision sales Dump'!$K:$K,$E320,'Navision sales Dump'!$A:$A,$A320)</f>
        <v>1113039.1800000002</v>
      </c>
      <c r="I320" s="72">
        <f>IFERROR(IF(($G320/$F320)&gt;='Discount Scheme Target'!$F$4,_xlfn.XLOOKUP($E320,'Discount Scheme Target'!$B:$B,'Discount Scheme Target'!$F:$F,0,0),IF(($G320/$F320)&gt;='Discount Scheme Target'!$E$4,_xlfn.XLOOKUP($E320,'Discount Scheme Target'!$B:$B,'Discount Scheme Target'!$E:$E,0,0),IF(($G320/$F320)&gt;='Discount Scheme Target'!$D$4,_xlfn.XLOOKUP($E320,'Discount Scheme Target'!$B:$B,'Discount Scheme Target'!$D:$D,0,0),0))),0)</f>
        <v>0</v>
      </c>
      <c r="J320" s="72">
        <f>IF(SUMIF('Customer Num Distr.'!$A:$A,Workings!$A320,'Customer Num Distr.'!$E:$E)&gt;='Discount Scheme Target'!$G$4,_xlfn.XLOOKUP(Workings!$E320,'Discount Scheme Target'!$B:$B,'Discount Scheme Target'!$G:$G,0,0),0)</f>
        <v>0</v>
      </c>
      <c r="K320" s="72">
        <f>IF(SUMIF('Bouclage EG Cust Cons_Decons'!$A:$A,Workings!$A320,'Bouclage EG Cust Cons_Decons'!$F:$F)&gt;='Discount Scheme Target'!$H$4,_xlfn.XLOOKUP(Workings!$E320,'Discount Scheme Target'!$B:$B,'Discount Scheme Target'!$H:$H,0,0),0)</f>
        <v>0</v>
      </c>
      <c r="L320" s="72">
        <f>IF(INDEX('TT Around time'!$A$1:$F$46,MATCH($A320,'TT Around time'!$A:$A,0),6)&gt;='Discount Scheme Target'!$I$4,_xlfn.XLOOKUP(Workings!$E320,'Discount Scheme Target'!$B:$B,'Discount Scheme Target'!$I:$I,0,0),0)</f>
        <v>5.0000000000000001E-3</v>
      </c>
      <c r="M320" s="72">
        <f t="shared" si="41"/>
        <v>5.0000000000000001E-3</v>
      </c>
      <c r="N320" s="62">
        <f t="shared" si="48"/>
        <v>14940.796200000001</v>
      </c>
      <c r="T320" s="61">
        <f t="shared" si="42"/>
        <v>0</v>
      </c>
      <c r="U320" s="61">
        <f t="shared" si="43"/>
        <v>0</v>
      </c>
      <c r="V320" s="61">
        <f t="shared" si="44"/>
        <v>0</v>
      </c>
      <c r="W320" s="61">
        <f t="shared" si="45"/>
        <v>14940.796200000001</v>
      </c>
      <c r="X320" s="61">
        <f t="shared" si="46"/>
        <v>14940.796200000001</v>
      </c>
      <c r="Y320" s="61">
        <f t="shared" si="47"/>
        <v>0</v>
      </c>
    </row>
    <row r="321" spans="1:25" x14ac:dyDescent="0.25">
      <c r="A321" s="51">
        <v>2091006005</v>
      </c>
      <c r="B321" s="51" t="s">
        <v>102</v>
      </c>
      <c r="C321" s="51" t="s">
        <v>145</v>
      </c>
      <c r="D321" s="51" t="s">
        <v>141</v>
      </c>
      <c r="E321" s="51" t="s">
        <v>417</v>
      </c>
      <c r="F321" s="52">
        <f>SUMIF('Customer Budget Per Category'!$A:$A,$A321,'Customer Budget Per Category'!$E:$E)</f>
        <v>5115</v>
      </c>
      <c r="G321" s="52">
        <f>SUMIFS('Navision sales Dump'!$E:$E,'Navision sales Dump'!$K:$K,$E321,'Navision sales Dump'!$A:$A,$A321)</f>
        <v>5162</v>
      </c>
      <c r="H321" s="62">
        <f>SUMIFS('Navision sales Dump'!$G:$G,'Navision sales Dump'!$K:$K,$E321,'Navision sales Dump'!$A:$A,$A321)</f>
        <v>38116734.880000003</v>
      </c>
      <c r="I321" s="72">
        <f>IFERROR(IF(($G321/$F321)&gt;='Discount Scheme Target'!$F$4,_xlfn.XLOOKUP($E321,'Discount Scheme Target'!$B:$B,'Discount Scheme Target'!$F:$F,0,0),IF(($G321/$F321)&gt;='Discount Scheme Target'!$E$4,_xlfn.XLOOKUP($E321,'Discount Scheme Target'!$B:$B,'Discount Scheme Target'!$E:$E,0,0),IF(($G321/$F321)&gt;='Discount Scheme Target'!$D$4,_xlfn.XLOOKUP($E321,'Discount Scheme Target'!$B:$B,'Discount Scheme Target'!$D:$D,0,0),0))),0)</f>
        <v>1.4999999999999999E-2</v>
      </c>
      <c r="J321" s="72">
        <f>IF(SUMIF('Customer Num Distr.'!$A:$A,Workings!$A321,'Customer Num Distr.'!$E:$E)&gt;='Discount Scheme Target'!$G$4,_xlfn.XLOOKUP(Workings!$E321,'Discount Scheme Target'!$B:$B,'Discount Scheme Target'!$G:$G,0,0),0)</f>
        <v>0</v>
      </c>
      <c r="K321" s="72">
        <f>IF(SUMIF('Bouclage EG Cust Cons_Decons'!$A:$A,Workings!$A321,'Bouclage EG Cust Cons_Decons'!$F:$F)&gt;='Discount Scheme Target'!$H$4,_xlfn.XLOOKUP(Workings!$E321,'Discount Scheme Target'!$B:$B,'Discount Scheme Target'!$H:$H,0,0),0)</f>
        <v>0</v>
      </c>
      <c r="L321" s="72">
        <f>IF(INDEX('TT Around time'!$A$1:$F$46,MATCH($A321,'TT Around time'!$A:$A,0),6)&gt;='Discount Scheme Target'!$I$4,_xlfn.XLOOKUP(Workings!$E321,'Discount Scheme Target'!$B:$B,'Discount Scheme Target'!$I:$I,0,0),0)</f>
        <v>0.01</v>
      </c>
      <c r="M321" s="72">
        <f t="shared" ref="M321:M375" si="49">SUM($I321:$L321)</f>
        <v>2.5000000000000001E-2</v>
      </c>
      <c r="N321" s="62">
        <f t="shared" si="48"/>
        <v>944242.05206896551</v>
      </c>
      <c r="T321" s="61">
        <f t="shared" ref="T321:T375" si="50">IFERROR(($H321/$G321)*$F321*$I321,)</f>
        <v>566545.23124137928</v>
      </c>
      <c r="U321" s="61">
        <f t="shared" ref="U321:U375" si="51">IFERROR(($H321/$G321)*$F321*$J321,)</f>
        <v>0</v>
      </c>
      <c r="V321" s="61">
        <f t="shared" ref="V321:V375" si="52">IFERROR(($H321/$G321)*$F321*$K321,)</f>
        <v>0</v>
      </c>
      <c r="W321" s="61">
        <f t="shared" ref="W321:W375" si="53">IFERROR(($H321/$G321)*$F321*$L321,)</f>
        <v>377696.82082758623</v>
      </c>
      <c r="X321" s="61">
        <f t="shared" ref="X321:X375" si="54">SUM(T321:W321)</f>
        <v>944242.05206896551</v>
      </c>
      <c r="Y321" s="61">
        <f t="shared" ref="Y321:Y375" si="55">N321-X321</f>
        <v>0</v>
      </c>
    </row>
    <row r="322" spans="1:25" x14ac:dyDescent="0.25">
      <c r="A322" s="51">
        <v>2091006005</v>
      </c>
      <c r="B322" s="51" t="s">
        <v>102</v>
      </c>
      <c r="C322" s="51" t="s">
        <v>145</v>
      </c>
      <c r="D322" s="51" t="s">
        <v>141</v>
      </c>
      <c r="E322" s="51" t="s">
        <v>418</v>
      </c>
      <c r="F322" s="52">
        <f>SUMIF('Customer Budget Per Category'!$A:$A,$A322,'Customer Budget Per Category'!$F:$F)</f>
        <v>0</v>
      </c>
      <c r="G322" s="52">
        <f>SUMIFS('Navision sales Dump'!$E:$E,'Navision sales Dump'!$K:$K,$E322,'Navision sales Dump'!$A:$A,$A322)</f>
        <v>0</v>
      </c>
      <c r="H322" s="62">
        <f>SUMIFS('Navision sales Dump'!$G:$G,'Navision sales Dump'!$K:$K,$E322,'Navision sales Dump'!$A:$A,$A322)</f>
        <v>0</v>
      </c>
      <c r="I322" s="72">
        <f>IFERROR(IF(($G322/$F322)&gt;='Discount Scheme Target'!$F$4,_xlfn.XLOOKUP($E322,'Discount Scheme Target'!$B:$B,'Discount Scheme Target'!$F:$F,0,0),IF(($G322/$F322)&gt;='Discount Scheme Target'!$E$4,_xlfn.XLOOKUP($E322,'Discount Scheme Target'!$B:$B,'Discount Scheme Target'!$E:$E,0,0),IF(($G322/$F322)&gt;='Discount Scheme Target'!$D$4,_xlfn.XLOOKUP($E322,'Discount Scheme Target'!$B:$B,'Discount Scheme Target'!$D:$D,0,0),0))),0)</f>
        <v>0</v>
      </c>
      <c r="J322" s="72">
        <f>IF(SUMIF('Customer Num Distr.'!$A:$A,Workings!$A322,'Customer Num Distr.'!$E:$E)&gt;='Discount Scheme Target'!$G$4,_xlfn.XLOOKUP(Workings!$E322,'Discount Scheme Target'!$B:$B,'Discount Scheme Target'!$G:$G,0,0),0)</f>
        <v>0</v>
      </c>
      <c r="K322" s="72">
        <f>IF(SUMIF('Bouclage EG Cust Cons_Decons'!$A:$A,Workings!$A322,'Bouclage EG Cust Cons_Decons'!$F:$F)&gt;='Discount Scheme Target'!$H$4,_xlfn.XLOOKUP(Workings!$E322,'Discount Scheme Target'!$B:$B,'Discount Scheme Target'!$H:$H,0,0),0)</f>
        <v>0</v>
      </c>
      <c r="L322" s="72">
        <f>IF(INDEX('TT Around time'!$A$1:$F$46,MATCH($A322,'TT Around time'!$A:$A,0),6)&gt;='Discount Scheme Target'!$I$4,_xlfn.XLOOKUP(Workings!$E322,'Discount Scheme Target'!$B:$B,'Discount Scheme Target'!$I:$I,0,0),0)</f>
        <v>0</v>
      </c>
      <c r="M322" s="72">
        <f t="shared" si="49"/>
        <v>0</v>
      </c>
      <c r="N322" s="62">
        <f t="shared" si="48"/>
        <v>0</v>
      </c>
      <c r="T322" s="61">
        <f t="shared" si="50"/>
        <v>0</v>
      </c>
      <c r="U322" s="61">
        <f t="shared" si="51"/>
        <v>0</v>
      </c>
      <c r="V322" s="61">
        <f t="shared" si="52"/>
        <v>0</v>
      </c>
      <c r="W322" s="61">
        <f t="shared" si="53"/>
        <v>0</v>
      </c>
      <c r="X322" s="61">
        <f t="shared" si="54"/>
        <v>0</v>
      </c>
      <c r="Y322" s="61">
        <f t="shared" si="55"/>
        <v>0</v>
      </c>
    </row>
    <row r="323" spans="1:25" x14ac:dyDescent="0.25">
      <c r="A323" s="51">
        <v>2091006005</v>
      </c>
      <c r="B323" s="51" t="s">
        <v>102</v>
      </c>
      <c r="C323" s="51" t="s">
        <v>145</v>
      </c>
      <c r="D323" s="51" t="s">
        <v>141</v>
      </c>
      <c r="E323" s="51" t="s">
        <v>130</v>
      </c>
      <c r="F323" s="52">
        <f>SUMIF('Customer Budget Per Category'!$A:$A,$A323,'Customer Budget Per Category'!$G:$G)</f>
        <v>157.84492738414599</v>
      </c>
      <c r="G323" s="52">
        <f>SUMIFS('Navision sales Dump'!$E:$E,'Navision sales Dump'!$K:$K,$E323,'Navision sales Dump'!$A:$A,$A323)</f>
        <v>0</v>
      </c>
      <c r="H323" s="62">
        <f>SUMIFS('Navision sales Dump'!$G:$G,'Navision sales Dump'!$K:$K,$E323,'Navision sales Dump'!$A:$A,$A323)</f>
        <v>0</v>
      </c>
      <c r="I323" s="72">
        <f>IFERROR(IF(($G323/$F323)&gt;='Discount Scheme Target'!$F$4,_xlfn.XLOOKUP($E323,'Discount Scheme Target'!$B:$B,'Discount Scheme Target'!$F:$F,0,0),IF(($G323/$F323)&gt;='Discount Scheme Target'!$E$4,_xlfn.XLOOKUP($E323,'Discount Scheme Target'!$B:$B,'Discount Scheme Target'!$E:$E,0,0),IF(($G323/$F323)&gt;='Discount Scheme Target'!$D$4,_xlfn.XLOOKUP($E323,'Discount Scheme Target'!$B:$B,'Discount Scheme Target'!$D:$D,0,0),0))),0)</f>
        <v>0</v>
      </c>
      <c r="J323" s="72">
        <f>IF(SUMIF('Customer Num Distr.'!$A:$A,Workings!$A323,'Customer Num Distr.'!$E:$E)&gt;='Discount Scheme Target'!$G$4,_xlfn.XLOOKUP(Workings!$E323,'Discount Scheme Target'!$B:$B,'Discount Scheme Target'!$G:$G,0,0),0)</f>
        <v>0</v>
      </c>
      <c r="K323" s="72">
        <f>IF(SUMIF('Bouclage EG Cust Cons_Decons'!$A:$A,Workings!$A323,'Bouclage EG Cust Cons_Decons'!$F:$F)&gt;='Discount Scheme Target'!$H$4,_xlfn.XLOOKUP(Workings!$E323,'Discount Scheme Target'!$B:$B,'Discount Scheme Target'!$H:$H,0,0),0)</f>
        <v>0</v>
      </c>
      <c r="L323" s="72">
        <f>IF(INDEX('TT Around time'!$A$1:$F$46,MATCH($A323,'TT Around time'!$A:$A,0),6)&gt;='Discount Scheme Target'!$I$4,_xlfn.XLOOKUP(Workings!$E323,'Discount Scheme Target'!$B:$B,'Discount Scheme Target'!$I:$I,0,0),0)</f>
        <v>0.01</v>
      </c>
      <c r="M323" s="72">
        <f t="shared" si="49"/>
        <v>0.01</v>
      </c>
      <c r="N323" s="62">
        <f t="shared" si="48"/>
        <v>0</v>
      </c>
      <c r="T323" s="61">
        <f t="shared" si="50"/>
        <v>0</v>
      </c>
      <c r="U323" s="61">
        <f t="shared" si="51"/>
        <v>0</v>
      </c>
      <c r="V323" s="61">
        <f t="shared" si="52"/>
        <v>0</v>
      </c>
      <c r="W323" s="61">
        <f t="shared" si="53"/>
        <v>0</v>
      </c>
      <c r="X323" s="61">
        <f t="shared" si="54"/>
        <v>0</v>
      </c>
      <c r="Y323" s="61">
        <f t="shared" si="55"/>
        <v>0</v>
      </c>
    </row>
    <row r="324" spans="1:25" x14ac:dyDescent="0.25">
      <c r="A324" s="51">
        <v>2091006005</v>
      </c>
      <c r="B324" s="51" t="s">
        <v>102</v>
      </c>
      <c r="C324" s="51" t="s">
        <v>145</v>
      </c>
      <c r="D324" s="51" t="s">
        <v>141</v>
      </c>
      <c r="E324" s="51" t="s">
        <v>131</v>
      </c>
      <c r="F324" s="52">
        <f>SUMIF('Customer Budget Per Category'!$A:$A,$A324,'Customer Budget Per Category'!$H:$H)</f>
        <v>42</v>
      </c>
      <c r="G324" s="52">
        <f>SUMIFS('Navision sales Dump'!$E:$E,'Navision sales Dump'!$K:$K,$E324,'Navision sales Dump'!$A:$A,$A324)</f>
        <v>32</v>
      </c>
      <c r="H324" s="62">
        <f>SUMIFS('Navision sales Dump'!$G:$G,'Navision sales Dump'!$K:$K,$E324,'Navision sales Dump'!$A:$A,$A324)</f>
        <v>1202912.5</v>
      </c>
      <c r="I324" s="72">
        <f>IFERROR(IF(($G324/$F324)&gt;='Discount Scheme Target'!$F$4,_xlfn.XLOOKUP($E324,'Discount Scheme Target'!$B:$B,'Discount Scheme Target'!$F:$F,0,0),IF(($G324/$F324)&gt;='Discount Scheme Target'!$E$4,_xlfn.XLOOKUP($E324,'Discount Scheme Target'!$B:$B,'Discount Scheme Target'!$E:$E,0,0),IF(($G324/$F324)&gt;='Discount Scheme Target'!$D$4,_xlfn.XLOOKUP($E324,'Discount Scheme Target'!$B:$B,'Discount Scheme Target'!$D:$D,0,0),0))),0)</f>
        <v>0</v>
      </c>
      <c r="J324" s="72">
        <f>IF(SUMIF('Customer Num Distr.'!$A:$A,Workings!$A324,'Customer Num Distr.'!$E:$E)&gt;='Discount Scheme Target'!$G$4,_xlfn.XLOOKUP(Workings!$E324,'Discount Scheme Target'!$B:$B,'Discount Scheme Target'!$G:$G,0,0),0)</f>
        <v>0</v>
      </c>
      <c r="K324" s="72">
        <f>IF(SUMIF('Bouclage EG Cust Cons_Decons'!$A:$A,Workings!$A324,'Bouclage EG Cust Cons_Decons'!$F:$F)&gt;='Discount Scheme Target'!$H$4,_xlfn.XLOOKUP(Workings!$E324,'Discount Scheme Target'!$B:$B,'Discount Scheme Target'!$H:$H,0,0),0)</f>
        <v>0</v>
      </c>
      <c r="L324" s="72">
        <f>IF(INDEX('TT Around time'!$A$1:$F$46,MATCH($A324,'TT Around time'!$A:$A,0),6)&gt;='Discount Scheme Target'!$I$4,_xlfn.XLOOKUP(Workings!$E324,'Discount Scheme Target'!$B:$B,'Discount Scheme Target'!$I:$I,0,0),0)</f>
        <v>5.0000000000000001E-3</v>
      </c>
      <c r="M324" s="72">
        <f t="shared" si="49"/>
        <v>5.0000000000000001E-3</v>
      </c>
      <c r="N324" s="62">
        <f t="shared" ref="N324:N387" si="56">IFERROR((H324/G324)*F324*M324,)</f>
        <v>7894.11328125</v>
      </c>
      <c r="T324" s="61">
        <f t="shared" si="50"/>
        <v>0</v>
      </c>
      <c r="U324" s="61">
        <f t="shared" si="51"/>
        <v>0</v>
      </c>
      <c r="V324" s="61">
        <f t="shared" si="52"/>
        <v>0</v>
      </c>
      <c r="W324" s="61">
        <f t="shared" si="53"/>
        <v>7894.11328125</v>
      </c>
      <c r="X324" s="61">
        <f t="shared" si="54"/>
        <v>7894.11328125</v>
      </c>
      <c r="Y324" s="61">
        <f t="shared" si="55"/>
        <v>0</v>
      </c>
    </row>
    <row r="325" spans="1:25" x14ac:dyDescent="0.25">
      <c r="A325" s="51">
        <v>2091006005</v>
      </c>
      <c r="B325" s="51" t="s">
        <v>102</v>
      </c>
      <c r="C325" s="51" t="s">
        <v>145</v>
      </c>
      <c r="D325" s="51" t="s">
        <v>141</v>
      </c>
      <c r="E325" s="51" t="s">
        <v>514</v>
      </c>
      <c r="F325" s="52">
        <f>SUMIF('Customer Budget Per Category'!$A:$A,$A325,'Customer Budget Per Category'!$I:$I)</f>
        <v>2519.6314074260636</v>
      </c>
      <c r="G325" s="52">
        <f>SUMIFS('Navision sales Dump'!$E:$E,'Navision sales Dump'!$K:$K,$E325,'Navision sales Dump'!$A:$A,$A325)</f>
        <v>2520</v>
      </c>
      <c r="H325" s="62">
        <f>SUMIFS('Navision sales Dump'!$G:$G,'Navision sales Dump'!$K:$K,$E325,'Navision sales Dump'!$A:$A,$A325)</f>
        <v>9974235.6000000015</v>
      </c>
      <c r="I325" s="72">
        <f>IFERROR(IF(($G325/$F325)&gt;='Discount Scheme Target'!$F$4,_xlfn.XLOOKUP($E325,'Discount Scheme Target'!$B:$B,'Discount Scheme Target'!$F:$F,0,0),IF(($G325/$F325)&gt;='Discount Scheme Target'!$E$4,_xlfn.XLOOKUP($E325,'Discount Scheme Target'!$B:$B,'Discount Scheme Target'!$E:$E,0,0),IF(($G325/$F325)&gt;='Discount Scheme Target'!$D$4,_xlfn.XLOOKUP($E325,'Discount Scheme Target'!$B:$B,'Discount Scheme Target'!$D:$D,0,0),0))),0)</f>
        <v>0.01</v>
      </c>
      <c r="J325" s="72">
        <f>IF(SUMIF('Customer Num Distr.'!$A:$A,Workings!$A325,'Customer Num Distr.'!$E:$E)&gt;='Discount Scheme Target'!$G$4,_xlfn.XLOOKUP(Workings!$E325,'Discount Scheme Target'!$B:$B,'Discount Scheme Target'!$G:$G,0,0),0)</f>
        <v>0</v>
      </c>
      <c r="K325" s="72">
        <f>IF(SUMIF('Bouclage EG Cust Cons_Decons'!$A:$A,Workings!$A325,'Bouclage EG Cust Cons_Decons'!$F:$F)&gt;='Discount Scheme Target'!$H$4,_xlfn.XLOOKUP(Workings!$E325,'Discount Scheme Target'!$B:$B,'Discount Scheme Target'!$H:$H,0,0),0)</f>
        <v>0</v>
      </c>
      <c r="L325" s="72">
        <f>IF(INDEX('TT Around time'!$A$1:$F$46,MATCH($A325,'TT Around time'!$A:$A,0),6)&gt;='Discount Scheme Target'!$I$4,_xlfn.XLOOKUP(Workings!$E325,'Discount Scheme Target'!$B:$B,'Discount Scheme Target'!$I:$I,0,0),0)</f>
        <v>5.0000000000000001E-3</v>
      </c>
      <c r="M325" s="72">
        <f t="shared" si="49"/>
        <v>1.4999999999999999E-2</v>
      </c>
      <c r="N325" s="62">
        <f t="shared" si="56"/>
        <v>149591.65049301877</v>
      </c>
      <c r="T325" s="61">
        <f t="shared" si="50"/>
        <v>99727.766995345839</v>
      </c>
      <c r="U325" s="61">
        <f t="shared" si="51"/>
        <v>0</v>
      </c>
      <c r="V325" s="61">
        <f t="shared" si="52"/>
        <v>0</v>
      </c>
      <c r="W325" s="61">
        <f t="shared" si="53"/>
        <v>49863.883497672919</v>
      </c>
      <c r="X325" s="61">
        <f t="shared" si="54"/>
        <v>149591.65049301877</v>
      </c>
      <c r="Y325" s="61">
        <f t="shared" si="55"/>
        <v>0</v>
      </c>
    </row>
    <row r="326" spans="1:25" x14ac:dyDescent="0.25">
      <c r="A326" s="51">
        <v>2091006005</v>
      </c>
      <c r="B326" s="51" t="s">
        <v>102</v>
      </c>
      <c r="C326" s="51" t="s">
        <v>145</v>
      </c>
      <c r="D326" s="51" t="s">
        <v>141</v>
      </c>
      <c r="E326" s="51" t="s">
        <v>515</v>
      </c>
      <c r="F326" s="52">
        <f>SUMIF('Customer Budget Per Category'!$A:$A,$A326,'Customer Budget Per Category'!$J:$J)</f>
        <v>339.66156333535355</v>
      </c>
      <c r="G326" s="52">
        <f>SUMIFS('Navision sales Dump'!$E:$E,'Navision sales Dump'!$K:$K,$E326,'Navision sales Dump'!$A:$A,$A326)</f>
        <v>0</v>
      </c>
      <c r="H326" s="62">
        <f>SUMIFS('Navision sales Dump'!$G:$G,'Navision sales Dump'!$K:$K,$E326,'Navision sales Dump'!$A:$A,$A326)</f>
        <v>0</v>
      </c>
      <c r="I326" s="72">
        <f>IFERROR(IF(($G326/$F326)&gt;='Discount Scheme Target'!$F$4,_xlfn.XLOOKUP($E326,'Discount Scheme Target'!$B:$B,'Discount Scheme Target'!$F:$F,0,0),IF(($G326/$F326)&gt;='Discount Scheme Target'!$E$4,_xlfn.XLOOKUP($E326,'Discount Scheme Target'!$B:$B,'Discount Scheme Target'!$E:$E,0,0),IF(($G326/$F326)&gt;='Discount Scheme Target'!$D$4,_xlfn.XLOOKUP($E326,'Discount Scheme Target'!$B:$B,'Discount Scheme Target'!$D:$D,0,0),0))),0)</f>
        <v>0</v>
      </c>
      <c r="J326" s="72">
        <f>IF(SUMIF('Customer Num Distr.'!$A:$A,Workings!$A326,'Customer Num Distr.'!$E:$E)&gt;='Discount Scheme Target'!$G$4,_xlfn.XLOOKUP(Workings!$E326,'Discount Scheme Target'!$B:$B,'Discount Scheme Target'!$G:$G,0,0),0)</f>
        <v>0</v>
      </c>
      <c r="K326" s="72">
        <f>IF(SUMIF('Bouclage EG Cust Cons_Decons'!$A:$A,Workings!$A326,'Bouclage EG Cust Cons_Decons'!$F:$F)&gt;='Discount Scheme Target'!$H$4,_xlfn.XLOOKUP(Workings!$E326,'Discount Scheme Target'!$B:$B,'Discount Scheme Target'!$H:$H,0,0),0)</f>
        <v>0</v>
      </c>
      <c r="L326" s="72">
        <f>IF(INDEX('TT Around time'!$A$1:$F$46,MATCH($A326,'TT Around time'!$A:$A,0),6)&gt;='Discount Scheme Target'!$I$4,_xlfn.XLOOKUP(Workings!$E326,'Discount Scheme Target'!$B:$B,'Discount Scheme Target'!$I:$I,0,0),0)</f>
        <v>5.0000000000000001E-3</v>
      </c>
      <c r="M326" s="72">
        <f t="shared" si="49"/>
        <v>5.0000000000000001E-3</v>
      </c>
      <c r="N326" s="62">
        <f t="shared" si="56"/>
        <v>0</v>
      </c>
      <c r="T326" s="61">
        <f t="shared" si="50"/>
        <v>0</v>
      </c>
      <c r="U326" s="61">
        <f t="shared" si="51"/>
        <v>0</v>
      </c>
      <c r="V326" s="61">
        <f t="shared" si="52"/>
        <v>0</v>
      </c>
      <c r="W326" s="61">
        <f t="shared" si="53"/>
        <v>0</v>
      </c>
      <c r="X326" s="61">
        <f t="shared" si="54"/>
        <v>0</v>
      </c>
      <c r="Y326" s="61">
        <f t="shared" si="55"/>
        <v>0</v>
      </c>
    </row>
    <row r="327" spans="1:25" x14ac:dyDescent="0.25">
      <c r="A327" s="51">
        <v>2091006005</v>
      </c>
      <c r="B327" s="51" t="s">
        <v>102</v>
      </c>
      <c r="C327" s="51" t="s">
        <v>145</v>
      </c>
      <c r="D327" s="51" t="s">
        <v>141</v>
      </c>
      <c r="E327" s="51" t="s">
        <v>161</v>
      </c>
      <c r="F327" s="52">
        <f>SUMIF('Customer Budget Per Category'!$A:$A,$A327,'Customer Budget Per Category'!$K:$K)</f>
        <v>0</v>
      </c>
      <c r="G327" s="52">
        <f>SUMIFS('Navision sales Dump'!$E:$E,'Navision sales Dump'!$K:$K,$E327,'Navision sales Dump'!$A:$A,$A327)</f>
        <v>0</v>
      </c>
      <c r="H327" s="62">
        <f>SUMIFS('Navision sales Dump'!$G:$G,'Navision sales Dump'!$K:$K,$E327,'Navision sales Dump'!$A:$A,$A327)</f>
        <v>0</v>
      </c>
      <c r="I327" s="72">
        <f>IFERROR(IF(($G327/$F327)&gt;='Discount Scheme Target'!$F$4,_xlfn.XLOOKUP($E327,'Discount Scheme Target'!$B:$B,'Discount Scheme Target'!$F:$F,0,0),IF(($G327/$F327)&gt;='Discount Scheme Target'!$E$4,_xlfn.XLOOKUP($E327,'Discount Scheme Target'!$B:$B,'Discount Scheme Target'!$E:$E,0,0),IF(($G327/$F327)&gt;='Discount Scheme Target'!$D$4,_xlfn.XLOOKUP($E327,'Discount Scheme Target'!$B:$B,'Discount Scheme Target'!$D:$D,0,0),0))),0)</f>
        <v>0</v>
      </c>
      <c r="J327" s="72">
        <f>IF(SUMIF('Customer Num Distr.'!$A:$A,Workings!$A327,'Customer Num Distr.'!$E:$E)&gt;='Discount Scheme Target'!$G$4,_xlfn.XLOOKUP(Workings!$E327,'Discount Scheme Target'!$B:$B,'Discount Scheme Target'!$G:$G,0,0),0)</f>
        <v>0</v>
      </c>
      <c r="K327" s="72">
        <f>IF(SUMIF('Bouclage EG Cust Cons_Decons'!$A:$A,Workings!$A327,'Bouclage EG Cust Cons_Decons'!$F:$F)&gt;='Discount Scheme Target'!$H$4,_xlfn.XLOOKUP(Workings!$E327,'Discount Scheme Target'!$B:$B,'Discount Scheme Target'!$H:$H,0,0),0)</f>
        <v>0</v>
      </c>
      <c r="L327" s="72">
        <f>IF(INDEX('TT Around time'!$A$1:$F$46,MATCH($A327,'TT Around time'!$A:$A,0),6)&gt;='Discount Scheme Target'!$I$4,_xlfn.XLOOKUP(Workings!$E327,'Discount Scheme Target'!$B:$B,'Discount Scheme Target'!$I:$I,0,0),0)</f>
        <v>0</v>
      </c>
      <c r="M327" s="72">
        <f t="shared" si="49"/>
        <v>0</v>
      </c>
      <c r="N327" s="62">
        <f t="shared" si="56"/>
        <v>0</v>
      </c>
      <c r="T327" s="61">
        <f t="shared" si="50"/>
        <v>0</v>
      </c>
      <c r="U327" s="61">
        <f t="shared" si="51"/>
        <v>0</v>
      </c>
      <c r="V327" s="61">
        <f t="shared" si="52"/>
        <v>0</v>
      </c>
      <c r="W327" s="61">
        <f t="shared" si="53"/>
        <v>0</v>
      </c>
      <c r="X327" s="61">
        <f t="shared" si="54"/>
        <v>0</v>
      </c>
      <c r="Y327" s="61">
        <f t="shared" si="55"/>
        <v>0</v>
      </c>
    </row>
    <row r="328" spans="1:25" x14ac:dyDescent="0.25">
      <c r="A328" s="51">
        <v>2091006005</v>
      </c>
      <c r="B328" s="51" t="s">
        <v>102</v>
      </c>
      <c r="C328" s="51" t="s">
        <v>145</v>
      </c>
      <c r="D328" s="51" t="s">
        <v>141</v>
      </c>
      <c r="E328" s="51" t="s">
        <v>354</v>
      </c>
      <c r="F328" s="52">
        <f>SUMIF('Customer Budget Per Category'!$A:$A,$A328,'Customer Budget Per Category'!$L:$L)</f>
        <v>1004.2927101519621</v>
      </c>
      <c r="G328" s="52">
        <f>SUMIFS('Navision sales Dump'!$E:$E,'Navision sales Dump'!$K:$K,$E328,'Navision sales Dump'!$A:$A,$A328)</f>
        <v>792</v>
      </c>
      <c r="H328" s="62">
        <f>SUMIFS('Navision sales Dump'!$G:$G,'Navision sales Dump'!$K:$K,$E328,'Navision sales Dump'!$A:$A,$A328)</f>
        <v>2612301.12</v>
      </c>
      <c r="I328" s="72">
        <f>IFERROR(IF(($G328/$F328)&gt;='Discount Scheme Target'!$F$4,_xlfn.XLOOKUP($E328,'Discount Scheme Target'!$B:$B,'Discount Scheme Target'!$F:$F,0,0),IF(($G328/$F328)&gt;='Discount Scheme Target'!$E$4,_xlfn.XLOOKUP($E328,'Discount Scheme Target'!$B:$B,'Discount Scheme Target'!$E:$E,0,0),IF(($G328/$F328)&gt;='Discount Scheme Target'!$D$4,_xlfn.XLOOKUP($E328,'Discount Scheme Target'!$B:$B,'Discount Scheme Target'!$D:$D,0,0),0))),0)</f>
        <v>0</v>
      </c>
      <c r="J328" s="72">
        <f>IF(SUMIF('Customer Num Distr.'!$A:$A,Workings!$A328,'Customer Num Distr.'!$E:$E)&gt;='Discount Scheme Target'!$G$4,_xlfn.XLOOKUP(Workings!$E328,'Discount Scheme Target'!$B:$B,'Discount Scheme Target'!$G:$G,0,0),0)</f>
        <v>0</v>
      </c>
      <c r="K328" s="72">
        <f>IF(SUMIF('Bouclage EG Cust Cons_Decons'!$A:$A,Workings!$A328,'Bouclage EG Cust Cons_Decons'!$F:$F)&gt;='Discount Scheme Target'!$H$4,_xlfn.XLOOKUP(Workings!$E328,'Discount Scheme Target'!$B:$B,'Discount Scheme Target'!$H:$H,0,0),0)</f>
        <v>0</v>
      </c>
      <c r="L328" s="72">
        <f>IF(INDEX('TT Around time'!$A$1:$F$46,MATCH($A328,'TT Around time'!$A:$A,0),6)&gt;='Discount Scheme Target'!$I$4,_xlfn.XLOOKUP(Workings!$E328,'Discount Scheme Target'!$B:$B,'Discount Scheme Target'!$I:$I,0,0),0)</f>
        <v>5.0000000000000001E-3</v>
      </c>
      <c r="M328" s="72">
        <f t="shared" si="49"/>
        <v>5.0000000000000001E-3</v>
      </c>
      <c r="N328" s="62">
        <f t="shared" si="56"/>
        <v>16562.594517284128</v>
      </c>
      <c r="T328" s="61">
        <f t="shared" si="50"/>
        <v>0</v>
      </c>
      <c r="U328" s="61">
        <f t="shared" si="51"/>
        <v>0</v>
      </c>
      <c r="V328" s="61">
        <f t="shared" si="52"/>
        <v>0</v>
      </c>
      <c r="W328" s="61">
        <f t="shared" si="53"/>
        <v>16562.594517284128</v>
      </c>
      <c r="X328" s="61">
        <f t="shared" si="54"/>
        <v>16562.594517284128</v>
      </c>
      <c r="Y328" s="61">
        <f t="shared" si="55"/>
        <v>0</v>
      </c>
    </row>
    <row r="329" spans="1:25" x14ac:dyDescent="0.25">
      <c r="A329" s="51">
        <v>2091006005</v>
      </c>
      <c r="B329" s="51" t="s">
        <v>102</v>
      </c>
      <c r="C329" s="51" t="s">
        <v>145</v>
      </c>
      <c r="D329" s="51" t="s">
        <v>141</v>
      </c>
      <c r="E329" s="51" t="s">
        <v>355</v>
      </c>
      <c r="F329" s="52">
        <f>SUMIF('Customer Budget Per Category'!$A:$A,$A329,'Customer Budget Per Category'!$M:$M)</f>
        <v>630.73031003579854</v>
      </c>
      <c r="G329" s="52">
        <f>SUMIFS('Navision sales Dump'!$E:$E,'Navision sales Dump'!$K:$K,$E329,'Navision sales Dump'!$A:$A,$A329)</f>
        <v>144</v>
      </c>
      <c r="H329" s="62">
        <f>SUMIFS('Navision sales Dump'!$G:$G,'Navision sales Dump'!$K:$K,$E329,'Navision sales Dump'!$A:$A,$A329)</f>
        <v>348426.72</v>
      </c>
      <c r="I329" s="72">
        <f>IFERROR(IF(($G329/$F329)&gt;='Discount Scheme Target'!$F$4,_xlfn.XLOOKUP($E329,'Discount Scheme Target'!$B:$B,'Discount Scheme Target'!$F:$F,0,0),IF(($G329/$F329)&gt;='Discount Scheme Target'!$E$4,_xlfn.XLOOKUP($E329,'Discount Scheme Target'!$B:$B,'Discount Scheme Target'!$E:$E,0,0),IF(($G329/$F329)&gt;='Discount Scheme Target'!$D$4,_xlfn.XLOOKUP($E329,'Discount Scheme Target'!$B:$B,'Discount Scheme Target'!$D:$D,0,0),0))),0)</f>
        <v>0</v>
      </c>
      <c r="J329" s="72">
        <f>IF(SUMIF('Customer Num Distr.'!$A:$A,Workings!$A329,'Customer Num Distr.'!$E:$E)&gt;='Discount Scheme Target'!$G$4,_xlfn.XLOOKUP(Workings!$E329,'Discount Scheme Target'!$B:$B,'Discount Scheme Target'!$G:$G,0,0),0)</f>
        <v>0</v>
      </c>
      <c r="K329" s="72">
        <f>IF(SUMIF('Bouclage EG Cust Cons_Decons'!$A:$A,Workings!$A329,'Bouclage EG Cust Cons_Decons'!$F:$F)&gt;='Discount Scheme Target'!$H$4,_xlfn.XLOOKUP(Workings!$E329,'Discount Scheme Target'!$B:$B,'Discount Scheme Target'!$H:$H,0,0),0)</f>
        <v>0</v>
      </c>
      <c r="L329" s="72">
        <f>IF(INDEX('TT Around time'!$A$1:$F$46,MATCH($A329,'TT Around time'!$A:$A,0),6)&gt;='Discount Scheme Target'!$I$4,_xlfn.XLOOKUP(Workings!$E329,'Discount Scheme Target'!$B:$B,'Discount Scheme Target'!$I:$I,0,0),0)</f>
        <v>5.0000000000000001E-3</v>
      </c>
      <c r="M329" s="72">
        <f t="shared" si="49"/>
        <v>5.0000000000000001E-3</v>
      </c>
      <c r="N329" s="62">
        <f t="shared" si="56"/>
        <v>7630.669900359595</v>
      </c>
      <c r="T329" s="61">
        <f t="shared" si="50"/>
        <v>0</v>
      </c>
      <c r="U329" s="61">
        <f t="shared" si="51"/>
        <v>0</v>
      </c>
      <c r="V329" s="61">
        <f t="shared" si="52"/>
        <v>0</v>
      </c>
      <c r="W329" s="61">
        <f t="shared" si="53"/>
        <v>7630.669900359595</v>
      </c>
      <c r="X329" s="61">
        <f t="shared" si="54"/>
        <v>7630.669900359595</v>
      </c>
      <c r="Y329" s="61">
        <f t="shared" si="55"/>
        <v>0</v>
      </c>
    </row>
    <row r="330" spans="1:25" x14ac:dyDescent="0.25">
      <c r="A330" s="51">
        <v>2091006005</v>
      </c>
      <c r="B330" s="51" t="s">
        <v>102</v>
      </c>
      <c r="C330" s="51" t="s">
        <v>145</v>
      </c>
      <c r="D330" s="51" t="s">
        <v>141</v>
      </c>
      <c r="E330" s="51" t="s">
        <v>132</v>
      </c>
      <c r="F330" s="52">
        <f>SUMIF('Customer Budget Per Category'!$A:$A,$A330,'Customer Budget Per Category'!$N:$N)</f>
        <v>180.21985288357021</v>
      </c>
      <c r="G330" s="52">
        <f>SUMIFS('Navision sales Dump'!$E:$E,'Navision sales Dump'!$K:$K,$E330,'Navision sales Dump'!$A:$A,$A330)</f>
        <v>0</v>
      </c>
      <c r="H330" s="62">
        <f>SUMIFS('Navision sales Dump'!$G:$G,'Navision sales Dump'!$K:$K,$E330,'Navision sales Dump'!$A:$A,$A330)</f>
        <v>0</v>
      </c>
      <c r="I330" s="72">
        <f>IFERROR(IF(($G330/$F330)&gt;='Discount Scheme Target'!$F$4,_xlfn.XLOOKUP($E330,'Discount Scheme Target'!$B:$B,'Discount Scheme Target'!$F:$F,0,0),IF(($G330/$F330)&gt;='Discount Scheme Target'!$E$4,_xlfn.XLOOKUP($E330,'Discount Scheme Target'!$B:$B,'Discount Scheme Target'!$E:$E,0,0),IF(($G330/$F330)&gt;='Discount Scheme Target'!$D$4,_xlfn.XLOOKUP($E330,'Discount Scheme Target'!$B:$B,'Discount Scheme Target'!$D:$D,0,0),0))),0)</f>
        <v>0</v>
      </c>
      <c r="J330" s="72">
        <f>IF(SUMIF('Customer Num Distr.'!$A:$A,Workings!$A330,'Customer Num Distr.'!$E:$E)&gt;='Discount Scheme Target'!$G$4,_xlfn.XLOOKUP(Workings!$E330,'Discount Scheme Target'!$B:$B,'Discount Scheme Target'!$G:$G,0,0),0)</f>
        <v>0</v>
      </c>
      <c r="K330" s="72">
        <f>IF(SUMIF('Bouclage EG Cust Cons_Decons'!$A:$A,Workings!$A330,'Bouclage EG Cust Cons_Decons'!$F:$F)&gt;='Discount Scheme Target'!$H$4,_xlfn.XLOOKUP(Workings!$E330,'Discount Scheme Target'!$B:$B,'Discount Scheme Target'!$H:$H,0,0),0)</f>
        <v>0</v>
      </c>
      <c r="L330" s="72">
        <f>IF(INDEX('TT Around time'!$A$1:$F$46,MATCH($A330,'TT Around time'!$A:$A,0),6)&gt;='Discount Scheme Target'!$I$4,_xlfn.XLOOKUP(Workings!$E330,'Discount Scheme Target'!$B:$B,'Discount Scheme Target'!$I:$I,0,0),0)</f>
        <v>5.0000000000000001E-3</v>
      </c>
      <c r="M330" s="72">
        <f t="shared" si="49"/>
        <v>5.0000000000000001E-3</v>
      </c>
      <c r="N330" s="62">
        <f t="shared" si="56"/>
        <v>0</v>
      </c>
      <c r="T330" s="61">
        <f t="shared" si="50"/>
        <v>0</v>
      </c>
      <c r="U330" s="61">
        <f t="shared" si="51"/>
        <v>0</v>
      </c>
      <c r="V330" s="61">
        <f t="shared" si="52"/>
        <v>0</v>
      </c>
      <c r="W330" s="61">
        <f t="shared" si="53"/>
        <v>0</v>
      </c>
      <c r="X330" s="61">
        <f t="shared" si="54"/>
        <v>0</v>
      </c>
      <c r="Y330" s="61">
        <f t="shared" si="55"/>
        <v>0</v>
      </c>
    </row>
    <row r="331" spans="1:25" x14ac:dyDescent="0.25">
      <c r="A331" s="51">
        <v>2091006005</v>
      </c>
      <c r="B331" s="51" t="s">
        <v>102</v>
      </c>
      <c r="C331" s="51" t="s">
        <v>145</v>
      </c>
      <c r="D331" s="51" t="s">
        <v>141</v>
      </c>
      <c r="E331" s="51" t="s">
        <v>133</v>
      </c>
      <c r="F331" s="52">
        <f>SUMIF('Customer Budget Per Category'!$A:$A,$A331,'Customer Budget Per Category'!$O:$O)</f>
        <v>168.31341450050289</v>
      </c>
      <c r="G331" s="52">
        <f>SUMIFS('Navision sales Dump'!$E:$E,'Navision sales Dump'!$K:$K,$E331,'Navision sales Dump'!$A:$A,$A331)</f>
        <v>72</v>
      </c>
      <c r="H331" s="62">
        <f>SUMIFS('Navision sales Dump'!$G:$G,'Navision sales Dump'!$K:$K,$E331,'Navision sales Dump'!$A:$A,$A331)</f>
        <v>721971.36</v>
      </c>
      <c r="I331" s="72">
        <f>IFERROR(IF(($G331/$F331)&gt;='Discount Scheme Target'!$F$4,_xlfn.XLOOKUP($E331,'Discount Scheme Target'!$B:$B,'Discount Scheme Target'!$F:$F,0,0),IF(($G331/$F331)&gt;='Discount Scheme Target'!$E$4,_xlfn.XLOOKUP($E331,'Discount Scheme Target'!$B:$B,'Discount Scheme Target'!$E:$E,0,0),IF(($G331/$F331)&gt;='Discount Scheme Target'!$D$4,_xlfn.XLOOKUP($E331,'Discount Scheme Target'!$B:$B,'Discount Scheme Target'!$D:$D,0,0),0))),0)</f>
        <v>0</v>
      </c>
      <c r="J331" s="72">
        <f>IF(SUMIF('Customer Num Distr.'!$A:$A,Workings!$A331,'Customer Num Distr.'!$E:$E)&gt;='Discount Scheme Target'!$G$4,_xlfn.XLOOKUP(Workings!$E331,'Discount Scheme Target'!$B:$B,'Discount Scheme Target'!$G:$G,0,0),0)</f>
        <v>0</v>
      </c>
      <c r="K331" s="72">
        <f>IF(SUMIF('Bouclage EG Cust Cons_Decons'!$A:$A,Workings!$A331,'Bouclage EG Cust Cons_Decons'!$F:$F)&gt;='Discount Scheme Target'!$H$4,_xlfn.XLOOKUP(Workings!$E331,'Discount Scheme Target'!$B:$B,'Discount Scheme Target'!$H:$H,0,0),0)</f>
        <v>0</v>
      </c>
      <c r="L331" s="72">
        <f>IF(INDEX('TT Around time'!$A$1:$F$46,MATCH($A331,'TT Around time'!$A:$A,0),6)&gt;='Discount Scheme Target'!$I$4,_xlfn.XLOOKUP(Workings!$E331,'Discount Scheme Target'!$B:$B,'Discount Scheme Target'!$I:$I,0,0),0)</f>
        <v>5.0000000000000001E-3</v>
      </c>
      <c r="M331" s="72">
        <f t="shared" si="49"/>
        <v>5.0000000000000001E-3</v>
      </c>
      <c r="N331" s="62">
        <f t="shared" si="56"/>
        <v>8438.7128314702622</v>
      </c>
      <c r="T331" s="61">
        <f t="shared" si="50"/>
        <v>0</v>
      </c>
      <c r="U331" s="61">
        <f t="shared" si="51"/>
        <v>0</v>
      </c>
      <c r="V331" s="61">
        <f t="shared" si="52"/>
        <v>0</v>
      </c>
      <c r="W331" s="61">
        <f t="shared" si="53"/>
        <v>8438.7128314702622</v>
      </c>
      <c r="X331" s="61">
        <f t="shared" si="54"/>
        <v>8438.7128314702622</v>
      </c>
      <c r="Y331" s="61">
        <f t="shared" si="55"/>
        <v>0</v>
      </c>
    </row>
    <row r="332" spans="1:25" x14ac:dyDescent="0.25">
      <c r="A332" s="51">
        <v>2300002296</v>
      </c>
      <c r="B332" s="51" t="s">
        <v>150</v>
      </c>
      <c r="C332" s="51" t="s">
        <v>145</v>
      </c>
      <c r="D332" s="51" t="s">
        <v>141</v>
      </c>
      <c r="E332" s="51" t="s">
        <v>417</v>
      </c>
      <c r="F332" s="52">
        <f>SUMIF('Customer Budget Per Category'!$A:$A,$A332,'Customer Budget Per Category'!$E:$E)</f>
        <v>7489.6273126152882</v>
      </c>
      <c r="G332" s="52">
        <f>SUMIFS('Navision sales Dump'!$E:$E,'Navision sales Dump'!$K:$K,$E332,'Navision sales Dump'!$A:$A,$A332)</f>
        <v>6780</v>
      </c>
      <c r="H332" s="62">
        <f>SUMIFS('Navision sales Dump'!$G:$G,'Navision sales Dump'!$K:$K,$E332,'Navision sales Dump'!$A:$A,$A332)</f>
        <v>48114593.689999998</v>
      </c>
      <c r="I332" s="72">
        <f>IFERROR(IF(($G332/$F332)&gt;='Discount Scheme Target'!$F$4,_xlfn.XLOOKUP($E332,'Discount Scheme Target'!$B:$B,'Discount Scheme Target'!$F:$F,0,0),IF(($G332/$F332)&gt;='Discount Scheme Target'!$E$4,_xlfn.XLOOKUP($E332,'Discount Scheme Target'!$B:$B,'Discount Scheme Target'!$E:$E,0,0),IF(($G332/$F332)&gt;='Discount Scheme Target'!$D$4,_xlfn.XLOOKUP($E332,'Discount Scheme Target'!$B:$B,'Discount Scheme Target'!$D:$D,0,0),0))),0)</f>
        <v>0</v>
      </c>
      <c r="J332" s="72">
        <f>IF(SUMIF('Customer Num Distr.'!$A:$A,Workings!$A332,'Customer Num Distr.'!$E:$E)&gt;='Discount Scheme Target'!$G$4,_xlfn.XLOOKUP(Workings!$E332,'Discount Scheme Target'!$B:$B,'Discount Scheme Target'!$G:$G,0,0),0)</f>
        <v>0</v>
      </c>
      <c r="K332" s="72">
        <f>IF(SUMIF('Bouclage EG Cust Cons_Decons'!$A:$A,Workings!$A332,'Bouclage EG Cust Cons_Decons'!$F:$F)&gt;='Discount Scheme Target'!$H$4,_xlfn.XLOOKUP(Workings!$E332,'Discount Scheme Target'!$B:$B,'Discount Scheme Target'!$H:$H,0,0),0)</f>
        <v>0</v>
      </c>
      <c r="L332" s="72">
        <f>IF(INDEX('TT Around time'!$A$1:$F$46,MATCH($A332,'TT Around time'!$A:$A,0),6)&gt;='Discount Scheme Target'!$I$4,_xlfn.XLOOKUP(Workings!$E332,'Discount Scheme Target'!$B:$B,'Discount Scheme Target'!$I:$I,0,0),0)</f>
        <v>0.01</v>
      </c>
      <c r="M332" s="72">
        <f t="shared" si="49"/>
        <v>0.01</v>
      </c>
      <c r="N332" s="62">
        <f t="shared" si="56"/>
        <v>531504.97792922007</v>
      </c>
      <c r="T332" s="61">
        <f t="shared" si="50"/>
        <v>0</v>
      </c>
      <c r="U332" s="61">
        <f t="shared" si="51"/>
        <v>0</v>
      </c>
      <c r="V332" s="61">
        <f t="shared" si="52"/>
        <v>0</v>
      </c>
      <c r="W332" s="61">
        <f t="shared" si="53"/>
        <v>531504.97792922007</v>
      </c>
      <c r="X332" s="61">
        <f t="shared" si="54"/>
        <v>531504.97792922007</v>
      </c>
      <c r="Y332" s="61">
        <f t="shared" si="55"/>
        <v>0</v>
      </c>
    </row>
    <row r="333" spans="1:25" x14ac:dyDescent="0.25">
      <c r="A333" s="51">
        <v>2300002296</v>
      </c>
      <c r="B333" s="51" t="s">
        <v>150</v>
      </c>
      <c r="C333" s="51" t="s">
        <v>145</v>
      </c>
      <c r="D333" s="51" t="s">
        <v>141</v>
      </c>
      <c r="E333" s="51" t="s">
        <v>418</v>
      </c>
      <c r="F333" s="52">
        <f>SUMIF('Customer Budget Per Category'!$A:$A,$A333,'Customer Budget Per Category'!$F:$F)</f>
        <v>0</v>
      </c>
      <c r="G333" s="52">
        <f>SUMIFS('Navision sales Dump'!$E:$E,'Navision sales Dump'!$K:$K,$E333,'Navision sales Dump'!$A:$A,$A333)</f>
        <v>0</v>
      </c>
      <c r="H333" s="62">
        <f>SUMIFS('Navision sales Dump'!$G:$G,'Navision sales Dump'!$K:$K,$E333,'Navision sales Dump'!$A:$A,$A333)</f>
        <v>0</v>
      </c>
      <c r="I333" s="72">
        <f>IFERROR(IF(($G333/$F333)&gt;='Discount Scheme Target'!$F$4,_xlfn.XLOOKUP($E333,'Discount Scheme Target'!$B:$B,'Discount Scheme Target'!$F:$F,0,0),IF(($G333/$F333)&gt;='Discount Scheme Target'!$E$4,_xlfn.XLOOKUP($E333,'Discount Scheme Target'!$B:$B,'Discount Scheme Target'!$E:$E,0,0),IF(($G333/$F333)&gt;='Discount Scheme Target'!$D$4,_xlfn.XLOOKUP($E333,'Discount Scheme Target'!$B:$B,'Discount Scheme Target'!$D:$D,0,0),0))),0)</f>
        <v>0</v>
      </c>
      <c r="J333" s="72">
        <f>IF(SUMIF('Customer Num Distr.'!$A:$A,Workings!$A333,'Customer Num Distr.'!$E:$E)&gt;='Discount Scheme Target'!$G$4,_xlfn.XLOOKUP(Workings!$E333,'Discount Scheme Target'!$B:$B,'Discount Scheme Target'!$G:$G,0,0),0)</f>
        <v>0</v>
      </c>
      <c r="K333" s="72">
        <f>IF(SUMIF('Bouclage EG Cust Cons_Decons'!$A:$A,Workings!$A333,'Bouclage EG Cust Cons_Decons'!$F:$F)&gt;='Discount Scheme Target'!$H$4,_xlfn.XLOOKUP(Workings!$E333,'Discount Scheme Target'!$B:$B,'Discount Scheme Target'!$H:$H,0,0),0)</f>
        <v>0</v>
      </c>
      <c r="L333" s="72">
        <f>IF(INDEX('TT Around time'!$A$1:$F$46,MATCH($A333,'TT Around time'!$A:$A,0),6)&gt;='Discount Scheme Target'!$I$4,_xlfn.XLOOKUP(Workings!$E333,'Discount Scheme Target'!$B:$B,'Discount Scheme Target'!$I:$I,0,0),0)</f>
        <v>0</v>
      </c>
      <c r="M333" s="72">
        <f t="shared" si="49"/>
        <v>0</v>
      </c>
      <c r="N333" s="62">
        <f t="shared" si="56"/>
        <v>0</v>
      </c>
      <c r="T333" s="61">
        <f t="shared" si="50"/>
        <v>0</v>
      </c>
      <c r="U333" s="61">
        <f t="shared" si="51"/>
        <v>0</v>
      </c>
      <c r="V333" s="61">
        <f t="shared" si="52"/>
        <v>0</v>
      </c>
      <c r="W333" s="61">
        <f t="shared" si="53"/>
        <v>0</v>
      </c>
      <c r="X333" s="61">
        <f t="shared" si="54"/>
        <v>0</v>
      </c>
      <c r="Y333" s="61">
        <f t="shared" si="55"/>
        <v>0</v>
      </c>
    </row>
    <row r="334" spans="1:25" x14ac:dyDescent="0.25">
      <c r="A334" s="51">
        <v>2300002296</v>
      </c>
      <c r="B334" s="51" t="s">
        <v>150</v>
      </c>
      <c r="C334" s="51" t="s">
        <v>145</v>
      </c>
      <c r="D334" s="51" t="s">
        <v>141</v>
      </c>
      <c r="E334" s="51" t="s">
        <v>130</v>
      </c>
      <c r="F334" s="52">
        <f>SUMIF('Customer Budget Per Category'!$A:$A,$A334,'Customer Budget Per Category'!$G:$G)</f>
        <v>253</v>
      </c>
      <c r="G334" s="52">
        <f>SUMIFS('Navision sales Dump'!$E:$E,'Navision sales Dump'!$K:$K,$E334,'Navision sales Dump'!$A:$A,$A334)</f>
        <v>214</v>
      </c>
      <c r="H334" s="62">
        <f>SUMIFS('Navision sales Dump'!$G:$G,'Navision sales Dump'!$K:$K,$E334,'Navision sales Dump'!$A:$A,$A334)</f>
        <v>1653218.48</v>
      </c>
      <c r="I334" s="72">
        <f>IFERROR(IF(($G334/$F334)&gt;='Discount Scheme Target'!$F$4,_xlfn.XLOOKUP($E334,'Discount Scheme Target'!$B:$B,'Discount Scheme Target'!$F:$F,0,0),IF(($G334/$F334)&gt;='Discount Scheme Target'!$E$4,_xlfn.XLOOKUP($E334,'Discount Scheme Target'!$B:$B,'Discount Scheme Target'!$E:$E,0,0),IF(($G334/$F334)&gt;='Discount Scheme Target'!$D$4,_xlfn.XLOOKUP($E334,'Discount Scheme Target'!$B:$B,'Discount Scheme Target'!$D:$D,0,0),0))),0)</f>
        <v>0</v>
      </c>
      <c r="J334" s="72">
        <f>IF(SUMIF('Customer Num Distr.'!$A:$A,Workings!$A334,'Customer Num Distr.'!$E:$E)&gt;='Discount Scheme Target'!$G$4,_xlfn.XLOOKUP(Workings!$E334,'Discount Scheme Target'!$B:$B,'Discount Scheme Target'!$G:$G,0,0),0)</f>
        <v>0</v>
      </c>
      <c r="K334" s="72">
        <f>IF(SUMIF('Bouclage EG Cust Cons_Decons'!$A:$A,Workings!$A334,'Bouclage EG Cust Cons_Decons'!$F:$F)&gt;='Discount Scheme Target'!$H$4,_xlfn.XLOOKUP(Workings!$E334,'Discount Scheme Target'!$B:$B,'Discount Scheme Target'!$H:$H,0,0),0)</f>
        <v>0</v>
      </c>
      <c r="L334" s="72">
        <f>IF(INDEX('TT Around time'!$A$1:$F$46,MATCH($A334,'TT Around time'!$A:$A,0),6)&gt;='Discount Scheme Target'!$I$4,_xlfn.XLOOKUP(Workings!$E334,'Discount Scheme Target'!$B:$B,'Discount Scheme Target'!$I:$I,0,0),0)</f>
        <v>0.01</v>
      </c>
      <c r="M334" s="72">
        <f t="shared" si="49"/>
        <v>0.01</v>
      </c>
      <c r="N334" s="62">
        <f t="shared" si="56"/>
        <v>19545.059600000001</v>
      </c>
      <c r="T334" s="61">
        <f t="shared" si="50"/>
        <v>0</v>
      </c>
      <c r="U334" s="61">
        <f t="shared" si="51"/>
        <v>0</v>
      </c>
      <c r="V334" s="61">
        <f t="shared" si="52"/>
        <v>0</v>
      </c>
      <c r="W334" s="61">
        <f t="shared" si="53"/>
        <v>19545.059600000001</v>
      </c>
      <c r="X334" s="61">
        <f t="shared" si="54"/>
        <v>19545.059600000001</v>
      </c>
      <c r="Y334" s="61">
        <f t="shared" si="55"/>
        <v>0</v>
      </c>
    </row>
    <row r="335" spans="1:25" x14ac:dyDescent="0.25">
      <c r="A335" s="51">
        <v>2300002296</v>
      </c>
      <c r="B335" s="51" t="s">
        <v>150</v>
      </c>
      <c r="C335" s="51" t="s">
        <v>145</v>
      </c>
      <c r="D335" s="51" t="s">
        <v>141</v>
      </c>
      <c r="E335" s="51" t="s">
        <v>131</v>
      </c>
      <c r="F335" s="52">
        <f>SUMIF('Customer Budget Per Category'!$A:$A,$A335,'Customer Budget Per Category'!$H:$H)</f>
        <v>84</v>
      </c>
      <c r="G335" s="52">
        <f>SUMIFS('Navision sales Dump'!$E:$E,'Navision sales Dump'!$K:$K,$E335,'Navision sales Dump'!$A:$A,$A335)</f>
        <v>65</v>
      </c>
      <c r="H335" s="62">
        <f>SUMIFS('Navision sales Dump'!$G:$G,'Navision sales Dump'!$K:$K,$E335,'Navision sales Dump'!$A:$A,$A335)</f>
        <v>2654575.5</v>
      </c>
      <c r="I335" s="72">
        <f>IFERROR(IF(($G335/$F335)&gt;='Discount Scheme Target'!$F$4,_xlfn.XLOOKUP($E335,'Discount Scheme Target'!$B:$B,'Discount Scheme Target'!$F:$F,0,0),IF(($G335/$F335)&gt;='Discount Scheme Target'!$E$4,_xlfn.XLOOKUP($E335,'Discount Scheme Target'!$B:$B,'Discount Scheme Target'!$E:$E,0,0),IF(($G335/$F335)&gt;='Discount Scheme Target'!$D$4,_xlfn.XLOOKUP($E335,'Discount Scheme Target'!$B:$B,'Discount Scheme Target'!$D:$D,0,0),0))),0)</f>
        <v>0</v>
      </c>
      <c r="J335" s="72">
        <f>IF(SUMIF('Customer Num Distr.'!$A:$A,Workings!$A335,'Customer Num Distr.'!$E:$E)&gt;='Discount Scheme Target'!$G$4,_xlfn.XLOOKUP(Workings!$E335,'Discount Scheme Target'!$B:$B,'Discount Scheme Target'!$G:$G,0,0),0)</f>
        <v>0</v>
      </c>
      <c r="K335" s="72">
        <f>IF(SUMIF('Bouclage EG Cust Cons_Decons'!$A:$A,Workings!$A335,'Bouclage EG Cust Cons_Decons'!$F:$F)&gt;='Discount Scheme Target'!$H$4,_xlfn.XLOOKUP(Workings!$E335,'Discount Scheme Target'!$B:$B,'Discount Scheme Target'!$H:$H,0,0),0)</f>
        <v>0</v>
      </c>
      <c r="L335" s="72">
        <f>IF(INDEX('TT Around time'!$A$1:$F$46,MATCH($A335,'TT Around time'!$A:$A,0),6)&gt;='Discount Scheme Target'!$I$4,_xlfn.XLOOKUP(Workings!$E335,'Discount Scheme Target'!$B:$B,'Discount Scheme Target'!$I:$I,0,0),0)</f>
        <v>5.0000000000000001E-3</v>
      </c>
      <c r="M335" s="72">
        <f t="shared" si="49"/>
        <v>5.0000000000000001E-3</v>
      </c>
      <c r="N335" s="62">
        <f t="shared" si="56"/>
        <v>17152.64169230769</v>
      </c>
      <c r="T335" s="61">
        <f t="shared" si="50"/>
        <v>0</v>
      </c>
      <c r="U335" s="61">
        <f t="shared" si="51"/>
        <v>0</v>
      </c>
      <c r="V335" s="61">
        <f t="shared" si="52"/>
        <v>0</v>
      </c>
      <c r="W335" s="61">
        <f t="shared" si="53"/>
        <v>17152.64169230769</v>
      </c>
      <c r="X335" s="61">
        <f t="shared" si="54"/>
        <v>17152.64169230769</v>
      </c>
      <c r="Y335" s="61">
        <f t="shared" si="55"/>
        <v>0</v>
      </c>
    </row>
    <row r="336" spans="1:25" x14ac:dyDescent="0.25">
      <c r="A336" s="51">
        <v>2300002296</v>
      </c>
      <c r="B336" s="51" t="s">
        <v>150</v>
      </c>
      <c r="C336" s="51" t="s">
        <v>145</v>
      </c>
      <c r="D336" s="51" t="s">
        <v>141</v>
      </c>
      <c r="E336" s="51" t="s">
        <v>514</v>
      </c>
      <c r="F336" s="52">
        <f>SUMIF('Customer Budget Per Category'!$A:$A,$A336,'Customer Budget Per Category'!$I:$I)</f>
        <v>3149</v>
      </c>
      <c r="G336" s="52">
        <f>SUMIFS('Navision sales Dump'!$E:$E,'Navision sales Dump'!$K:$K,$E336,'Navision sales Dump'!$A:$A,$A336)</f>
        <v>2297</v>
      </c>
      <c r="H336" s="62">
        <f>SUMIFS('Navision sales Dump'!$G:$G,'Navision sales Dump'!$K:$K,$E336,'Navision sales Dump'!$A:$A,$A336)</f>
        <v>9091594.9100000001</v>
      </c>
      <c r="I336" s="72">
        <f>IFERROR(IF(($G336/$F336)&gt;='Discount Scheme Target'!$F$4,_xlfn.XLOOKUP($E336,'Discount Scheme Target'!$B:$B,'Discount Scheme Target'!$F:$F,0,0),IF(($G336/$F336)&gt;='Discount Scheme Target'!$E$4,_xlfn.XLOOKUP($E336,'Discount Scheme Target'!$B:$B,'Discount Scheme Target'!$E:$E,0,0),IF(($G336/$F336)&gt;='Discount Scheme Target'!$D$4,_xlfn.XLOOKUP($E336,'Discount Scheme Target'!$B:$B,'Discount Scheme Target'!$D:$D,0,0),0))),0)</f>
        <v>0</v>
      </c>
      <c r="J336" s="72">
        <f>IF(SUMIF('Customer Num Distr.'!$A:$A,Workings!$A336,'Customer Num Distr.'!$E:$E)&gt;='Discount Scheme Target'!$G$4,_xlfn.XLOOKUP(Workings!$E336,'Discount Scheme Target'!$B:$B,'Discount Scheme Target'!$G:$G,0,0),0)</f>
        <v>0</v>
      </c>
      <c r="K336" s="72">
        <f>IF(SUMIF('Bouclage EG Cust Cons_Decons'!$A:$A,Workings!$A336,'Bouclage EG Cust Cons_Decons'!$F:$F)&gt;='Discount Scheme Target'!$H$4,_xlfn.XLOOKUP(Workings!$E336,'Discount Scheme Target'!$B:$B,'Discount Scheme Target'!$H:$H,0,0),0)</f>
        <v>0</v>
      </c>
      <c r="L336" s="72">
        <f>IF(INDEX('TT Around time'!$A$1:$F$46,MATCH($A336,'TT Around time'!$A:$A,0),6)&gt;='Discount Scheme Target'!$I$4,_xlfn.XLOOKUP(Workings!$E336,'Discount Scheme Target'!$B:$B,'Discount Scheme Target'!$I:$I,0,0),0)</f>
        <v>5.0000000000000001E-3</v>
      </c>
      <c r="M336" s="72">
        <f t="shared" si="49"/>
        <v>5.0000000000000001E-3</v>
      </c>
      <c r="N336" s="62">
        <f t="shared" si="56"/>
        <v>62319.182350000003</v>
      </c>
      <c r="T336" s="61">
        <f t="shared" si="50"/>
        <v>0</v>
      </c>
      <c r="U336" s="61">
        <f t="shared" si="51"/>
        <v>0</v>
      </c>
      <c r="V336" s="61">
        <f t="shared" si="52"/>
        <v>0</v>
      </c>
      <c r="W336" s="61">
        <f t="shared" si="53"/>
        <v>62319.182350000003</v>
      </c>
      <c r="X336" s="61">
        <f t="shared" si="54"/>
        <v>62319.182350000003</v>
      </c>
      <c r="Y336" s="61">
        <f t="shared" si="55"/>
        <v>0</v>
      </c>
    </row>
    <row r="337" spans="1:25" x14ac:dyDescent="0.25">
      <c r="A337" s="51">
        <v>2300002296</v>
      </c>
      <c r="B337" s="51" t="s">
        <v>150</v>
      </c>
      <c r="C337" s="51" t="s">
        <v>145</v>
      </c>
      <c r="D337" s="51" t="s">
        <v>141</v>
      </c>
      <c r="E337" s="51" t="s">
        <v>515</v>
      </c>
      <c r="F337" s="52">
        <f>SUMIF('Customer Budget Per Category'!$A:$A,$A337,'Customer Budget Per Category'!$J:$J)</f>
        <v>552</v>
      </c>
      <c r="G337" s="52">
        <f>SUMIFS('Navision sales Dump'!$E:$E,'Navision sales Dump'!$K:$K,$E337,'Navision sales Dump'!$A:$A,$A337)</f>
        <v>575</v>
      </c>
      <c r="H337" s="62">
        <f>SUMIFS('Navision sales Dump'!$G:$G,'Navision sales Dump'!$K:$K,$E337,'Navision sales Dump'!$A:$A,$A337)</f>
        <v>1623167.5</v>
      </c>
      <c r="I337" s="72">
        <f>IFERROR(IF(($G337/$F337)&gt;='Discount Scheme Target'!$F$4,_xlfn.XLOOKUP($E337,'Discount Scheme Target'!$B:$B,'Discount Scheme Target'!$F:$F,0,0),IF(($G337/$F337)&gt;='Discount Scheme Target'!$E$4,_xlfn.XLOOKUP($E337,'Discount Scheme Target'!$B:$B,'Discount Scheme Target'!$E:$E,0,0),IF(($G337/$F337)&gt;='Discount Scheme Target'!$D$4,_xlfn.XLOOKUP($E337,'Discount Scheme Target'!$B:$B,'Discount Scheme Target'!$D:$D,0,0),0))),0)</f>
        <v>0.01</v>
      </c>
      <c r="J337" s="72">
        <f>IF(SUMIF('Customer Num Distr.'!$A:$A,Workings!$A337,'Customer Num Distr.'!$E:$E)&gt;='Discount Scheme Target'!$G$4,_xlfn.XLOOKUP(Workings!$E337,'Discount Scheme Target'!$B:$B,'Discount Scheme Target'!$G:$G,0,0),0)</f>
        <v>0</v>
      </c>
      <c r="K337" s="72">
        <f>IF(SUMIF('Bouclage EG Cust Cons_Decons'!$A:$A,Workings!$A337,'Bouclage EG Cust Cons_Decons'!$F:$F)&gt;='Discount Scheme Target'!$H$4,_xlfn.XLOOKUP(Workings!$E337,'Discount Scheme Target'!$B:$B,'Discount Scheme Target'!$H:$H,0,0),0)</f>
        <v>0</v>
      </c>
      <c r="L337" s="72">
        <f>IF(INDEX('TT Around time'!$A$1:$F$46,MATCH($A337,'TT Around time'!$A:$A,0),6)&gt;='Discount Scheme Target'!$I$4,_xlfn.XLOOKUP(Workings!$E337,'Discount Scheme Target'!$B:$B,'Discount Scheme Target'!$I:$I,0,0),0)</f>
        <v>5.0000000000000001E-3</v>
      </c>
      <c r="M337" s="72">
        <f t="shared" si="49"/>
        <v>1.4999999999999999E-2</v>
      </c>
      <c r="N337" s="62">
        <f t="shared" si="56"/>
        <v>23373.612000000001</v>
      </c>
      <c r="T337" s="61">
        <f t="shared" si="50"/>
        <v>15582.408000000001</v>
      </c>
      <c r="U337" s="61">
        <f t="shared" si="51"/>
        <v>0</v>
      </c>
      <c r="V337" s="61">
        <f t="shared" si="52"/>
        <v>0</v>
      </c>
      <c r="W337" s="61">
        <f t="shared" si="53"/>
        <v>7791.2040000000006</v>
      </c>
      <c r="X337" s="61">
        <f t="shared" si="54"/>
        <v>23373.612000000001</v>
      </c>
      <c r="Y337" s="61">
        <f t="shared" si="55"/>
        <v>0</v>
      </c>
    </row>
    <row r="338" spans="1:25" x14ac:dyDescent="0.25">
      <c r="A338" s="51">
        <v>2300002296</v>
      </c>
      <c r="B338" s="51" t="s">
        <v>150</v>
      </c>
      <c r="C338" s="51" t="s">
        <v>145</v>
      </c>
      <c r="D338" s="51" t="s">
        <v>141</v>
      </c>
      <c r="E338" s="51" t="s">
        <v>161</v>
      </c>
      <c r="F338" s="52">
        <f>SUMIF('Customer Budget Per Category'!$A:$A,$A338,'Customer Budget Per Category'!$K:$K)</f>
        <v>0</v>
      </c>
      <c r="G338" s="52">
        <f>SUMIFS('Navision sales Dump'!$E:$E,'Navision sales Dump'!$K:$K,$E338,'Navision sales Dump'!$A:$A,$A338)</f>
        <v>0</v>
      </c>
      <c r="H338" s="62">
        <f>SUMIFS('Navision sales Dump'!$G:$G,'Navision sales Dump'!$K:$K,$E338,'Navision sales Dump'!$A:$A,$A338)</f>
        <v>0</v>
      </c>
      <c r="I338" s="72">
        <f>IFERROR(IF(($G338/$F338)&gt;='Discount Scheme Target'!$F$4,_xlfn.XLOOKUP($E338,'Discount Scheme Target'!$B:$B,'Discount Scheme Target'!$F:$F,0,0),IF(($G338/$F338)&gt;='Discount Scheme Target'!$E$4,_xlfn.XLOOKUP($E338,'Discount Scheme Target'!$B:$B,'Discount Scheme Target'!$E:$E,0,0),IF(($G338/$F338)&gt;='Discount Scheme Target'!$D$4,_xlfn.XLOOKUP($E338,'Discount Scheme Target'!$B:$B,'Discount Scheme Target'!$D:$D,0,0),0))),0)</f>
        <v>0</v>
      </c>
      <c r="J338" s="72">
        <f>IF(SUMIF('Customer Num Distr.'!$A:$A,Workings!$A338,'Customer Num Distr.'!$E:$E)&gt;='Discount Scheme Target'!$G$4,_xlfn.XLOOKUP(Workings!$E338,'Discount Scheme Target'!$B:$B,'Discount Scheme Target'!$G:$G,0,0),0)</f>
        <v>0</v>
      </c>
      <c r="K338" s="72">
        <f>IF(SUMIF('Bouclage EG Cust Cons_Decons'!$A:$A,Workings!$A338,'Bouclage EG Cust Cons_Decons'!$F:$F)&gt;='Discount Scheme Target'!$H$4,_xlfn.XLOOKUP(Workings!$E338,'Discount Scheme Target'!$B:$B,'Discount Scheme Target'!$H:$H,0,0),0)</f>
        <v>0</v>
      </c>
      <c r="L338" s="72">
        <f>IF(INDEX('TT Around time'!$A$1:$F$46,MATCH($A338,'TT Around time'!$A:$A,0),6)&gt;='Discount Scheme Target'!$I$4,_xlfn.XLOOKUP(Workings!$E338,'Discount Scheme Target'!$B:$B,'Discount Scheme Target'!$I:$I,0,0),0)</f>
        <v>0</v>
      </c>
      <c r="M338" s="72">
        <f t="shared" si="49"/>
        <v>0</v>
      </c>
      <c r="N338" s="62">
        <f t="shared" si="56"/>
        <v>0</v>
      </c>
      <c r="T338" s="61">
        <f t="shared" si="50"/>
        <v>0</v>
      </c>
      <c r="U338" s="61">
        <f t="shared" si="51"/>
        <v>0</v>
      </c>
      <c r="V338" s="61">
        <f t="shared" si="52"/>
        <v>0</v>
      </c>
      <c r="W338" s="61">
        <f t="shared" si="53"/>
        <v>0</v>
      </c>
      <c r="X338" s="61">
        <f t="shared" si="54"/>
        <v>0</v>
      </c>
      <c r="Y338" s="61">
        <f t="shared" si="55"/>
        <v>0</v>
      </c>
    </row>
    <row r="339" spans="1:25" x14ac:dyDescent="0.25">
      <c r="A339" s="51">
        <v>2300002296</v>
      </c>
      <c r="B339" s="51" t="s">
        <v>150</v>
      </c>
      <c r="C339" s="51" t="s">
        <v>145</v>
      </c>
      <c r="D339" s="51" t="s">
        <v>141</v>
      </c>
      <c r="E339" s="51" t="s">
        <v>354</v>
      </c>
      <c r="F339" s="52">
        <f>SUMIF('Customer Budget Per Category'!$A:$A,$A339,'Customer Budget Per Category'!$L:$L)</f>
        <v>1489</v>
      </c>
      <c r="G339" s="52">
        <f>SUMIFS('Navision sales Dump'!$E:$E,'Navision sales Dump'!$K:$K,$E339,'Navision sales Dump'!$A:$A,$A339)</f>
        <v>718</v>
      </c>
      <c r="H339" s="62">
        <f>SUMIFS('Navision sales Dump'!$G:$G,'Navision sales Dump'!$K:$K,$E339,'Navision sales Dump'!$A:$A,$A339)</f>
        <v>2463214.96</v>
      </c>
      <c r="I339" s="72">
        <f>IFERROR(IF(($G339/$F339)&gt;='Discount Scheme Target'!$F$4,_xlfn.XLOOKUP($E339,'Discount Scheme Target'!$B:$B,'Discount Scheme Target'!$F:$F,0,0),IF(($G339/$F339)&gt;='Discount Scheme Target'!$E$4,_xlfn.XLOOKUP($E339,'Discount Scheme Target'!$B:$B,'Discount Scheme Target'!$E:$E,0,0),IF(($G339/$F339)&gt;='Discount Scheme Target'!$D$4,_xlfn.XLOOKUP($E339,'Discount Scheme Target'!$B:$B,'Discount Scheme Target'!$D:$D,0,0),0))),0)</f>
        <v>0</v>
      </c>
      <c r="J339" s="72">
        <f>IF(SUMIF('Customer Num Distr.'!$A:$A,Workings!$A339,'Customer Num Distr.'!$E:$E)&gt;='Discount Scheme Target'!$G$4,_xlfn.XLOOKUP(Workings!$E339,'Discount Scheme Target'!$B:$B,'Discount Scheme Target'!$G:$G,0,0),0)</f>
        <v>0</v>
      </c>
      <c r="K339" s="72">
        <f>IF(SUMIF('Bouclage EG Cust Cons_Decons'!$A:$A,Workings!$A339,'Bouclage EG Cust Cons_Decons'!$F:$F)&gt;='Discount Scheme Target'!$H$4,_xlfn.XLOOKUP(Workings!$E339,'Discount Scheme Target'!$B:$B,'Discount Scheme Target'!$H:$H,0,0),0)</f>
        <v>0</v>
      </c>
      <c r="L339" s="72">
        <f>IF(INDEX('TT Around time'!$A$1:$F$46,MATCH($A339,'TT Around time'!$A:$A,0),6)&gt;='Discount Scheme Target'!$I$4,_xlfn.XLOOKUP(Workings!$E339,'Discount Scheme Target'!$B:$B,'Discount Scheme Target'!$I:$I,0,0),0)</f>
        <v>5.0000000000000001E-3</v>
      </c>
      <c r="M339" s="72">
        <f t="shared" si="49"/>
        <v>5.0000000000000001E-3</v>
      </c>
      <c r="N339" s="62">
        <f t="shared" si="56"/>
        <v>25541.274898607244</v>
      </c>
      <c r="T339" s="61">
        <f t="shared" si="50"/>
        <v>0</v>
      </c>
      <c r="U339" s="61">
        <f t="shared" si="51"/>
        <v>0</v>
      </c>
      <c r="V339" s="61">
        <f t="shared" si="52"/>
        <v>0</v>
      </c>
      <c r="W339" s="61">
        <f t="shared" si="53"/>
        <v>25541.274898607244</v>
      </c>
      <c r="X339" s="61">
        <f t="shared" si="54"/>
        <v>25541.274898607244</v>
      </c>
      <c r="Y339" s="61">
        <f t="shared" si="55"/>
        <v>0</v>
      </c>
    </row>
    <row r="340" spans="1:25" x14ac:dyDescent="0.25">
      <c r="A340" s="51">
        <v>2300002296</v>
      </c>
      <c r="B340" s="51" t="s">
        <v>150</v>
      </c>
      <c r="C340" s="51" t="s">
        <v>145</v>
      </c>
      <c r="D340" s="51" t="s">
        <v>141</v>
      </c>
      <c r="E340" s="51" t="s">
        <v>355</v>
      </c>
      <c r="F340" s="52">
        <f>SUMIF('Customer Budget Per Category'!$A:$A,$A340,'Customer Budget Per Category'!$M:$M)</f>
        <v>788.30727554123325</v>
      </c>
      <c r="G340" s="52">
        <f>SUMIFS('Navision sales Dump'!$E:$E,'Navision sales Dump'!$K:$K,$E340,'Navision sales Dump'!$A:$A,$A340)</f>
        <v>574</v>
      </c>
      <c r="H340" s="62">
        <f>SUMIFS('Navision sales Dump'!$G:$G,'Navision sales Dump'!$K:$K,$E340,'Navision sales Dump'!$A:$A,$A340)</f>
        <v>1388867.62</v>
      </c>
      <c r="I340" s="72">
        <f>IFERROR(IF(($G340/$F340)&gt;='Discount Scheme Target'!$F$4,_xlfn.XLOOKUP($E340,'Discount Scheme Target'!$B:$B,'Discount Scheme Target'!$F:$F,0,0),IF(($G340/$F340)&gt;='Discount Scheme Target'!$E$4,_xlfn.XLOOKUP($E340,'Discount Scheme Target'!$B:$B,'Discount Scheme Target'!$E:$E,0,0),IF(($G340/$F340)&gt;='Discount Scheme Target'!$D$4,_xlfn.XLOOKUP($E340,'Discount Scheme Target'!$B:$B,'Discount Scheme Target'!$D:$D,0,0),0))),0)</f>
        <v>0</v>
      </c>
      <c r="J340" s="72">
        <f>IF(SUMIF('Customer Num Distr.'!$A:$A,Workings!$A340,'Customer Num Distr.'!$E:$E)&gt;='Discount Scheme Target'!$G$4,_xlfn.XLOOKUP(Workings!$E340,'Discount Scheme Target'!$B:$B,'Discount Scheme Target'!$G:$G,0,0),0)</f>
        <v>0</v>
      </c>
      <c r="K340" s="72">
        <f>IF(SUMIF('Bouclage EG Cust Cons_Decons'!$A:$A,Workings!$A340,'Bouclage EG Cust Cons_Decons'!$F:$F)&gt;='Discount Scheme Target'!$H$4,_xlfn.XLOOKUP(Workings!$E340,'Discount Scheme Target'!$B:$B,'Discount Scheme Target'!$H:$H,0,0),0)</f>
        <v>0</v>
      </c>
      <c r="L340" s="72">
        <f>IF(INDEX('TT Around time'!$A$1:$F$46,MATCH($A340,'TT Around time'!$A:$A,0),6)&gt;='Discount Scheme Target'!$I$4,_xlfn.XLOOKUP(Workings!$E340,'Discount Scheme Target'!$B:$B,'Discount Scheme Target'!$I:$I,0,0),0)</f>
        <v>5.0000000000000001E-3</v>
      </c>
      <c r="M340" s="72">
        <f t="shared" si="49"/>
        <v>5.0000000000000001E-3</v>
      </c>
      <c r="N340" s="62">
        <f t="shared" si="56"/>
        <v>9537.0596655891713</v>
      </c>
      <c r="T340" s="61">
        <f t="shared" si="50"/>
        <v>0</v>
      </c>
      <c r="U340" s="61">
        <f t="shared" si="51"/>
        <v>0</v>
      </c>
      <c r="V340" s="61">
        <f t="shared" si="52"/>
        <v>0</v>
      </c>
      <c r="W340" s="61">
        <f t="shared" si="53"/>
        <v>9537.0596655891713</v>
      </c>
      <c r="X340" s="61">
        <f t="shared" si="54"/>
        <v>9537.0596655891713</v>
      </c>
      <c r="Y340" s="61">
        <f t="shared" si="55"/>
        <v>0</v>
      </c>
    </row>
    <row r="341" spans="1:25" x14ac:dyDescent="0.25">
      <c r="A341" s="51">
        <v>2300002296</v>
      </c>
      <c r="B341" s="51" t="s">
        <v>150</v>
      </c>
      <c r="C341" s="51" t="s">
        <v>145</v>
      </c>
      <c r="D341" s="51" t="s">
        <v>141</v>
      </c>
      <c r="E341" s="51" t="s">
        <v>132</v>
      </c>
      <c r="F341" s="52">
        <f>SUMIF('Customer Budget Per Category'!$A:$A,$A341,'Customer Budget Per Category'!$N:$N)</f>
        <v>251</v>
      </c>
      <c r="G341" s="52">
        <f>SUMIFS('Navision sales Dump'!$E:$E,'Navision sales Dump'!$K:$K,$E341,'Navision sales Dump'!$A:$A,$A341)</f>
        <v>0</v>
      </c>
      <c r="H341" s="62">
        <f>SUMIFS('Navision sales Dump'!$G:$G,'Navision sales Dump'!$K:$K,$E341,'Navision sales Dump'!$A:$A,$A341)</f>
        <v>0</v>
      </c>
      <c r="I341" s="72">
        <f>IFERROR(IF(($G341/$F341)&gt;='Discount Scheme Target'!$F$4,_xlfn.XLOOKUP($E341,'Discount Scheme Target'!$B:$B,'Discount Scheme Target'!$F:$F,0,0),IF(($G341/$F341)&gt;='Discount Scheme Target'!$E$4,_xlfn.XLOOKUP($E341,'Discount Scheme Target'!$B:$B,'Discount Scheme Target'!$E:$E,0,0),IF(($G341/$F341)&gt;='Discount Scheme Target'!$D$4,_xlfn.XLOOKUP($E341,'Discount Scheme Target'!$B:$B,'Discount Scheme Target'!$D:$D,0,0),0))),0)</f>
        <v>0</v>
      </c>
      <c r="J341" s="72">
        <f>IF(SUMIF('Customer Num Distr.'!$A:$A,Workings!$A341,'Customer Num Distr.'!$E:$E)&gt;='Discount Scheme Target'!$G$4,_xlfn.XLOOKUP(Workings!$E341,'Discount Scheme Target'!$B:$B,'Discount Scheme Target'!$G:$G,0,0),0)</f>
        <v>0</v>
      </c>
      <c r="K341" s="72">
        <f>IF(SUMIF('Bouclage EG Cust Cons_Decons'!$A:$A,Workings!$A341,'Bouclage EG Cust Cons_Decons'!$F:$F)&gt;='Discount Scheme Target'!$H$4,_xlfn.XLOOKUP(Workings!$E341,'Discount Scheme Target'!$B:$B,'Discount Scheme Target'!$H:$H,0,0),0)</f>
        <v>0</v>
      </c>
      <c r="L341" s="72">
        <f>IF(INDEX('TT Around time'!$A$1:$F$46,MATCH($A341,'TT Around time'!$A:$A,0),6)&gt;='Discount Scheme Target'!$I$4,_xlfn.XLOOKUP(Workings!$E341,'Discount Scheme Target'!$B:$B,'Discount Scheme Target'!$I:$I,0,0),0)</f>
        <v>5.0000000000000001E-3</v>
      </c>
      <c r="M341" s="72">
        <f t="shared" si="49"/>
        <v>5.0000000000000001E-3</v>
      </c>
      <c r="N341" s="62">
        <f t="shared" si="56"/>
        <v>0</v>
      </c>
      <c r="T341" s="61">
        <f t="shared" si="50"/>
        <v>0</v>
      </c>
      <c r="U341" s="61">
        <f t="shared" si="51"/>
        <v>0</v>
      </c>
      <c r="V341" s="61">
        <f t="shared" si="52"/>
        <v>0</v>
      </c>
      <c r="W341" s="61">
        <f t="shared" si="53"/>
        <v>0</v>
      </c>
      <c r="X341" s="61">
        <f t="shared" si="54"/>
        <v>0</v>
      </c>
      <c r="Y341" s="61">
        <f t="shared" si="55"/>
        <v>0</v>
      </c>
    </row>
    <row r="342" spans="1:25" x14ac:dyDescent="0.25">
      <c r="A342" s="51">
        <v>2300002296</v>
      </c>
      <c r="B342" s="51" t="s">
        <v>150</v>
      </c>
      <c r="C342" s="51" t="s">
        <v>145</v>
      </c>
      <c r="D342" s="51" t="s">
        <v>141</v>
      </c>
      <c r="E342" s="51" t="s">
        <v>133</v>
      </c>
      <c r="F342" s="52">
        <f>SUMIF('Customer Budget Per Category'!$A:$A,$A342,'Customer Budget Per Category'!$O:$O)</f>
        <v>289</v>
      </c>
      <c r="G342" s="52">
        <f>SUMIFS('Navision sales Dump'!$E:$E,'Navision sales Dump'!$K:$K,$E342,'Navision sales Dump'!$A:$A,$A342)</f>
        <v>359</v>
      </c>
      <c r="H342" s="62">
        <f>SUMIFS('Navision sales Dump'!$G:$G,'Navision sales Dump'!$K:$K,$E342,'Navision sales Dump'!$A:$A,$A342)</f>
        <v>3599829.42</v>
      </c>
      <c r="I342" s="72">
        <f>IFERROR(IF(($G342/$F342)&gt;='Discount Scheme Target'!$F$4,_xlfn.XLOOKUP($E342,'Discount Scheme Target'!$B:$B,'Discount Scheme Target'!$F:$F,0,0),IF(($G342/$F342)&gt;='Discount Scheme Target'!$E$4,_xlfn.XLOOKUP($E342,'Discount Scheme Target'!$B:$B,'Discount Scheme Target'!$E:$E,0,0),IF(($G342/$F342)&gt;='Discount Scheme Target'!$D$4,_xlfn.XLOOKUP($E342,'Discount Scheme Target'!$B:$B,'Discount Scheme Target'!$D:$D,0,0),0))),0)</f>
        <v>0.04</v>
      </c>
      <c r="J342" s="72">
        <f>IF(SUMIF('Customer Num Distr.'!$A:$A,Workings!$A342,'Customer Num Distr.'!$E:$E)&gt;='Discount Scheme Target'!$G$4,_xlfn.XLOOKUP(Workings!$E342,'Discount Scheme Target'!$B:$B,'Discount Scheme Target'!$G:$G,0,0),0)</f>
        <v>0</v>
      </c>
      <c r="K342" s="72">
        <f>IF(SUMIF('Bouclage EG Cust Cons_Decons'!$A:$A,Workings!$A342,'Bouclage EG Cust Cons_Decons'!$F:$F)&gt;='Discount Scheme Target'!$H$4,_xlfn.XLOOKUP(Workings!$E342,'Discount Scheme Target'!$B:$B,'Discount Scheme Target'!$H:$H,0,0),0)</f>
        <v>0</v>
      </c>
      <c r="L342" s="72">
        <f>IF(INDEX('TT Around time'!$A$1:$F$46,MATCH($A342,'TT Around time'!$A:$A,0),6)&gt;='Discount Scheme Target'!$I$4,_xlfn.XLOOKUP(Workings!$E342,'Discount Scheme Target'!$B:$B,'Discount Scheme Target'!$I:$I,0,0),0)</f>
        <v>5.0000000000000001E-3</v>
      </c>
      <c r="M342" s="72">
        <f t="shared" si="49"/>
        <v>4.4999999999999998E-2</v>
      </c>
      <c r="N342" s="62">
        <f t="shared" si="56"/>
        <v>130406.07689999999</v>
      </c>
      <c r="T342" s="61">
        <f t="shared" si="50"/>
        <v>115916.5128</v>
      </c>
      <c r="U342" s="61">
        <f t="shared" si="51"/>
        <v>0</v>
      </c>
      <c r="V342" s="61">
        <f t="shared" si="52"/>
        <v>0</v>
      </c>
      <c r="W342" s="61">
        <f t="shared" si="53"/>
        <v>14489.5641</v>
      </c>
      <c r="X342" s="61">
        <f t="shared" si="54"/>
        <v>130406.0769</v>
      </c>
      <c r="Y342" s="61">
        <f t="shared" si="55"/>
        <v>0</v>
      </c>
    </row>
    <row r="343" spans="1:25" x14ac:dyDescent="0.25">
      <c r="A343" s="51">
        <v>2300002284</v>
      </c>
      <c r="B343" s="51" t="s">
        <v>106</v>
      </c>
      <c r="C343" s="51" t="s">
        <v>145</v>
      </c>
      <c r="D343" s="51" t="s">
        <v>141</v>
      </c>
      <c r="E343" s="51" t="s">
        <v>417</v>
      </c>
      <c r="F343" s="52">
        <f>SUMIF('Customer Budget Per Category'!$A:$A,$A343,'Customer Budget Per Category'!$E:$E)</f>
        <v>7418</v>
      </c>
      <c r="G343" s="52">
        <f>SUMIFS('Navision sales Dump'!$E:$E,'Navision sales Dump'!$K:$K,$E343,'Navision sales Dump'!$A:$A,$A343)</f>
        <v>7472</v>
      </c>
      <c r="H343" s="62">
        <f>SUMIFS('Navision sales Dump'!$G:$G,'Navision sales Dump'!$K:$K,$E343,'Navision sales Dump'!$A:$A,$A343)</f>
        <v>53737338.399999999</v>
      </c>
      <c r="I343" s="72">
        <f>IFERROR(IF(($G343/$F343)&gt;='Discount Scheme Target'!$F$4,_xlfn.XLOOKUP($E343,'Discount Scheme Target'!$B:$B,'Discount Scheme Target'!$F:$F,0,0),IF(($G343/$F343)&gt;='Discount Scheme Target'!$E$4,_xlfn.XLOOKUP($E343,'Discount Scheme Target'!$B:$B,'Discount Scheme Target'!$E:$E,0,0),IF(($G343/$F343)&gt;='Discount Scheme Target'!$D$4,_xlfn.XLOOKUP($E343,'Discount Scheme Target'!$B:$B,'Discount Scheme Target'!$D:$D,0,0),0))),0)</f>
        <v>1.4999999999999999E-2</v>
      </c>
      <c r="J343" s="72">
        <f>IF(SUMIF('Customer Num Distr.'!$A:$A,Workings!$A343,'Customer Num Distr.'!$E:$E)&gt;='Discount Scheme Target'!$G$4,_xlfn.XLOOKUP(Workings!$E343,'Discount Scheme Target'!$B:$B,'Discount Scheme Target'!$G:$G,0,0),0)</f>
        <v>0</v>
      </c>
      <c r="K343" s="72">
        <f>IF(SUMIF('Bouclage EG Cust Cons_Decons'!$A:$A,Workings!$A343,'Bouclage EG Cust Cons_Decons'!$F:$F)&gt;='Discount Scheme Target'!$H$4,_xlfn.XLOOKUP(Workings!$E343,'Discount Scheme Target'!$B:$B,'Discount Scheme Target'!$H:$H,0,0),0)</f>
        <v>0</v>
      </c>
      <c r="L343" s="72">
        <f>IF(INDEX('TT Around time'!$A$1:$F$46,MATCH($A343,'TT Around time'!$A:$A,0),6)&gt;='Discount Scheme Target'!$I$4,_xlfn.XLOOKUP(Workings!$E343,'Discount Scheme Target'!$B:$B,'Discount Scheme Target'!$I:$I,0,0),0)</f>
        <v>0.01</v>
      </c>
      <c r="M343" s="72">
        <f t="shared" si="49"/>
        <v>2.5000000000000001E-2</v>
      </c>
      <c r="N343" s="62">
        <f t="shared" si="56"/>
        <v>1333724.4922751607</v>
      </c>
      <c r="T343" s="61">
        <f t="shared" si="50"/>
        <v>800234.69536509633</v>
      </c>
      <c r="U343" s="61">
        <f t="shared" si="51"/>
        <v>0</v>
      </c>
      <c r="V343" s="61">
        <f t="shared" si="52"/>
        <v>0</v>
      </c>
      <c r="W343" s="61">
        <f t="shared" si="53"/>
        <v>533489.79691006418</v>
      </c>
      <c r="X343" s="61">
        <f t="shared" si="54"/>
        <v>1333724.4922751605</v>
      </c>
      <c r="Y343" s="61">
        <f t="shared" si="55"/>
        <v>0</v>
      </c>
    </row>
    <row r="344" spans="1:25" x14ac:dyDescent="0.25">
      <c r="A344" s="51">
        <v>2300002284</v>
      </c>
      <c r="B344" s="51" t="s">
        <v>106</v>
      </c>
      <c r="C344" s="51" t="s">
        <v>145</v>
      </c>
      <c r="D344" s="51" t="s">
        <v>141</v>
      </c>
      <c r="E344" s="51" t="s">
        <v>418</v>
      </c>
      <c r="F344" s="52">
        <f>SUMIF('Customer Budget Per Category'!$A:$A,$A344,'Customer Budget Per Category'!$F:$F)</f>
        <v>0</v>
      </c>
      <c r="G344" s="52">
        <f>SUMIFS('Navision sales Dump'!$E:$E,'Navision sales Dump'!$K:$K,$E344,'Navision sales Dump'!$A:$A,$A344)</f>
        <v>0</v>
      </c>
      <c r="H344" s="62">
        <f>SUMIFS('Navision sales Dump'!$G:$G,'Navision sales Dump'!$K:$K,$E344,'Navision sales Dump'!$A:$A,$A344)</f>
        <v>0</v>
      </c>
      <c r="I344" s="72">
        <f>IFERROR(IF(($G344/$F344)&gt;='Discount Scheme Target'!$F$4,_xlfn.XLOOKUP($E344,'Discount Scheme Target'!$B:$B,'Discount Scheme Target'!$F:$F,0,0),IF(($G344/$F344)&gt;='Discount Scheme Target'!$E$4,_xlfn.XLOOKUP($E344,'Discount Scheme Target'!$B:$B,'Discount Scheme Target'!$E:$E,0,0),IF(($G344/$F344)&gt;='Discount Scheme Target'!$D$4,_xlfn.XLOOKUP($E344,'Discount Scheme Target'!$B:$B,'Discount Scheme Target'!$D:$D,0,0),0))),0)</f>
        <v>0</v>
      </c>
      <c r="J344" s="72">
        <f>IF(SUMIF('Customer Num Distr.'!$A:$A,Workings!$A344,'Customer Num Distr.'!$E:$E)&gt;='Discount Scheme Target'!$G$4,_xlfn.XLOOKUP(Workings!$E344,'Discount Scheme Target'!$B:$B,'Discount Scheme Target'!$G:$G,0,0),0)</f>
        <v>0</v>
      </c>
      <c r="K344" s="72">
        <f>IF(SUMIF('Bouclage EG Cust Cons_Decons'!$A:$A,Workings!$A344,'Bouclage EG Cust Cons_Decons'!$F:$F)&gt;='Discount Scheme Target'!$H$4,_xlfn.XLOOKUP(Workings!$E344,'Discount Scheme Target'!$B:$B,'Discount Scheme Target'!$H:$H,0,0),0)</f>
        <v>0</v>
      </c>
      <c r="L344" s="72">
        <f>IF(INDEX('TT Around time'!$A$1:$F$46,MATCH($A344,'TT Around time'!$A:$A,0),6)&gt;='Discount Scheme Target'!$I$4,_xlfn.XLOOKUP(Workings!$E344,'Discount Scheme Target'!$B:$B,'Discount Scheme Target'!$I:$I,0,0),0)</f>
        <v>0</v>
      </c>
      <c r="M344" s="72">
        <f t="shared" si="49"/>
        <v>0</v>
      </c>
      <c r="N344" s="62">
        <f t="shared" si="56"/>
        <v>0</v>
      </c>
      <c r="T344" s="61">
        <f t="shared" si="50"/>
        <v>0</v>
      </c>
      <c r="U344" s="61">
        <f t="shared" si="51"/>
        <v>0</v>
      </c>
      <c r="V344" s="61">
        <f t="shared" si="52"/>
        <v>0</v>
      </c>
      <c r="W344" s="61">
        <f t="shared" si="53"/>
        <v>0</v>
      </c>
      <c r="X344" s="61">
        <f t="shared" si="54"/>
        <v>0</v>
      </c>
      <c r="Y344" s="61">
        <f t="shared" si="55"/>
        <v>0</v>
      </c>
    </row>
    <row r="345" spans="1:25" x14ac:dyDescent="0.25">
      <c r="A345" s="51">
        <v>2300002284</v>
      </c>
      <c r="B345" s="51" t="s">
        <v>106</v>
      </c>
      <c r="C345" s="51" t="s">
        <v>145</v>
      </c>
      <c r="D345" s="51" t="s">
        <v>141</v>
      </c>
      <c r="E345" s="51" t="s">
        <v>130</v>
      </c>
      <c r="F345" s="52">
        <f>SUMIF('Customer Budget Per Category'!$A:$A,$A345,'Customer Budget Per Category'!$G:$G)</f>
        <v>175</v>
      </c>
      <c r="G345" s="52">
        <f>SUMIFS('Navision sales Dump'!$E:$E,'Navision sales Dump'!$K:$K,$E345,'Navision sales Dump'!$A:$A,$A345)</f>
        <v>216</v>
      </c>
      <c r="H345" s="62">
        <f>SUMIFS('Navision sales Dump'!$G:$G,'Navision sales Dump'!$K:$K,$E345,'Navision sales Dump'!$A:$A,$A345)</f>
        <v>1668669.12</v>
      </c>
      <c r="I345" s="72">
        <f>IFERROR(IF(($G345/$F345)&gt;='Discount Scheme Target'!$F$4,_xlfn.XLOOKUP($E345,'Discount Scheme Target'!$B:$B,'Discount Scheme Target'!$F:$F,0,0),IF(($G345/$F345)&gt;='Discount Scheme Target'!$E$4,_xlfn.XLOOKUP($E345,'Discount Scheme Target'!$B:$B,'Discount Scheme Target'!$E:$E,0,0),IF(($G345/$F345)&gt;='Discount Scheme Target'!$D$4,_xlfn.XLOOKUP($E345,'Discount Scheme Target'!$B:$B,'Discount Scheme Target'!$D:$D,0,0),0))),0)</f>
        <v>4.5000000000000005E-2</v>
      </c>
      <c r="J345" s="72">
        <f>IF(SUMIF('Customer Num Distr.'!$A:$A,Workings!$A345,'Customer Num Distr.'!$E:$E)&gt;='Discount Scheme Target'!$G$4,_xlfn.XLOOKUP(Workings!$E345,'Discount Scheme Target'!$B:$B,'Discount Scheme Target'!$G:$G,0,0),0)</f>
        <v>0</v>
      </c>
      <c r="K345" s="72">
        <f>IF(SUMIF('Bouclage EG Cust Cons_Decons'!$A:$A,Workings!$A345,'Bouclage EG Cust Cons_Decons'!$F:$F)&gt;='Discount Scheme Target'!$H$4,_xlfn.XLOOKUP(Workings!$E345,'Discount Scheme Target'!$B:$B,'Discount Scheme Target'!$H:$H,0,0),0)</f>
        <v>0</v>
      </c>
      <c r="L345" s="72">
        <f>IF(INDEX('TT Around time'!$A$1:$F$46,MATCH($A345,'TT Around time'!$A:$A,0),6)&gt;='Discount Scheme Target'!$I$4,_xlfn.XLOOKUP(Workings!$E345,'Discount Scheme Target'!$B:$B,'Discount Scheme Target'!$I:$I,0,0),0)</f>
        <v>0.01</v>
      </c>
      <c r="M345" s="72">
        <f t="shared" si="49"/>
        <v>5.5000000000000007E-2</v>
      </c>
      <c r="N345" s="62">
        <f t="shared" si="56"/>
        <v>74356.205000000016</v>
      </c>
      <c r="T345" s="61">
        <f t="shared" si="50"/>
        <v>60836.895000000004</v>
      </c>
      <c r="U345" s="61">
        <f t="shared" si="51"/>
        <v>0</v>
      </c>
      <c r="V345" s="61">
        <f t="shared" si="52"/>
        <v>0</v>
      </c>
      <c r="W345" s="61">
        <f t="shared" si="53"/>
        <v>13519.31</v>
      </c>
      <c r="X345" s="61">
        <f t="shared" si="54"/>
        <v>74356.205000000002</v>
      </c>
      <c r="Y345" s="61">
        <f t="shared" si="55"/>
        <v>0</v>
      </c>
    </row>
    <row r="346" spans="1:25" x14ac:dyDescent="0.25">
      <c r="A346" s="51">
        <v>2300002284</v>
      </c>
      <c r="B346" s="51" t="s">
        <v>106</v>
      </c>
      <c r="C346" s="51" t="s">
        <v>145</v>
      </c>
      <c r="D346" s="51" t="s">
        <v>141</v>
      </c>
      <c r="E346" s="51" t="s">
        <v>131</v>
      </c>
      <c r="F346" s="52">
        <f>SUMIF('Customer Budget Per Category'!$A:$A,$A346,'Customer Budget Per Category'!$H:$H)</f>
        <v>114.88649570604768</v>
      </c>
      <c r="G346" s="52">
        <f>SUMIFS('Navision sales Dump'!$E:$E,'Navision sales Dump'!$K:$K,$E346,'Navision sales Dump'!$A:$A,$A346)</f>
        <v>48</v>
      </c>
      <c r="H346" s="62">
        <f>SUMIFS('Navision sales Dump'!$G:$G,'Navision sales Dump'!$K:$K,$E346,'Navision sales Dump'!$A:$A,$A346)</f>
        <v>1909066.7599999998</v>
      </c>
      <c r="I346" s="72">
        <f>IFERROR(IF(($G346/$F346)&gt;='Discount Scheme Target'!$F$4,_xlfn.XLOOKUP($E346,'Discount Scheme Target'!$B:$B,'Discount Scheme Target'!$F:$F,0,0),IF(($G346/$F346)&gt;='Discount Scheme Target'!$E$4,_xlfn.XLOOKUP($E346,'Discount Scheme Target'!$B:$B,'Discount Scheme Target'!$E:$E,0,0),IF(($G346/$F346)&gt;='Discount Scheme Target'!$D$4,_xlfn.XLOOKUP($E346,'Discount Scheme Target'!$B:$B,'Discount Scheme Target'!$D:$D,0,0),0))),0)</f>
        <v>0</v>
      </c>
      <c r="J346" s="72">
        <f>IF(SUMIF('Customer Num Distr.'!$A:$A,Workings!$A346,'Customer Num Distr.'!$E:$E)&gt;='Discount Scheme Target'!$G$4,_xlfn.XLOOKUP(Workings!$E346,'Discount Scheme Target'!$B:$B,'Discount Scheme Target'!$G:$G,0,0),0)</f>
        <v>0</v>
      </c>
      <c r="K346" s="72">
        <f>IF(SUMIF('Bouclage EG Cust Cons_Decons'!$A:$A,Workings!$A346,'Bouclage EG Cust Cons_Decons'!$F:$F)&gt;='Discount Scheme Target'!$H$4,_xlfn.XLOOKUP(Workings!$E346,'Discount Scheme Target'!$B:$B,'Discount Scheme Target'!$H:$H,0,0),0)</f>
        <v>0</v>
      </c>
      <c r="L346" s="72">
        <f>IF(INDEX('TT Around time'!$A$1:$F$46,MATCH($A346,'TT Around time'!$A:$A,0),6)&gt;='Discount Scheme Target'!$I$4,_xlfn.XLOOKUP(Workings!$E346,'Discount Scheme Target'!$B:$B,'Discount Scheme Target'!$I:$I,0,0),0)</f>
        <v>5.0000000000000001E-3</v>
      </c>
      <c r="M346" s="72">
        <f t="shared" si="49"/>
        <v>5.0000000000000001E-3</v>
      </c>
      <c r="N346" s="62">
        <f t="shared" si="56"/>
        <v>22846.457304718573</v>
      </c>
      <c r="T346" s="61">
        <f t="shared" si="50"/>
        <v>0</v>
      </c>
      <c r="U346" s="61">
        <f t="shared" si="51"/>
        <v>0</v>
      </c>
      <c r="V346" s="61">
        <f t="shared" si="52"/>
        <v>0</v>
      </c>
      <c r="W346" s="61">
        <f t="shared" si="53"/>
        <v>22846.457304718573</v>
      </c>
      <c r="X346" s="61">
        <f t="shared" si="54"/>
        <v>22846.457304718573</v>
      </c>
      <c r="Y346" s="61">
        <f t="shared" si="55"/>
        <v>0</v>
      </c>
    </row>
    <row r="347" spans="1:25" x14ac:dyDescent="0.25">
      <c r="A347" s="51">
        <v>2300002284</v>
      </c>
      <c r="B347" s="51" t="s">
        <v>106</v>
      </c>
      <c r="C347" s="51" t="s">
        <v>145</v>
      </c>
      <c r="D347" s="51" t="s">
        <v>141</v>
      </c>
      <c r="E347" s="51" t="s">
        <v>514</v>
      </c>
      <c r="F347" s="52">
        <f>SUMIF('Customer Budget Per Category'!$A:$A,$A347,'Customer Budget Per Category'!$I:$I)</f>
        <v>4491.5552860395637</v>
      </c>
      <c r="G347" s="52">
        <f>SUMIFS('Navision sales Dump'!$E:$E,'Navision sales Dump'!$K:$K,$E347,'Navision sales Dump'!$A:$A,$A347)</f>
        <v>4181</v>
      </c>
      <c r="H347" s="62">
        <f>SUMIFS('Navision sales Dump'!$G:$G,'Navision sales Dump'!$K:$K,$E347,'Navision sales Dump'!$A:$A,$A347)</f>
        <v>16548523.430000002</v>
      </c>
      <c r="I347" s="72">
        <f>IFERROR(IF(($G347/$F347)&gt;='Discount Scheme Target'!$F$4,_xlfn.XLOOKUP($E347,'Discount Scheme Target'!$B:$B,'Discount Scheme Target'!$F:$F,0,0),IF(($G347/$F347)&gt;='Discount Scheme Target'!$E$4,_xlfn.XLOOKUP($E347,'Discount Scheme Target'!$B:$B,'Discount Scheme Target'!$E:$E,0,0),IF(($G347/$F347)&gt;='Discount Scheme Target'!$D$4,_xlfn.XLOOKUP($E347,'Discount Scheme Target'!$B:$B,'Discount Scheme Target'!$D:$D,0,0),0))),0)</f>
        <v>0</v>
      </c>
      <c r="J347" s="72">
        <f>IF(SUMIF('Customer Num Distr.'!$A:$A,Workings!$A347,'Customer Num Distr.'!$E:$E)&gt;='Discount Scheme Target'!$G$4,_xlfn.XLOOKUP(Workings!$E347,'Discount Scheme Target'!$B:$B,'Discount Scheme Target'!$G:$G,0,0),0)</f>
        <v>0</v>
      </c>
      <c r="K347" s="72">
        <f>IF(SUMIF('Bouclage EG Cust Cons_Decons'!$A:$A,Workings!$A347,'Bouclage EG Cust Cons_Decons'!$F:$F)&gt;='Discount Scheme Target'!$H$4,_xlfn.XLOOKUP(Workings!$E347,'Discount Scheme Target'!$B:$B,'Discount Scheme Target'!$H:$H,0,0),0)</f>
        <v>0</v>
      </c>
      <c r="L347" s="72">
        <f>IF(INDEX('TT Around time'!$A$1:$F$46,MATCH($A347,'TT Around time'!$A:$A,0),6)&gt;='Discount Scheme Target'!$I$4,_xlfn.XLOOKUP(Workings!$E347,'Discount Scheme Target'!$B:$B,'Discount Scheme Target'!$I:$I,0,0),0)</f>
        <v>5.0000000000000001E-3</v>
      </c>
      <c r="M347" s="72">
        <f t="shared" si="49"/>
        <v>5.0000000000000001E-3</v>
      </c>
      <c r="N347" s="62">
        <f t="shared" si="56"/>
        <v>88888.552844015881</v>
      </c>
      <c r="T347" s="61">
        <f t="shared" si="50"/>
        <v>0</v>
      </c>
      <c r="U347" s="61">
        <f t="shared" si="51"/>
        <v>0</v>
      </c>
      <c r="V347" s="61">
        <f t="shared" si="52"/>
        <v>0</v>
      </c>
      <c r="W347" s="61">
        <f t="shared" si="53"/>
        <v>88888.552844015881</v>
      </c>
      <c r="X347" s="61">
        <f t="shared" si="54"/>
        <v>88888.552844015881</v>
      </c>
      <c r="Y347" s="61">
        <f t="shared" si="55"/>
        <v>0</v>
      </c>
    </row>
    <row r="348" spans="1:25" x14ac:dyDescent="0.25">
      <c r="A348" s="51">
        <v>2300002284</v>
      </c>
      <c r="B348" s="51" t="s">
        <v>106</v>
      </c>
      <c r="C348" s="51" t="s">
        <v>145</v>
      </c>
      <c r="D348" s="51" t="s">
        <v>141</v>
      </c>
      <c r="E348" s="51" t="s">
        <v>515</v>
      </c>
      <c r="F348" s="52">
        <f>SUMIF('Customer Budget Per Category'!$A:$A,$A348,'Customer Budget Per Category'!$J:$J)</f>
        <v>605.48883688581202</v>
      </c>
      <c r="G348" s="52">
        <f>SUMIFS('Navision sales Dump'!$E:$E,'Navision sales Dump'!$K:$K,$E348,'Navision sales Dump'!$A:$A,$A348)</f>
        <v>0</v>
      </c>
      <c r="H348" s="62">
        <f>SUMIFS('Navision sales Dump'!$G:$G,'Navision sales Dump'!$K:$K,$E348,'Navision sales Dump'!$A:$A,$A348)</f>
        <v>0</v>
      </c>
      <c r="I348" s="72">
        <f>IFERROR(IF(($G348/$F348)&gt;='Discount Scheme Target'!$F$4,_xlfn.XLOOKUP($E348,'Discount Scheme Target'!$B:$B,'Discount Scheme Target'!$F:$F,0,0),IF(($G348/$F348)&gt;='Discount Scheme Target'!$E$4,_xlfn.XLOOKUP($E348,'Discount Scheme Target'!$B:$B,'Discount Scheme Target'!$E:$E,0,0),IF(($G348/$F348)&gt;='Discount Scheme Target'!$D$4,_xlfn.XLOOKUP($E348,'Discount Scheme Target'!$B:$B,'Discount Scheme Target'!$D:$D,0,0),0))),0)</f>
        <v>0</v>
      </c>
      <c r="J348" s="72">
        <f>IF(SUMIF('Customer Num Distr.'!$A:$A,Workings!$A348,'Customer Num Distr.'!$E:$E)&gt;='Discount Scheme Target'!$G$4,_xlfn.XLOOKUP(Workings!$E348,'Discount Scheme Target'!$B:$B,'Discount Scheme Target'!$G:$G,0,0),0)</f>
        <v>0</v>
      </c>
      <c r="K348" s="72">
        <f>IF(SUMIF('Bouclage EG Cust Cons_Decons'!$A:$A,Workings!$A348,'Bouclage EG Cust Cons_Decons'!$F:$F)&gt;='Discount Scheme Target'!$H$4,_xlfn.XLOOKUP(Workings!$E348,'Discount Scheme Target'!$B:$B,'Discount Scheme Target'!$H:$H,0,0),0)</f>
        <v>0</v>
      </c>
      <c r="L348" s="72">
        <f>IF(INDEX('TT Around time'!$A$1:$F$46,MATCH($A348,'TT Around time'!$A:$A,0),6)&gt;='Discount Scheme Target'!$I$4,_xlfn.XLOOKUP(Workings!$E348,'Discount Scheme Target'!$B:$B,'Discount Scheme Target'!$I:$I,0,0),0)</f>
        <v>5.0000000000000001E-3</v>
      </c>
      <c r="M348" s="72">
        <f t="shared" si="49"/>
        <v>5.0000000000000001E-3</v>
      </c>
      <c r="N348" s="62">
        <f t="shared" si="56"/>
        <v>0</v>
      </c>
      <c r="T348" s="61">
        <f t="shared" si="50"/>
        <v>0</v>
      </c>
      <c r="U348" s="61">
        <f t="shared" si="51"/>
        <v>0</v>
      </c>
      <c r="V348" s="61">
        <f t="shared" si="52"/>
        <v>0</v>
      </c>
      <c r="W348" s="61">
        <f t="shared" si="53"/>
        <v>0</v>
      </c>
      <c r="X348" s="61">
        <f t="shared" si="54"/>
        <v>0</v>
      </c>
      <c r="Y348" s="61">
        <f t="shared" si="55"/>
        <v>0</v>
      </c>
    </row>
    <row r="349" spans="1:25" x14ac:dyDescent="0.25">
      <c r="A349" s="51">
        <v>2300002284</v>
      </c>
      <c r="B349" s="51" t="s">
        <v>106</v>
      </c>
      <c r="C349" s="51" t="s">
        <v>145</v>
      </c>
      <c r="D349" s="51" t="s">
        <v>141</v>
      </c>
      <c r="E349" s="51" t="s">
        <v>161</v>
      </c>
      <c r="F349" s="52">
        <f>SUMIF('Customer Budget Per Category'!$A:$A,$A349,'Customer Budget Per Category'!$K:$K)</f>
        <v>0</v>
      </c>
      <c r="G349" s="52">
        <f>SUMIFS('Navision sales Dump'!$E:$E,'Navision sales Dump'!$K:$K,$E349,'Navision sales Dump'!$A:$A,$A349)</f>
        <v>0</v>
      </c>
      <c r="H349" s="62">
        <f>SUMIFS('Navision sales Dump'!$G:$G,'Navision sales Dump'!$K:$K,$E349,'Navision sales Dump'!$A:$A,$A349)</f>
        <v>0</v>
      </c>
      <c r="I349" s="72">
        <f>IFERROR(IF(($G349/$F349)&gt;='Discount Scheme Target'!$F$4,_xlfn.XLOOKUP($E349,'Discount Scheme Target'!$B:$B,'Discount Scheme Target'!$F:$F,0,0),IF(($G349/$F349)&gt;='Discount Scheme Target'!$E$4,_xlfn.XLOOKUP($E349,'Discount Scheme Target'!$B:$B,'Discount Scheme Target'!$E:$E,0,0),IF(($G349/$F349)&gt;='Discount Scheme Target'!$D$4,_xlfn.XLOOKUP($E349,'Discount Scheme Target'!$B:$B,'Discount Scheme Target'!$D:$D,0,0),0))),0)</f>
        <v>0</v>
      </c>
      <c r="J349" s="72">
        <f>IF(SUMIF('Customer Num Distr.'!$A:$A,Workings!$A349,'Customer Num Distr.'!$E:$E)&gt;='Discount Scheme Target'!$G$4,_xlfn.XLOOKUP(Workings!$E349,'Discount Scheme Target'!$B:$B,'Discount Scheme Target'!$G:$G,0,0),0)</f>
        <v>0</v>
      </c>
      <c r="K349" s="72">
        <f>IF(SUMIF('Bouclage EG Cust Cons_Decons'!$A:$A,Workings!$A349,'Bouclage EG Cust Cons_Decons'!$F:$F)&gt;='Discount Scheme Target'!$H$4,_xlfn.XLOOKUP(Workings!$E349,'Discount Scheme Target'!$B:$B,'Discount Scheme Target'!$H:$H,0,0),0)</f>
        <v>0</v>
      </c>
      <c r="L349" s="72">
        <f>IF(INDEX('TT Around time'!$A$1:$F$46,MATCH($A349,'TT Around time'!$A:$A,0),6)&gt;='Discount Scheme Target'!$I$4,_xlfn.XLOOKUP(Workings!$E349,'Discount Scheme Target'!$B:$B,'Discount Scheme Target'!$I:$I,0,0),0)</f>
        <v>0</v>
      </c>
      <c r="M349" s="72">
        <f t="shared" si="49"/>
        <v>0</v>
      </c>
      <c r="N349" s="62">
        <f t="shared" si="56"/>
        <v>0</v>
      </c>
      <c r="T349" s="61">
        <f t="shared" si="50"/>
        <v>0</v>
      </c>
      <c r="U349" s="61">
        <f t="shared" si="51"/>
        <v>0</v>
      </c>
      <c r="V349" s="61">
        <f t="shared" si="52"/>
        <v>0</v>
      </c>
      <c r="W349" s="61">
        <f t="shared" si="53"/>
        <v>0</v>
      </c>
      <c r="X349" s="61">
        <f t="shared" si="54"/>
        <v>0</v>
      </c>
      <c r="Y349" s="61">
        <f t="shared" si="55"/>
        <v>0</v>
      </c>
    </row>
    <row r="350" spans="1:25" x14ac:dyDescent="0.25">
      <c r="A350" s="51">
        <v>2300002284</v>
      </c>
      <c r="B350" s="51" t="s">
        <v>106</v>
      </c>
      <c r="C350" s="51" t="s">
        <v>145</v>
      </c>
      <c r="D350" s="51" t="s">
        <v>141</v>
      </c>
      <c r="E350" s="51" t="s">
        <v>354</v>
      </c>
      <c r="F350" s="52">
        <f>SUMIF('Customer Budget Per Category'!$A:$A,$A350,'Customer Budget Per Category'!$L:$L)</f>
        <v>2566.6566589166232</v>
      </c>
      <c r="G350" s="52">
        <f>SUMIFS('Navision sales Dump'!$E:$E,'Navision sales Dump'!$K:$K,$E350,'Navision sales Dump'!$A:$A,$A350)</f>
        <v>1579</v>
      </c>
      <c r="H350" s="62">
        <f>SUMIFS('Navision sales Dump'!$G:$G,'Navision sales Dump'!$K:$K,$E350,'Navision sales Dump'!$A:$A,$A350)</f>
        <v>5445591.6399999997</v>
      </c>
      <c r="I350" s="72">
        <f>IFERROR(IF(($G350/$F350)&gt;='Discount Scheme Target'!$F$4,_xlfn.XLOOKUP($E350,'Discount Scheme Target'!$B:$B,'Discount Scheme Target'!$F:$F,0,0),IF(($G350/$F350)&gt;='Discount Scheme Target'!$E$4,_xlfn.XLOOKUP($E350,'Discount Scheme Target'!$B:$B,'Discount Scheme Target'!$E:$E,0,0),IF(($G350/$F350)&gt;='Discount Scheme Target'!$D$4,_xlfn.XLOOKUP($E350,'Discount Scheme Target'!$B:$B,'Discount Scheme Target'!$D:$D,0,0),0))),0)</f>
        <v>0</v>
      </c>
      <c r="J350" s="72">
        <f>IF(SUMIF('Customer Num Distr.'!$A:$A,Workings!$A350,'Customer Num Distr.'!$E:$E)&gt;='Discount Scheme Target'!$G$4,_xlfn.XLOOKUP(Workings!$E350,'Discount Scheme Target'!$B:$B,'Discount Scheme Target'!$G:$G,0,0),0)</f>
        <v>0</v>
      </c>
      <c r="K350" s="72">
        <f>IF(SUMIF('Bouclage EG Cust Cons_Decons'!$A:$A,Workings!$A350,'Bouclage EG Cust Cons_Decons'!$F:$F)&gt;='Discount Scheme Target'!$H$4,_xlfn.XLOOKUP(Workings!$E350,'Discount Scheme Target'!$B:$B,'Discount Scheme Target'!$H:$H,0,0),0)</f>
        <v>0</v>
      </c>
      <c r="L350" s="72">
        <f>IF(INDEX('TT Around time'!$A$1:$F$46,MATCH($A350,'TT Around time'!$A:$A,0),6)&gt;='Discount Scheme Target'!$I$4,_xlfn.XLOOKUP(Workings!$E350,'Discount Scheme Target'!$B:$B,'Discount Scheme Target'!$I:$I,0,0),0)</f>
        <v>5.0000000000000001E-3</v>
      </c>
      <c r="M350" s="72">
        <f t="shared" si="49"/>
        <v>5.0000000000000001E-3</v>
      </c>
      <c r="N350" s="62">
        <f t="shared" si="56"/>
        <v>44258.9108440364</v>
      </c>
      <c r="T350" s="61">
        <f t="shared" si="50"/>
        <v>0</v>
      </c>
      <c r="U350" s="61">
        <f t="shared" si="51"/>
        <v>0</v>
      </c>
      <c r="V350" s="61">
        <f t="shared" si="52"/>
        <v>0</v>
      </c>
      <c r="W350" s="61">
        <f t="shared" si="53"/>
        <v>44258.9108440364</v>
      </c>
      <c r="X350" s="61">
        <f t="shared" si="54"/>
        <v>44258.9108440364</v>
      </c>
      <c r="Y350" s="61">
        <f t="shared" si="55"/>
        <v>0</v>
      </c>
    </row>
    <row r="351" spans="1:25" x14ac:dyDescent="0.25">
      <c r="A351" s="51">
        <v>2300002284</v>
      </c>
      <c r="B351" s="51" t="s">
        <v>106</v>
      </c>
      <c r="C351" s="51" t="s">
        <v>145</v>
      </c>
      <c r="D351" s="51" t="s">
        <v>141</v>
      </c>
      <c r="E351" s="51" t="s">
        <v>355</v>
      </c>
      <c r="F351" s="52">
        <f>SUMIF('Customer Budget Per Category'!$A:$A,$A351,'Customer Budget Per Category'!$M:$M)</f>
        <v>1267.7564988434835</v>
      </c>
      <c r="G351" s="52">
        <f>SUMIFS('Navision sales Dump'!$E:$E,'Navision sales Dump'!$K:$K,$E351,'Navision sales Dump'!$A:$A,$A351)</f>
        <v>432</v>
      </c>
      <c r="H351" s="62">
        <f>SUMIFS('Navision sales Dump'!$G:$G,'Navision sales Dump'!$K:$K,$E351,'Navision sales Dump'!$A:$A,$A351)</f>
        <v>1161421.92</v>
      </c>
      <c r="I351" s="72">
        <f>IFERROR(IF(($G351/$F351)&gt;='Discount Scheme Target'!$F$4,_xlfn.XLOOKUP($E351,'Discount Scheme Target'!$B:$B,'Discount Scheme Target'!$F:$F,0,0),IF(($G351/$F351)&gt;='Discount Scheme Target'!$E$4,_xlfn.XLOOKUP($E351,'Discount Scheme Target'!$B:$B,'Discount Scheme Target'!$E:$E,0,0),IF(($G351/$F351)&gt;='Discount Scheme Target'!$D$4,_xlfn.XLOOKUP($E351,'Discount Scheme Target'!$B:$B,'Discount Scheme Target'!$D:$D,0,0),0))),0)</f>
        <v>0</v>
      </c>
      <c r="J351" s="72">
        <f>IF(SUMIF('Customer Num Distr.'!$A:$A,Workings!$A351,'Customer Num Distr.'!$E:$E)&gt;='Discount Scheme Target'!$G$4,_xlfn.XLOOKUP(Workings!$E351,'Discount Scheme Target'!$B:$B,'Discount Scheme Target'!$G:$G,0,0),0)</f>
        <v>0</v>
      </c>
      <c r="K351" s="72">
        <f>IF(SUMIF('Bouclage EG Cust Cons_Decons'!$A:$A,Workings!$A351,'Bouclage EG Cust Cons_Decons'!$F:$F)&gt;='Discount Scheme Target'!$H$4,_xlfn.XLOOKUP(Workings!$E351,'Discount Scheme Target'!$B:$B,'Discount Scheme Target'!$H:$H,0,0),0)</f>
        <v>0</v>
      </c>
      <c r="L351" s="72">
        <f>IF(INDEX('TT Around time'!$A$1:$F$46,MATCH($A351,'TT Around time'!$A:$A,0),6)&gt;='Discount Scheme Target'!$I$4,_xlfn.XLOOKUP(Workings!$E351,'Discount Scheme Target'!$B:$B,'Discount Scheme Target'!$I:$I,0,0),0)</f>
        <v>5.0000000000000001E-3</v>
      </c>
      <c r="M351" s="72">
        <f t="shared" si="49"/>
        <v>5.0000000000000001E-3</v>
      </c>
      <c r="N351" s="62">
        <f t="shared" si="56"/>
        <v>17041.668830778661</v>
      </c>
      <c r="T351" s="61">
        <f t="shared" si="50"/>
        <v>0</v>
      </c>
      <c r="U351" s="61">
        <f t="shared" si="51"/>
        <v>0</v>
      </c>
      <c r="V351" s="61">
        <f t="shared" si="52"/>
        <v>0</v>
      </c>
      <c r="W351" s="61">
        <f t="shared" si="53"/>
        <v>17041.668830778661</v>
      </c>
      <c r="X351" s="61">
        <f t="shared" si="54"/>
        <v>17041.668830778661</v>
      </c>
      <c r="Y351" s="61">
        <f t="shared" si="55"/>
        <v>0</v>
      </c>
    </row>
    <row r="352" spans="1:25" x14ac:dyDescent="0.25">
      <c r="A352" s="51">
        <v>2300002284</v>
      </c>
      <c r="B352" s="51" t="s">
        <v>106</v>
      </c>
      <c r="C352" s="51" t="s">
        <v>145</v>
      </c>
      <c r="D352" s="51" t="s">
        <v>141</v>
      </c>
      <c r="E352" s="51" t="s">
        <v>132</v>
      </c>
      <c r="F352" s="52">
        <f>SUMIF('Customer Budget Per Category'!$A:$A,$A352,'Customer Budget Per Category'!$N:$N)</f>
        <v>1090</v>
      </c>
      <c r="G352" s="52">
        <f>SUMIFS('Navision sales Dump'!$E:$E,'Navision sales Dump'!$K:$K,$E352,'Navision sales Dump'!$A:$A,$A352)</f>
        <v>431.91667000000001</v>
      </c>
      <c r="H352" s="62">
        <f>SUMIFS('Navision sales Dump'!$G:$G,'Navision sales Dump'!$K:$K,$E352,'Navision sales Dump'!$A:$A,$A352)</f>
        <v>942614.94</v>
      </c>
      <c r="I352" s="72">
        <f>IFERROR(IF(($G352/$F352)&gt;='Discount Scheme Target'!$F$4,_xlfn.XLOOKUP($E352,'Discount Scheme Target'!$B:$B,'Discount Scheme Target'!$F:$F,0,0),IF(($G352/$F352)&gt;='Discount Scheme Target'!$E$4,_xlfn.XLOOKUP($E352,'Discount Scheme Target'!$B:$B,'Discount Scheme Target'!$E:$E,0,0),IF(($G352/$F352)&gt;='Discount Scheme Target'!$D$4,_xlfn.XLOOKUP($E352,'Discount Scheme Target'!$B:$B,'Discount Scheme Target'!$D:$D,0,0),0))),0)</f>
        <v>0</v>
      </c>
      <c r="J352" s="72">
        <f>IF(SUMIF('Customer Num Distr.'!$A:$A,Workings!$A352,'Customer Num Distr.'!$E:$E)&gt;='Discount Scheme Target'!$G$4,_xlfn.XLOOKUP(Workings!$E352,'Discount Scheme Target'!$B:$B,'Discount Scheme Target'!$G:$G,0,0),0)</f>
        <v>0</v>
      </c>
      <c r="K352" s="72">
        <f>IF(SUMIF('Bouclage EG Cust Cons_Decons'!$A:$A,Workings!$A352,'Bouclage EG Cust Cons_Decons'!$F:$F)&gt;='Discount Scheme Target'!$H$4,_xlfn.XLOOKUP(Workings!$E352,'Discount Scheme Target'!$B:$B,'Discount Scheme Target'!$H:$H,0,0),0)</f>
        <v>0</v>
      </c>
      <c r="L352" s="72">
        <f>IF(INDEX('TT Around time'!$A$1:$F$46,MATCH($A352,'TT Around time'!$A:$A,0),6)&gt;='Discount Scheme Target'!$I$4,_xlfn.XLOOKUP(Workings!$E352,'Discount Scheme Target'!$B:$B,'Discount Scheme Target'!$I:$I,0,0),0)</f>
        <v>5.0000000000000001E-3</v>
      </c>
      <c r="M352" s="72">
        <f t="shared" si="49"/>
        <v>5.0000000000000001E-3</v>
      </c>
      <c r="N352" s="62">
        <f t="shared" si="56"/>
        <v>11894.079992328148</v>
      </c>
      <c r="T352" s="61">
        <f t="shared" si="50"/>
        <v>0</v>
      </c>
      <c r="U352" s="61">
        <f t="shared" si="51"/>
        <v>0</v>
      </c>
      <c r="V352" s="61">
        <f t="shared" si="52"/>
        <v>0</v>
      </c>
      <c r="W352" s="61">
        <f t="shared" si="53"/>
        <v>11894.079992328148</v>
      </c>
      <c r="X352" s="61">
        <f t="shared" si="54"/>
        <v>11894.079992328148</v>
      </c>
      <c r="Y352" s="61">
        <f t="shared" si="55"/>
        <v>0</v>
      </c>
    </row>
    <row r="353" spans="1:25" x14ac:dyDescent="0.25">
      <c r="A353" s="51">
        <v>2300002284</v>
      </c>
      <c r="B353" s="51" t="s">
        <v>106</v>
      </c>
      <c r="C353" s="51" t="s">
        <v>145</v>
      </c>
      <c r="D353" s="51" t="s">
        <v>141</v>
      </c>
      <c r="E353" s="51" t="s">
        <v>133</v>
      </c>
      <c r="F353" s="52">
        <f>SUMIF('Customer Budget Per Category'!$A:$A,$A353,'Customer Budget Per Category'!$O:$O)</f>
        <v>195</v>
      </c>
      <c r="G353" s="52">
        <f>SUMIFS('Navision sales Dump'!$E:$E,'Navision sales Dump'!$K:$K,$E353,'Navision sales Dump'!$A:$A,$A353)</f>
        <v>144</v>
      </c>
      <c r="H353" s="62">
        <f>SUMIFS('Navision sales Dump'!$G:$G,'Navision sales Dump'!$K:$K,$E353,'Navision sales Dump'!$A:$A,$A353)</f>
        <v>1443942.72</v>
      </c>
      <c r="I353" s="72">
        <f>IFERROR(IF(($G353/$F353)&gt;='Discount Scheme Target'!$F$4,_xlfn.XLOOKUP($E353,'Discount Scheme Target'!$B:$B,'Discount Scheme Target'!$F:$F,0,0),IF(($G353/$F353)&gt;='Discount Scheme Target'!$E$4,_xlfn.XLOOKUP($E353,'Discount Scheme Target'!$B:$B,'Discount Scheme Target'!$E:$E,0,0),IF(($G353/$F353)&gt;='Discount Scheme Target'!$D$4,_xlfn.XLOOKUP($E353,'Discount Scheme Target'!$B:$B,'Discount Scheme Target'!$D:$D,0,0),0))),0)</f>
        <v>0</v>
      </c>
      <c r="J353" s="72">
        <f>IF(SUMIF('Customer Num Distr.'!$A:$A,Workings!$A353,'Customer Num Distr.'!$E:$E)&gt;='Discount Scheme Target'!$G$4,_xlfn.XLOOKUP(Workings!$E353,'Discount Scheme Target'!$B:$B,'Discount Scheme Target'!$G:$G,0,0),0)</f>
        <v>0</v>
      </c>
      <c r="K353" s="72">
        <f>IF(SUMIF('Bouclage EG Cust Cons_Decons'!$A:$A,Workings!$A353,'Bouclage EG Cust Cons_Decons'!$F:$F)&gt;='Discount Scheme Target'!$H$4,_xlfn.XLOOKUP(Workings!$E353,'Discount Scheme Target'!$B:$B,'Discount Scheme Target'!$H:$H,0,0),0)</f>
        <v>0</v>
      </c>
      <c r="L353" s="72">
        <f>IF(INDEX('TT Around time'!$A$1:$F$46,MATCH($A353,'TT Around time'!$A:$A,0),6)&gt;='Discount Scheme Target'!$I$4,_xlfn.XLOOKUP(Workings!$E353,'Discount Scheme Target'!$B:$B,'Discount Scheme Target'!$I:$I,0,0),0)</f>
        <v>5.0000000000000001E-3</v>
      </c>
      <c r="M353" s="72">
        <f t="shared" si="49"/>
        <v>5.0000000000000001E-3</v>
      </c>
      <c r="N353" s="62">
        <f t="shared" si="56"/>
        <v>9776.6954999999998</v>
      </c>
      <c r="T353" s="61">
        <f t="shared" si="50"/>
        <v>0</v>
      </c>
      <c r="U353" s="61">
        <f t="shared" si="51"/>
        <v>0</v>
      </c>
      <c r="V353" s="61">
        <f t="shared" si="52"/>
        <v>0</v>
      </c>
      <c r="W353" s="61">
        <f t="shared" si="53"/>
        <v>9776.6954999999998</v>
      </c>
      <c r="X353" s="61">
        <f t="shared" si="54"/>
        <v>9776.6954999999998</v>
      </c>
      <c r="Y353" s="61">
        <f t="shared" si="55"/>
        <v>0</v>
      </c>
    </row>
    <row r="354" spans="1:25" x14ac:dyDescent="0.25">
      <c r="A354" s="51">
        <v>2011210001</v>
      </c>
      <c r="B354" s="51" t="s">
        <v>92</v>
      </c>
      <c r="C354" s="51" t="s">
        <v>145</v>
      </c>
      <c r="D354" s="51" t="s">
        <v>141</v>
      </c>
      <c r="E354" s="51" t="s">
        <v>417</v>
      </c>
      <c r="F354" s="52">
        <f>SUMIF('Customer Budget Per Category'!$A:$A,$A354,'Customer Budget Per Category'!$E:$E)</f>
        <v>9887</v>
      </c>
      <c r="G354" s="52">
        <f>SUMIFS('Navision sales Dump'!$E:$E,'Navision sales Dump'!$K:$K,$E354,'Navision sales Dump'!$A:$A,$A354)</f>
        <v>7954</v>
      </c>
      <c r="H354" s="62">
        <f>SUMIFS('Navision sales Dump'!$G:$G,'Navision sales Dump'!$K:$K,$E354,'Navision sales Dump'!$A:$A,$A354)</f>
        <v>56812017.439999998</v>
      </c>
      <c r="I354" s="72">
        <f>IFERROR(IF(($G354/$F354)&gt;='Discount Scheme Target'!$F$4,_xlfn.XLOOKUP($E354,'Discount Scheme Target'!$B:$B,'Discount Scheme Target'!$F:$F,0,0),IF(($G354/$F354)&gt;='Discount Scheme Target'!$E$4,_xlfn.XLOOKUP($E354,'Discount Scheme Target'!$B:$B,'Discount Scheme Target'!$E:$E,0,0),IF(($G354/$F354)&gt;='Discount Scheme Target'!$D$4,_xlfn.XLOOKUP($E354,'Discount Scheme Target'!$B:$B,'Discount Scheme Target'!$D:$D,0,0),0))),0)</f>
        <v>0</v>
      </c>
      <c r="J354" s="72">
        <f>IF(SUMIF('Customer Num Distr.'!$A:$A,Workings!$A354,'Customer Num Distr.'!$E:$E)&gt;='Discount Scheme Target'!$G$4,_xlfn.XLOOKUP(Workings!$E354,'Discount Scheme Target'!$B:$B,'Discount Scheme Target'!$G:$G,0,0),0)</f>
        <v>0</v>
      </c>
      <c r="K354" s="72">
        <f>IF(SUMIF('Bouclage EG Cust Cons_Decons'!$A:$A,Workings!$A354,'Bouclage EG Cust Cons_Decons'!$F:$F)&gt;='Discount Scheme Target'!$H$4,_xlfn.XLOOKUP(Workings!$E354,'Discount Scheme Target'!$B:$B,'Discount Scheme Target'!$H:$H,0,0),0)</f>
        <v>0</v>
      </c>
      <c r="L354" s="72">
        <f>IF(INDEX('TT Around time'!$A$1:$F$46,MATCH($A354,'TT Around time'!$A:$A,0),6)&gt;='Discount Scheme Target'!$I$4,_xlfn.XLOOKUP(Workings!$E354,'Discount Scheme Target'!$B:$B,'Discount Scheme Target'!$I:$I,0,0),0)</f>
        <v>0.01</v>
      </c>
      <c r="M354" s="72">
        <f t="shared" si="49"/>
        <v>0.01</v>
      </c>
      <c r="N354" s="62">
        <f t="shared" si="56"/>
        <v>706186.09055730444</v>
      </c>
      <c r="T354" s="61">
        <f t="shared" si="50"/>
        <v>0</v>
      </c>
      <c r="U354" s="61">
        <f t="shared" si="51"/>
        <v>0</v>
      </c>
      <c r="V354" s="61">
        <f t="shared" si="52"/>
        <v>0</v>
      </c>
      <c r="W354" s="61">
        <f t="shared" si="53"/>
        <v>706186.09055730444</v>
      </c>
      <c r="X354" s="61">
        <f t="shared" si="54"/>
        <v>706186.09055730444</v>
      </c>
      <c r="Y354" s="61">
        <f t="shared" si="55"/>
        <v>0</v>
      </c>
    </row>
    <row r="355" spans="1:25" x14ac:dyDescent="0.25">
      <c r="A355" s="51">
        <v>2011210001</v>
      </c>
      <c r="B355" s="51" t="s">
        <v>92</v>
      </c>
      <c r="C355" s="51" t="s">
        <v>145</v>
      </c>
      <c r="D355" s="51" t="s">
        <v>141</v>
      </c>
      <c r="E355" s="51" t="s">
        <v>418</v>
      </c>
      <c r="F355" s="52">
        <f>SUMIF('Customer Budget Per Category'!$A:$A,$A355,'Customer Budget Per Category'!$F:$F)</f>
        <v>0</v>
      </c>
      <c r="G355" s="52">
        <f>SUMIFS('Navision sales Dump'!$E:$E,'Navision sales Dump'!$K:$K,$E355,'Navision sales Dump'!$A:$A,$A355)</f>
        <v>0</v>
      </c>
      <c r="H355" s="62">
        <f>SUMIFS('Navision sales Dump'!$G:$G,'Navision sales Dump'!$K:$K,$E355,'Navision sales Dump'!$A:$A,$A355)</f>
        <v>0</v>
      </c>
      <c r="I355" s="72">
        <f>IFERROR(IF(($G355/$F355)&gt;='Discount Scheme Target'!$F$4,_xlfn.XLOOKUP($E355,'Discount Scheme Target'!$B:$B,'Discount Scheme Target'!$F:$F,0,0),IF(($G355/$F355)&gt;='Discount Scheme Target'!$E$4,_xlfn.XLOOKUP($E355,'Discount Scheme Target'!$B:$B,'Discount Scheme Target'!$E:$E,0,0),IF(($G355/$F355)&gt;='Discount Scheme Target'!$D$4,_xlfn.XLOOKUP($E355,'Discount Scheme Target'!$B:$B,'Discount Scheme Target'!$D:$D,0,0),0))),0)</f>
        <v>0</v>
      </c>
      <c r="J355" s="72">
        <f>IF(SUMIF('Customer Num Distr.'!$A:$A,Workings!$A355,'Customer Num Distr.'!$E:$E)&gt;='Discount Scheme Target'!$G$4,_xlfn.XLOOKUP(Workings!$E355,'Discount Scheme Target'!$B:$B,'Discount Scheme Target'!$G:$G,0,0),0)</f>
        <v>0</v>
      </c>
      <c r="K355" s="72">
        <f>IF(SUMIF('Bouclage EG Cust Cons_Decons'!$A:$A,Workings!$A355,'Bouclage EG Cust Cons_Decons'!$F:$F)&gt;='Discount Scheme Target'!$H$4,_xlfn.XLOOKUP(Workings!$E355,'Discount Scheme Target'!$B:$B,'Discount Scheme Target'!$H:$H,0,0),0)</f>
        <v>0</v>
      </c>
      <c r="L355" s="72">
        <f>IF(INDEX('TT Around time'!$A$1:$F$46,MATCH($A355,'TT Around time'!$A:$A,0),6)&gt;='Discount Scheme Target'!$I$4,_xlfn.XLOOKUP(Workings!$E355,'Discount Scheme Target'!$B:$B,'Discount Scheme Target'!$I:$I,0,0),0)</f>
        <v>0</v>
      </c>
      <c r="M355" s="72">
        <f t="shared" si="49"/>
        <v>0</v>
      </c>
      <c r="N355" s="62">
        <f t="shared" si="56"/>
        <v>0</v>
      </c>
      <c r="T355" s="61">
        <f t="shared" si="50"/>
        <v>0</v>
      </c>
      <c r="U355" s="61">
        <f t="shared" si="51"/>
        <v>0</v>
      </c>
      <c r="V355" s="61">
        <f t="shared" si="52"/>
        <v>0</v>
      </c>
      <c r="W355" s="61">
        <f t="shared" si="53"/>
        <v>0</v>
      </c>
      <c r="X355" s="61">
        <f t="shared" si="54"/>
        <v>0</v>
      </c>
      <c r="Y355" s="61">
        <f t="shared" si="55"/>
        <v>0</v>
      </c>
    </row>
    <row r="356" spans="1:25" x14ac:dyDescent="0.25">
      <c r="A356" s="51">
        <v>2011210001</v>
      </c>
      <c r="B356" s="51" t="s">
        <v>92</v>
      </c>
      <c r="C356" s="51" t="s">
        <v>145</v>
      </c>
      <c r="D356" s="51" t="s">
        <v>141</v>
      </c>
      <c r="E356" s="51" t="s">
        <v>130</v>
      </c>
      <c r="F356" s="52">
        <f>SUMIF('Customer Budget Per Category'!$A:$A,$A356,'Customer Budget Per Category'!$G:$G)</f>
        <v>239.37126083570786</v>
      </c>
      <c r="G356" s="52">
        <f>SUMIFS('Navision sales Dump'!$E:$E,'Navision sales Dump'!$K:$K,$E356,'Navision sales Dump'!$A:$A,$A356)</f>
        <v>288</v>
      </c>
      <c r="H356" s="62">
        <f>SUMIFS('Navision sales Dump'!$G:$G,'Navision sales Dump'!$K:$K,$E356,'Navision sales Dump'!$A:$A,$A356)</f>
        <v>2224892.16</v>
      </c>
      <c r="I356" s="72">
        <f>IFERROR(IF(($G356/$F356)&gt;='Discount Scheme Target'!$F$4,_xlfn.XLOOKUP($E356,'Discount Scheme Target'!$B:$B,'Discount Scheme Target'!$F:$F,0,0),IF(($G356/$F356)&gt;='Discount Scheme Target'!$E$4,_xlfn.XLOOKUP($E356,'Discount Scheme Target'!$B:$B,'Discount Scheme Target'!$E:$E,0,0),IF(($G356/$F356)&gt;='Discount Scheme Target'!$D$4,_xlfn.XLOOKUP($E356,'Discount Scheme Target'!$B:$B,'Discount Scheme Target'!$D:$D,0,0),0))),0)</f>
        <v>4.5000000000000005E-2</v>
      </c>
      <c r="J356" s="72">
        <f>IF(SUMIF('Customer Num Distr.'!$A:$A,Workings!$A356,'Customer Num Distr.'!$E:$E)&gt;='Discount Scheme Target'!$G$4,_xlfn.XLOOKUP(Workings!$E356,'Discount Scheme Target'!$B:$B,'Discount Scheme Target'!$G:$G,0,0),0)</f>
        <v>0</v>
      </c>
      <c r="K356" s="72">
        <f>IF(SUMIF('Bouclage EG Cust Cons_Decons'!$A:$A,Workings!$A356,'Bouclage EG Cust Cons_Decons'!$F:$F)&gt;='Discount Scheme Target'!$H$4,_xlfn.XLOOKUP(Workings!$E356,'Discount Scheme Target'!$B:$B,'Discount Scheme Target'!$H:$H,0,0),0)</f>
        <v>0</v>
      </c>
      <c r="L356" s="72">
        <f>IF(INDEX('TT Around time'!$A$1:$F$46,MATCH($A356,'TT Around time'!$A:$A,0),6)&gt;='Discount Scheme Target'!$I$4,_xlfn.XLOOKUP(Workings!$E356,'Discount Scheme Target'!$B:$B,'Discount Scheme Target'!$I:$I,0,0),0)</f>
        <v>0.01</v>
      </c>
      <c r="M356" s="72">
        <f t="shared" si="49"/>
        <v>5.5000000000000007E-2</v>
      </c>
      <c r="N356" s="62">
        <f t="shared" si="56"/>
        <v>101707.07738176211</v>
      </c>
      <c r="T356" s="61">
        <f t="shared" si="50"/>
        <v>83214.881494168993</v>
      </c>
      <c r="U356" s="61">
        <f t="shared" si="51"/>
        <v>0</v>
      </c>
      <c r="V356" s="61">
        <f t="shared" si="52"/>
        <v>0</v>
      </c>
      <c r="W356" s="61">
        <f t="shared" si="53"/>
        <v>18492.195887593109</v>
      </c>
      <c r="X356" s="61">
        <f t="shared" si="54"/>
        <v>101707.07738176209</v>
      </c>
      <c r="Y356" s="61">
        <f t="shared" si="55"/>
        <v>0</v>
      </c>
    </row>
    <row r="357" spans="1:25" x14ac:dyDescent="0.25">
      <c r="A357" s="51">
        <v>2011210001</v>
      </c>
      <c r="B357" s="51" t="s">
        <v>92</v>
      </c>
      <c r="C357" s="51" t="s">
        <v>145</v>
      </c>
      <c r="D357" s="51" t="s">
        <v>141</v>
      </c>
      <c r="E357" s="51" t="s">
        <v>131</v>
      </c>
      <c r="F357" s="52">
        <f>SUMIF('Customer Budget Per Category'!$A:$A,$A357,'Customer Budget Per Category'!$H:$H)</f>
        <v>92</v>
      </c>
      <c r="G357" s="52">
        <f>SUMIFS('Navision sales Dump'!$E:$E,'Navision sales Dump'!$K:$K,$E357,'Navision sales Dump'!$A:$A,$A357)</f>
        <v>68</v>
      </c>
      <c r="H357" s="62">
        <f>SUMIFS('Navision sales Dump'!$G:$G,'Navision sales Dump'!$K:$K,$E357,'Navision sales Dump'!$A:$A,$A357)</f>
        <v>2532056.5500000003</v>
      </c>
      <c r="I357" s="72">
        <f>IFERROR(IF(($G357/$F357)&gt;='Discount Scheme Target'!$F$4,_xlfn.XLOOKUP($E357,'Discount Scheme Target'!$B:$B,'Discount Scheme Target'!$F:$F,0,0),IF(($G357/$F357)&gt;='Discount Scheme Target'!$E$4,_xlfn.XLOOKUP($E357,'Discount Scheme Target'!$B:$B,'Discount Scheme Target'!$E:$E,0,0),IF(($G357/$F357)&gt;='Discount Scheme Target'!$D$4,_xlfn.XLOOKUP($E357,'Discount Scheme Target'!$B:$B,'Discount Scheme Target'!$D:$D,0,0),0))),0)</f>
        <v>0</v>
      </c>
      <c r="J357" s="72">
        <f>IF(SUMIF('Customer Num Distr.'!$A:$A,Workings!$A357,'Customer Num Distr.'!$E:$E)&gt;='Discount Scheme Target'!$G$4,_xlfn.XLOOKUP(Workings!$E357,'Discount Scheme Target'!$B:$B,'Discount Scheme Target'!$G:$G,0,0),0)</f>
        <v>0</v>
      </c>
      <c r="K357" s="72">
        <f>IF(SUMIF('Bouclage EG Cust Cons_Decons'!$A:$A,Workings!$A357,'Bouclage EG Cust Cons_Decons'!$F:$F)&gt;='Discount Scheme Target'!$H$4,_xlfn.XLOOKUP(Workings!$E357,'Discount Scheme Target'!$B:$B,'Discount Scheme Target'!$H:$H,0,0),0)</f>
        <v>0</v>
      </c>
      <c r="L357" s="72">
        <f>IF(INDEX('TT Around time'!$A$1:$F$46,MATCH($A357,'TT Around time'!$A:$A,0),6)&gt;='Discount Scheme Target'!$I$4,_xlfn.XLOOKUP(Workings!$E357,'Discount Scheme Target'!$B:$B,'Discount Scheme Target'!$I:$I,0,0),0)</f>
        <v>5.0000000000000001E-3</v>
      </c>
      <c r="M357" s="72">
        <f t="shared" si="49"/>
        <v>5.0000000000000001E-3</v>
      </c>
      <c r="N357" s="62">
        <f t="shared" si="56"/>
        <v>17128.617838235299</v>
      </c>
      <c r="T357" s="61">
        <f t="shared" si="50"/>
        <v>0</v>
      </c>
      <c r="U357" s="61">
        <f t="shared" si="51"/>
        <v>0</v>
      </c>
      <c r="V357" s="61">
        <f t="shared" si="52"/>
        <v>0</v>
      </c>
      <c r="W357" s="61">
        <f t="shared" si="53"/>
        <v>17128.617838235299</v>
      </c>
      <c r="X357" s="61">
        <f t="shared" si="54"/>
        <v>17128.617838235299</v>
      </c>
      <c r="Y357" s="61">
        <f t="shared" si="55"/>
        <v>0</v>
      </c>
    </row>
    <row r="358" spans="1:25" x14ac:dyDescent="0.25">
      <c r="A358" s="51">
        <v>2011210001</v>
      </c>
      <c r="B358" s="51" t="s">
        <v>92</v>
      </c>
      <c r="C358" s="51" t="s">
        <v>145</v>
      </c>
      <c r="D358" s="51" t="s">
        <v>141</v>
      </c>
      <c r="E358" s="51" t="s">
        <v>514</v>
      </c>
      <c r="F358" s="52">
        <f>SUMIF('Customer Budget Per Category'!$A:$A,$A358,'Customer Budget Per Category'!$I:$I)</f>
        <v>4589</v>
      </c>
      <c r="G358" s="52">
        <f>SUMIFS('Navision sales Dump'!$E:$E,'Navision sales Dump'!$K:$K,$E358,'Navision sales Dump'!$A:$A,$A358)</f>
        <v>5472</v>
      </c>
      <c r="H358" s="62">
        <f>SUMIFS('Navision sales Dump'!$G:$G,'Navision sales Dump'!$K:$K,$E358,'Navision sales Dump'!$A:$A,$A358)</f>
        <v>21658340.160000004</v>
      </c>
      <c r="I358" s="72">
        <f>IFERROR(IF(($G358/$F358)&gt;='Discount Scheme Target'!$F$4,_xlfn.XLOOKUP($E358,'Discount Scheme Target'!$B:$B,'Discount Scheme Target'!$F:$F,0,0),IF(($G358/$F358)&gt;='Discount Scheme Target'!$E$4,_xlfn.XLOOKUP($E358,'Discount Scheme Target'!$B:$B,'Discount Scheme Target'!$E:$E,0,0),IF(($G358/$F358)&gt;='Discount Scheme Target'!$D$4,_xlfn.XLOOKUP($E358,'Discount Scheme Target'!$B:$B,'Discount Scheme Target'!$D:$D,0,0),0))),0)</f>
        <v>0.04</v>
      </c>
      <c r="J358" s="72">
        <f>IF(SUMIF('Customer Num Distr.'!$A:$A,Workings!$A358,'Customer Num Distr.'!$E:$E)&gt;='Discount Scheme Target'!$G$4,_xlfn.XLOOKUP(Workings!$E358,'Discount Scheme Target'!$B:$B,'Discount Scheme Target'!$G:$G,0,0),0)</f>
        <v>0</v>
      </c>
      <c r="K358" s="72">
        <f>IF(SUMIF('Bouclage EG Cust Cons_Decons'!$A:$A,Workings!$A358,'Bouclage EG Cust Cons_Decons'!$F:$F)&gt;='Discount Scheme Target'!$H$4,_xlfn.XLOOKUP(Workings!$E358,'Discount Scheme Target'!$B:$B,'Discount Scheme Target'!$H:$H,0,0),0)</f>
        <v>0</v>
      </c>
      <c r="L358" s="72">
        <f>IF(INDEX('TT Around time'!$A$1:$F$46,MATCH($A358,'TT Around time'!$A:$A,0),6)&gt;='Discount Scheme Target'!$I$4,_xlfn.XLOOKUP(Workings!$E358,'Discount Scheme Target'!$B:$B,'Discount Scheme Target'!$I:$I,0,0),0)</f>
        <v>5.0000000000000001E-3</v>
      </c>
      <c r="M358" s="72">
        <f t="shared" si="49"/>
        <v>4.4999999999999998E-2</v>
      </c>
      <c r="N358" s="62">
        <f t="shared" si="56"/>
        <v>817352.98515000008</v>
      </c>
      <c r="T358" s="61">
        <f t="shared" si="50"/>
        <v>726535.98680000007</v>
      </c>
      <c r="U358" s="61">
        <f t="shared" si="51"/>
        <v>0</v>
      </c>
      <c r="V358" s="61">
        <f t="shared" si="52"/>
        <v>0</v>
      </c>
      <c r="W358" s="61">
        <f t="shared" si="53"/>
        <v>90816.998350000009</v>
      </c>
      <c r="X358" s="61">
        <f t="shared" si="54"/>
        <v>817352.98515000008</v>
      </c>
      <c r="Y358" s="61">
        <f t="shared" si="55"/>
        <v>0</v>
      </c>
    </row>
    <row r="359" spans="1:25" x14ac:dyDescent="0.25">
      <c r="A359" s="51">
        <v>2011210001</v>
      </c>
      <c r="B359" s="51" t="s">
        <v>92</v>
      </c>
      <c r="C359" s="51" t="s">
        <v>145</v>
      </c>
      <c r="D359" s="51" t="s">
        <v>141</v>
      </c>
      <c r="E359" s="51" t="s">
        <v>515</v>
      </c>
      <c r="F359" s="52">
        <f>SUMIF('Customer Budget Per Category'!$A:$A,$A359,'Customer Budget Per Category'!$J:$J)</f>
        <v>690</v>
      </c>
      <c r="G359" s="52">
        <f>SUMIFS('Navision sales Dump'!$E:$E,'Navision sales Dump'!$K:$K,$E359,'Navision sales Dump'!$A:$A,$A359)</f>
        <v>144</v>
      </c>
      <c r="H359" s="62">
        <f>SUMIFS('Navision sales Dump'!$G:$G,'Navision sales Dump'!$K:$K,$E359,'Navision sales Dump'!$A:$A,$A359)</f>
        <v>406497.6</v>
      </c>
      <c r="I359" s="72">
        <f>IFERROR(IF(($G359/$F359)&gt;='Discount Scheme Target'!$F$4,_xlfn.XLOOKUP($E359,'Discount Scheme Target'!$B:$B,'Discount Scheme Target'!$F:$F,0,0),IF(($G359/$F359)&gt;='Discount Scheme Target'!$E$4,_xlfn.XLOOKUP($E359,'Discount Scheme Target'!$B:$B,'Discount Scheme Target'!$E:$E,0,0),IF(($G359/$F359)&gt;='Discount Scheme Target'!$D$4,_xlfn.XLOOKUP($E359,'Discount Scheme Target'!$B:$B,'Discount Scheme Target'!$D:$D,0,0),0))),0)</f>
        <v>0</v>
      </c>
      <c r="J359" s="72">
        <f>IF(SUMIF('Customer Num Distr.'!$A:$A,Workings!$A359,'Customer Num Distr.'!$E:$E)&gt;='Discount Scheme Target'!$G$4,_xlfn.XLOOKUP(Workings!$E359,'Discount Scheme Target'!$B:$B,'Discount Scheme Target'!$G:$G,0,0),0)</f>
        <v>0</v>
      </c>
      <c r="K359" s="72">
        <f>IF(SUMIF('Bouclage EG Cust Cons_Decons'!$A:$A,Workings!$A359,'Bouclage EG Cust Cons_Decons'!$F:$F)&gt;='Discount Scheme Target'!$H$4,_xlfn.XLOOKUP(Workings!$E359,'Discount Scheme Target'!$B:$B,'Discount Scheme Target'!$H:$H,0,0),0)</f>
        <v>0</v>
      </c>
      <c r="L359" s="72">
        <f>IF(INDEX('TT Around time'!$A$1:$F$46,MATCH($A359,'TT Around time'!$A:$A,0),6)&gt;='Discount Scheme Target'!$I$4,_xlfn.XLOOKUP(Workings!$E359,'Discount Scheme Target'!$B:$B,'Discount Scheme Target'!$I:$I,0,0),0)</f>
        <v>5.0000000000000001E-3</v>
      </c>
      <c r="M359" s="72">
        <f t="shared" si="49"/>
        <v>5.0000000000000001E-3</v>
      </c>
      <c r="N359" s="62">
        <f t="shared" si="56"/>
        <v>9739.0049999999992</v>
      </c>
      <c r="T359" s="61">
        <f t="shared" si="50"/>
        <v>0</v>
      </c>
      <c r="U359" s="61">
        <f t="shared" si="51"/>
        <v>0</v>
      </c>
      <c r="V359" s="61">
        <f t="shared" si="52"/>
        <v>0</v>
      </c>
      <c r="W359" s="61">
        <f t="shared" si="53"/>
        <v>9739.0049999999992</v>
      </c>
      <c r="X359" s="61">
        <f t="shared" si="54"/>
        <v>9739.0049999999992</v>
      </c>
      <c r="Y359" s="61">
        <f t="shared" si="55"/>
        <v>0</v>
      </c>
    </row>
    <row r="360" spans="1:25" x14ac:dyDescent="0.25">
      <c r="A360" s="51">
        <v>2011210001</v>
      </c>
      <c r="B360" s="51" t="s">
        <v>92</v>
      </c>
      <c r="C360" s="51" t="s">
        <v>145</v>
      </c>
      <c r="D360" s="51" t="s">
        <v>141</v>
      </c>
      <c r="E360" s="51" t="s">
        <v>161</v>
      </c>
      <c r="F360" s="52">
        <f>SUMIF('Customer Budget Per Category'!$A:$A,$A360,'Customer Budget Per Category'!$K:$K)</f>
        <v>0</v>
      </c>
      <c r="G360" s="52">
        <f>SUMIFS('Navision sales Dump'!$E:$E,'Navision sales Dump'!$K:$K,$E360,'Navision sales Dump'!$A:$A,$A360)</f>
        <v>0</v>
      </c>
      <c r="H360" s="62">
        <f>SUMIFS('Navision sales Dump'!$G:$G,'Navision sales Dump'!$K:$K,$E360,'Navision sales Dump'!$A:$A,$A360)</f>
        <v>0</v>
      </c>
      <c r="I360" s="72">
        <f>IFERROR(IF(($G360/$F360)&gt;='Discount Scheme Target'!$F$4,_xlfn.XLOOKUP($E360,'Discount Scheme Target'!$B:$B,'Discount Scheme Target'!$F:$F,0,0),IF(($G360/$F360)&gt;='Discount Scheme Target'!$E$4,_xlfn.XLOOKUP($E360,'Discount Scheme Target'!$B:$B,'Discount Scheme Target'!$E:$E,0,0),IF(($G360/$F360)&gt;='Discount Scheme Target'!$D$4,_xlfn.XLOOKUP($E360,'Discount Scheme Target'!$B:$B,'Discount Scheme Target'!$D:$D,0,0),0))),0)</f>
        <v>0</v>
      </c>
      <c r="J360" s="72">
        <f>IF(SUMIF('Customer Num Distr.'!$A:$A,Workings!$A360,'Customer Num Distr.'!$E:$E)&gt;='Discount Scheme Target'!$G$4,_xlfn.XLOOKUP(Workings!$E360,'Discount Scheme Target'!$B:$B,'Discount Scheme Target'!$G:$G,0,0),0)</f>
        <v>0</v>
      </c>
      <c r="K360" s="72">
        <f>IF(SUMIF('Bouclage EG Cust Cons_Decons'!$A:$A,Workings!$A360,'Bouclage EG Cust Cons_Decons'!$F:$F)&gt;='Discount Scheme Target'!$H$4,_xlfn.XLOOKUP(Workings!$E360,'Discount Scheme Target'!$B:$B,'Discount Scheme Target'!$H:$H,0,0),0)</f>
        <v>0</v>
      </c>
      <c r="L360" s="72">
        <f>IF(INDEX('TT Around time'!$A$1:$F$46,MATCH($A360,'TT Around time'!$A:$A,0),6)&gt;='Discount Scheme Target'!$I$4,_xlfn.XLOOKUP(Workings!$E360,'Discount Scheme Target'!$B:$B,'Discount Scheme Target'!$I:$I,0,0),0)</f>
        <v>0</v>
      </c>
      <c r="M360" s="72">
        <f t="shared" si="49"/>
        <v>0</v>
      </c>
      <c r="N360" s="62">
        <f t="shared" si="56"/>
        <v>0</v>
      </c>
      <c r="T360" s="61">
        <f t="shared" si="50"/>
        <v>0</v>
      </c>
      <c r="U360" s="61">
        <f t="shared" si="51"/>
        <v>0</v>
      </c>
      <c r="V360" s="61">
        <f t="shared" si="52"/>
        <v>0</v>
      </c>
      <c r="W360" s="61">
        <f t="shared" si="53"/>
        <v>0</v>
      </c>
      <c r="X360" s="61">
        <f t="shared" si="54"/>
        <v>0</v>
      </c>
      <c r="Y360" s="61">
        <f t="shared" si="55"/>
        <v>0</v>
      </c>
    </row>
    <row r="361" spans="1:25" x14ac:dyDescent="0.25">
      <c r="A361" s="51">
        <v>2011210001</v>
      </c>
      <c r="B361" s="51" t="s">
        <v>92</v>
      </c>
      <c r="C361" s="51" t="s">
        <v>145</v>
      </c>
      <c r="D361" s="51" t="s">
        <v>141</v>
      </c>
      <c r="E361" s="51" t="s">
        <v>354</v>
      </c>
      <c r="F361" s="52">
        <f>SUMIF('Customer Budget Per Category'!$A:$A,$A361,'Customer Budget Per Category'!$L:$L)</f>
        <v>2319</v>
      </c>
      <c r="G361" s="52">
        <f>SUMIFS('Navision sales Dump'!$E:$E,'Navision sales Dump'!$K:$K,$E361,'Navision sales Dump'!$A:$A,$A361)</f>
        <v>1872</v>
      </c>
      <c r="H361" s="62">
        <f>SUMIFS('Navision sales Dump'!$G:$G,'Navision sales Dump'!$K:$K,$E361,'Navision sales Dump'!$A:$A,$A361)</f>
        <v>6601996.0800000001</v>
      </c>
      <c r="I361" s="72">
        <f>IFERROR(IF(($G361/$F361)&gt;='Discount Scheme Target'!$F$4,_xlfn.XLOOKUP($E361,'Discount Scheme Target'!$B:$B,'Discount Scheme Target'!$F:$F,0,0),IF(($G361/$F361)&gt;='Discount Scheme Target'!$E$4,_xlfn.XLOOKUP($E361,'Discount Scheme Target'!$B:$B,'Discount Scheme Target'!$E:$E,0,0),IF(($G361/$F361)&gt;='Discount Scheme Target'!$D$4,_xlfn.XLOOKUP($E361,'Discount Scheme Target'!$B:$B,'Discount Scheme Target'!$D:$D,0,0),0))),0)</f>
        <v>0</v>
      </c>
      <c r="J361" s="72">
        <f>IF(SUMIF('Customer Num Distr.'!$A:$A,Workings!$A361,'Customer Num Distr.'!$E:$E)&gt;='Discount Scheme Target'!$G$4,_xlfn.XLOOKUP(Workings!$E361,'Discount Scheme Target'!$B:$B,'Discount Scheme Target'!$G:$G,0,0),0)</f>
        <v>0</v>
      </c>
      <c r="K361" s="72">
        <f>IF(SUMIF('Bouclage EG Cust Cons_Decons'!$A:$A,Workings!$A361,'Bouclage EG Cust Cons_Decons'!$F:$F)&gt;='Discount Scheme Target'!$H$4,_xlfn.XLOOKUP(Workings!$E361,'Discount Scheme Target'!$B:$B,'Discount Scheme Target'!$H:$H,0,0),0)</f>
        <v>0</v>
      </c>
      <c r="L361" s="72">
        <f>IF(INDEX('TT Around time'!$A$1:$F$46,MATCH($A361,'TT Around time'!$A:$A,0),6)&gt;='Discount Scheme Target'!$I$4,_xlfn.XLOOKUP(Workings!$E361,'Discount Scheme Target'!$B:$B,'Discount Scheme Target'!$I:$I,0,0),0)</f>
        <v>5.0000000000000001E-3</v>
      </c>
      <c r="M361" s="72">
        <f t="shared" si="49"/>
        <v>5.0000000000000001E-3</v>
      </c>
      <c r="N361" s="62">
        <f t="shared" si="56"/>
        <v>40892.171232692308</v>
      </c>
      <c r="T361" s="61">
        <f t="shared" si="50"/>
        <v>0</v>
      </c>
      <c r="U361" s="61">
        <f t="shared" si="51"/>
        <v>0</v>
      </c>
      <c r="V361" s="61">
        <f t="shared" si="52"/>
        <v>0</v>
      </c>
      <c r="W361" s="61">
        <f t="shared" si="53"/>
        <v>40892.171232692308</v>
      </c>
      <c r="X361" s="61">
        <f t="shared" si="54"/>
        <v>40892.171232692308</v>
      </c>
      <c r="Y361" s="61">
        <f t="shared" si="55"/>
        <v>0</v>
      </c>
    </row>
    <row r="362" spans="1:25" x14ac:dyDescent="0.25">
      <c r="A362" s="51">
        <v>2011210001</v>
      </c>
      <c r="B362" s="51" t="s">
        <v>92</v>
      </c>
      <c r="C362" s="51" t="s">
        <v>145</v>
      </c>
      <c r="D362" s="51" t="s">
        <v>141</v>
      </c>
      <c r="E362" s="51" t="s">
        <v>355</v>
      </c>
      <c r="F362" s="52">
        <f>SUMIF('Customer Budget Per Category'!$A:$A,$A362,'Customer Budget Per Category'!$M:$M)</f>
        <v>1100.5698142550521</v>
      </c>
      <c r="G362" s="52">
        <f>SUMIFS('Navision sales Dump'!$E:$E,'Navision sales Dump'!$K:$K,$E362,'Navision sales Dump'!$A:$A,$A362)</f>
        <v>144</v>
      </c>
      <c r="H362" s="62">
        <f>SUMIFS('Navision sales Dump'!$G:$G,'Navision sales Dump'!$K:$K,$E362,'Navision sales Dump'!$A:$A,$A362)</f>
        <v>348426.72</v>
      </c>
      <c r="I362" s="72">
        <f>IFERROR(IF(($G362/$F362)&gt;='Discount Scheme Target'!$F$4,_xlfn.XLOOKUP($E362,'Discount Scheme Target'!$B:$B,'Discount Scheme Target'!$F:$F,0,0),IF(($G362/$F362)&gt;='Discount Scheme Target'!$E$4,_xlfn.XLOOKUP($E362,'Discount Scheme Target'!$B:$B,'Discount Scheme Target'!$E:$E,0,0),IF(($G362/$F362)&gt;='Discount Scheme Target'!$D$4,_xlfn.XLOOKUP($E362,'Discount Scheme Target'!$B:$B,'Discount Scheme Target'!$D:$D,0,0),0))),0)</f>
        <v>0</v>
      </c>
      <c r="J362" s="72">
        <f>IF(SUMIF('Customer Num Distr.'!$A:$A,Workings!$A362,'Customer Num Distr.'!$E:$E)&gt;='Discount Scheme Target'!$G$4,_xlfn.XLOOKUP(Workings!$E362,'Discount Scheme Target'!$B:$B,'Discount Scheme Target'!$G:$G,0,0),0)</f>
        <v>0</v>
      </c>
      <c r="K362" s="72">
        <f>IF(SUMIF('Bouclage EG Cust Cons_Decons'!$A:$A,Workings!$A362,'Bouclage EG Cust Cons_Decons'!$F:$F)&gt;='Discount Scheme Target'!$H$4,_xlfn.XLOOKUP(Workings!$E362,'Discount Scheme Target'!$B:$B,'Discount Scheme Target'!$H:$H,0,0),0)</f>
        <v>0</v>
      </c>
      <c r="L362" s="72">
        <f>IF(INDEX('TT Around time'!$A$1:$F$46,MATCH($A362,'TT Around time'!$A:$A,0),6)&gt;='Discount Scheme Target'!$I$4,_xlfn.XLOOKUP(Workings!$E362,'Discount Scheme Target'!$B:$B,'Discount Scheme Target'!$I:$I,0,0),0)</f>
        <v>5.0000000000000001E-3</v>
      </c>
      <c r="M362" s="72">
        <f t="shared" si="49"/>
        <v>5.0000000000000001E-3</v>
      </c>
      <c r="N362" s="62">
        <f t="shared" si="56"/>
        <v>13314.858698329755</v>
      </c>
      <c r="T362" s="61">
        <f t="shared" si="50"/>
        <v>0</v>
      </c>
      <c r="U362" s="61">
        <f t="shared" si="51"/>
        <v>0</v>
      </c>
      <c r="V362" s="61">
        <f t="shared" si="52"/>
        <v>0</v>
      </c>
      <c r="W362" s="61">
        <f t="shared" si="53"/>
        <v>13314.858698329755</v>
      </c>
      <c r="X362" s="61">
        <f t="shared" si="54"/>
        <v>13314.858698329755</v>
      </c>
      <c r="Y362" s="61">
        <f t="shared" si="55"/>
        <v>0</v>
      </c>
    </row>
    <row r="363" spans="1:25" x14ac:dyDescent="0.25">
      <c r="A363" s="51">
        <v>2011210001</v>
      </c>
      <c r="B363" s="51" t="s">
        <v>92</v>
      </c>
      <c r="C363" s="51" t="s">
        <v>145</v>
      </c>
      <c r="D363" s="51" t="s">
        <v>141</v>
      </c>
      <c r="E363" s="51" t="s">
        <v>132</v>
      </c>
      <c r="F363" s="52">
        <f>SUMIF('Customer Budget Per Category'!$A:$A,$A363,'Customer Budget Per Category'!$N:$N)</f>
        <v>261.78855407020984</v>
      </c>
      <c r="G363" s="52">
        <f>SUMIFS('Navision sales Dump'!$E:$E,'Navision sales Dump'!$K:$K,$E363,'Navision sales Dump'!$A:$A,$A363)</f>
        <v>144</v>
      </c>
      <c r="H363" s="62">
        <f>SUMIFS('Navision sales Dump'!$G:$G,'Navision sales Dump'!$K:$K,$E363,'Navision sales Dump'!$A:$A,$A363)</f>
        <v>314265.59999999998</v>
      </c>
      <c r="I363" s="72">
        <f>IFERROR(IF(($G363/$F363)&gt;='Discount Scheme Target'!$F$4,_xlfn.XLOOKUP($E363,'Discount Scheme Target'!$B:$B,'Discount Scheme Target'!$F:$F,0,0),IF(($G363/$F363)&gt;='Discount Scheme Target'!$E$4,_xlfn.XLOOKUP($E363,'Discount Scheme Target'!$B:$B,'Discount Scheme Target'!$E:$E,0,0),IF(($G363/$F363)&gt;='Discount Scheme Target'!$D$4,_xlfn.XLOOKUP($E363,'Discount Scheme Target'!$B:$B,'Discount Scheme Target'!$D:$D,0,0),0))),0)</f>
        <v>0</v>
      </c>
      <c r="J363" s="72">
        <f>IF(SUMIF('Customer Num Distr.'!$A:$A,Workings!$A363,'Customer Num Distr.'!$E:$E)&gt;='Discount Scheme Target'!$G$4,_xlfn.XLOOKUP(Workings!$E363,'Discount Scheme Target'!$B:$B,'Discount Scheme Target'!$G:$G,0,0),0)</f>
        <v>0</v>
      </c>
      <c r="K363" s="72">
        <f>IF(SUMIF('Bouclage EG Cust Cons_Decons'!$A:$A,Workings!$A363,'Bouclage EG Cust Cons_Decons'!$F:$F)&gt;='Discount Scheme Target'!$H$4,_xlfn.XLOOKUP(Workings!$E363,'Discount Scheme Target'!$B:$B,'Discount Scheme Target'!$H:$H,0,0),0)</f>
        <v>0</v>
      </c>
      <c r="L363" s="72">
        <f>IF(INDEX('TT Around time'!$A$1:$F$46,MATCH($A363,'TT Around time'!$A:$A,0),6)&gt;='Discount Scheme Target'!$I$4,_xlfn.XLOOKUP(Workings!$E363,'Discount Scheme Target'!$B:$B,'Discount Scheme Target'!$I:$I,0,0),0)</f>
        <v>5.0000000000000001E-3</v>
      </c>
      <c r="M363" s="72">
        <f t="shared" si="49"/>
        <v>5.0000000000000001E-3</v>
      </c>
      <c r="N363" s="62">
        <f t="shared" si="56"/>
        <v>2856.6367020141292</v>
      </c>
      <c r="T363" s="61">
        <f t="shared" si="50"/>
        <v>0</v>
      </c>
      <c r="U363" s="61">
        <f t="shared" si="51"/>
        <v>0</v>
      </c>
      <c r="V363" s="61">
        <f t="shared" si="52"/>
        <v>0</v>
      </c>
      <c r="W363" s="61">
        <f t="shared" si="53"/>
        <v>2856.6367020141292</v>
      </c>
      <c r="X363" s="61">
        <f t="shared" si="54"/>
        <v>2856.6367020141292</v>
      </c>
      <c r="Y363" s="61">
        <f t="shared" si="55"/>
        <v>0</v>
      </c>
    </row>
    <row r="364" spans="1:25" x14ac:dyDescent="0.25">
      <c r="A364" s="51">
        <v>2011210001</v>
      </c>
      <c r="B364" s="51" t="s">
        <v>92</v>
      </c>
      <c r="C364" s="51" t="s">
        <v>145</v>
      </c>
      <c r="D364" s="51" t="s">
        <v>141</v>
      </c>
      <c r="E364" s="51" t="s">
        <v>133</v>
      </c>
      <c r="F364" s="52">
        <f>SUMIF('Customer Budget Per Category'!$A:$A,$A364,'Customer Budget Per Category'!$O:$O)</f>
        <v>192</v>
      </c>
      <c r="G364" s="52">
        <f>SUMIFS('Navision sales Dump'!$E:$E,'Navision sales Dump'!$K:$K,$E364,'Navision sales Dump'!$A:$A,$A364)</f>
        <v>288</v>
      </c>
      <c r="H364" s="62">
        <f>SUMIFS('Navision sales Dump'!$G:$G,'Navision sales Dump'!$K:$K,$E364,'Navision sales Dump'!$A:$A,$A364)</f>
        <v>2165889.6</v>
      </c>
      <c r="I364" s="72">
        <f>IFERROR(IF(($G364/$F364)&gt;='Discount Scheme Target'!$F$4,_xlfn.XLOOKUP($E364,'Discount Scheme Target'!$B:$B,'Discount Scheme Target'!$F:$F,0,0),IF(($G364/$F364)&gt;='Discount Scheme Target'!$E$4,_xlfn.XLOOKUP($E364,'Discount Scheme Target'!$B:$B,'Discount Scheme Target'!$E:$E,0,0),IF(($G364/$F364)&gt;='Discount Scheme Target'!$D$4,_xlfn.XLOOKUP($E364,'Discount Scheme Target'!$B:$B,'Discount Scheme Target'!$D:$D,0,0),0))),0)</f>
        <v>0.04</v>
      </c>
      <c r="J364" s="72">
        <f>IF(SUMIF('Customer Num Distr.'!$A:$A,Workings!$A364,'Customer Num Distr.'!$E:$E)&gt;='Discount Scheme Target'!$G$4,_xlfn.XLOOKUP(Workings!$E364,'Discount Scheme Target'!$B:$B,'Discount Scheme Target'!$G:$G,0,0),0)</f>
        <v>0</v>
      </c>
      <c r="K364" s="72">
        <f>IF(SUMIF('Bouclage EG Cust Cons_Decons'!$A:$A,Workings!$A364,'Bouclage EG Cust Cons_Decons'!$F:$F)&gt;='Discount Scheme Target'!$H$4,_xlfn.XLOOKUP(Workings!$E364,'Discount Scheme Target'!$B:$B,'Discount Scheme Target'!$H:$H,0,0),0)</f>
        <v>0</v>
      </c>
      <c r="L364" s="72">
        <f>IF(INDEX('TT Around time'!$A$1:$F$46,MATCH($A364,'TT Around time'!$A:$A,0),6)&gt;='Discount Scheme Target'!$I$4,_xlfn.XLOOKUP(Workings!$E364,'Discount Scheme Target'!$B:$B,'Discount Scheme Target'!$I:$I,0,0),0)</f>
        <v>5.0000000000000001E-3</v>
      </c>
      <c r="M364" s="72">
        <f t="shared" si="49"/>
        <v>4.4999999999999998E-2</v>
      </c>
      <c r="N364" s="62">
        <f t="shared" si="56"/>
        <v>64976.688000000002</v>
      </c>
      <c r="T364" s="61">
        <f t="shared" si="50"/>
        <v>57757.056000000004</v>
      </c>
      <c r="U364" s="61">
        <f t="shared" si="51"/>
        <v>0</v>
      </c>
      <c r="V364" s="61">
        <f t="shared" si="52"/>
        <v>0</v>
      </c>
      <c r="W364" s="61">
        <f t="shared" si="53"/>
        <v>7219.6320000000005</v>
      </c>
      <c r="X364" s="61">
        <f t="shared" si="54"/>
        <v>64976.688000000002</v>
      </c>
      <c r="Y364" s="61">
        <f t="shared" si="55"/>
        <v>0</v>
      </c>
    </row>
    <row r="365" spans="1:25" x14ac:dyDescent="0.25">
      <c r="A365" s="51">
        <v>2300004648</v>
      </c>
      <c r="B365" s="51" t="s">
        <v>415</v>
      </c>
      <c r="C365" s="51" t="s">
        <v>145</v>
      </c>
      <c r="D365" s="51" t="s">
        <v>141</v>
      </c>
      <c r="E365" s="51" t="s">
        <v>417</v>
      </c>
      <c r="F365" s="52">
        <f>SUMIF('Customer Budget Per Category'!$A:$A,$A365,'Customer Budget Per Category'!$E:$E)</f>
        <v>10012</v>
      </c>
      <c r="G365" s="52">
        <f>SUMIFS('Navision sales Dump'!$E:$E,'Navision sales Dump'!$K:$K,$E365,'Navision sales Dump'!$A:$A,$A365)</f>
        <v>8148</v>
      </c>
      <c r="H365" s="62">
        <f>SUMIFS('Navision sales Dump'!$G:$G,'Navision sales Dump'!$K:$K,$E365,'Navision sales Dump'!$A:$A,$A365)</f>
        <v>58032618</v>
      </c>
      <c r="I365" s="72">
        <f>IFERROR(IF(($G365/$F365)&gt;='Discount Scheme Target'!$F$4,_xlfn.XLOOKUP($E365,'Discount Scheme Target'!$B:$B,'Discount Scheme Target'!$F:$F,0,0),IF(($G365/$F365)&gt;='Discount Scheme Target'!$E$4,_xlfn.XLOOKUP($E365,'Discount Scheme Target'!$B:$B,'Discount Scheme Target'!$E:$E,0,0),IF(($G365/$F365)&gt;='Discount Scheme Target'!$D$4,_xlfn.XLOOKUP($E365,'Discount Scheme Target'!$B:$B,'Discount Scheme Target'!$D:$D,0,0),0))),0)</f>
        <v>0</v>
      </c>
      <c r="J365" s="72">
        <f>IF(SUMIF('Customer Num Distr.'!$A:$A,Workings!$A365,'Customer Num Distr.'!$E:$E)&gt;='Discount Scheme Target'!$G$4,_xlfn.XLOOKUP(Workings!$E365,'Discount Scheme Target'!$B:$B,'Discount Scheme Target'!$G:$G,0,0),0)</f>
        <v>0</v>
      </c>
      <c r="K365" s="72">
        <f>IF(SUMIF('Bouclage EG Cust Cons_Decons'!$A:$A,Workings!$A365,'Bouclage EG Cust Cons_Decons'!$F:$F)&gt;='Discount Scheme Target'!$H$4,_xlfn.XLOOKUP(Workings!$E365,'Discount Scheme Target'!$B:$B,'Discount Scheme Target'!$H:$H,0,0),0)</f>
        <v>0</v>
      </c>
      <c r="L365" s="72">
        <f>IF(INDEX('TT Around time'!$A$1:$F$46,MATCH($A365,'TT Around time'!$A:$A,0),6)&gt;='Discount Scheme Target'!$I$4,_xlfn.XLOOKUP(Workings!$E365,'Discount Scheme Target'!$B:$B,'Discount Scheme Target'!$I:$I,0,0),0)</f>
        <v>0.01</v>
      </c>
      <c r="M365" s="72">
        <f t="shared" si="49"/>
        <v>0.01</v>
      </c>
      <c r="N365" s="62">
        <f t="shared" si="56"/>
        <v>713086.12103092775</v>
      </c>
      <c r="T365" s="61">
        <f t="shared" si="50"/>
        <v>0</v>
      </c>
      <c r="U365" s="61">
        <f t="shared" si="51"/>
        <v>0</v>
      </c>
      <c r="V365" s="61">
        <f t="shared" si="52"/>
        <v>0</v>
      </c>
      <c r="W365" s="61">
        <f t="shared" si="53"/>
        <v>713086.12103092775</v>
      </c>
      <c r="X365" s="61">
        <f t="shared" si="54"/>
        <v>713086.12103092775</v>
      </c>
      <c r="Y365" s="61">
        <f t="shared" si="55"/>
        <v>0</v>
      </c>
    </row>
    <row r="366" spans="1:25" x14ac:dyDescent="0.25">
      <c r="A366" s="51">
        <v>2300004648</v>
      </c>
      <c r="B366" s="51" t="s">
        <v>415</v>
      </c>
      <c r="C366" s="51" t="s">
        <v>145</v>
      </c>
      <c r="D366" s="51" t="s">
        <v>141</v>
      </c>
      <c r="E366" s="51" t="s">
        <v>418</v>
      </c>
      <c r="F366" s="52">
        <f>SUMIF('Customer Budget Per Category'!$A:$A,$A366,'Customer Budget Per Category'!$F:$F)</f>
        <v>0</v>
      </c>
      <c r="G366" s="52">
        <f>SUMIFS('Navision sales Dump'!$E:$E,'Navision sales Dump'!$K:$K,$E366,'Navision sales Dump'!$A:$A,$A366)</f>
        <v>0</v>
      </c>
      <c r="H366" s="62">
        <f>SUMIFS('Navision sales Dump'!$G:$G,'Navision sales Dump'!$K:$K,$E366,'Navision sales Dump'!$A:$A,$A366)</f>
        <v>0</v>
      </c>
      <c r="I366" s="72">
        <f>IFERROR(IF(($G366/$F366)&gt;='Discount Scheme Target'!$F$4,_xlfn.XLOOKUP($E366,'Discount Scheme Target'!$B:$B,'Discount Scheme Target'!$F:$F,0,0),IF(($G366/$F366)&gt;='Discount Scheme Target'!$E$4,_xlfn.XLOOKUP($E366,'Discount Scheme Target'!$B:$B,'Discount Scheme Target'!$E:$E,0,0),IF(($G366/$F366)&gt;='Discount Scheme Target'!$D$4,_xlfn.XLOOKUP($E366,'Discount Scheme Target'!$B:$B,'Discount Scheme Target'!$D:$D,0,0),0))),0)</f>
        <v>0</v>
      </c>
      <c r="J366" s="72">
        <f>IF(SUMIF('Customer Num Distr.'!$A:$A,Workings!$A366,'Customer Num Distr.'!$E:$E)&gt;='Discount Scheme Target'!$G$4,_xlfn.XLOOKUP(Workings!$E366,'Discount Scheme Target'!$B:$B,'Discount Scheme Target'!$G:$G,0,0),0)</f>
        <v>0</v>
      </c>
      <c r="K366" s="72">
        <f>IF(SUMIF('Bouclage EG Cust Cons_Decons'!$A:$A,Workings!$A366,'Bouclage EG Cust Cons_Decons'!$F:$F)&gt;='Discount Scheme Target'!$H$4,_xlfn.XLOOKUP(Workings!$E366,'Discount Scheme Target'!$B:$B,'Discount Scheme Target'!$H:$H,0,0),0)</f>
        <v>0</v>
      </c>
      <c r="L366" s="72">
        <f>IF(INDEX('TT Around time'!$A$1:$F$46,MATCH($A366,'TT Around time'!$A:$A,0),6)&gt;='Discount Scheme Target'!$I$4,_xlfn.XLOOKUP(Workings!$E366,'Discount Scheme Target'!$B:$B,'Discount Scheme Target'!$I:$I,0,0),0)</f>
        <v>0</v>
      </c>
      <c r="M366" s="72">
        <f t="shared" si="49"/>
        <v>0</v>
      </c>
      <c r="N366" s="62">
        <f t="shared" si="56"/>
        <v>0</v>
      </c>
      <c r="T366" s="61">
        <f t="shared" si="50"/>
        <v>0</v>
      </c>
      <c r="U366" s="61">
        <f t="shared" si="51"/>
        <v>0</v>
      </c>
      <c r="V366" s="61">
        <f t="shared" si="52"/>
        <v>0</v>
      </c>
      <c r="W366" s="61">
        <f t="shared" si="53"/>
        <v>0</v>
      </c>
      <c r="X366" s="61">
        <f t="shared" si="54"/>
        <v>0</v>
      </c>
      <c r="Y366" s="61">
        <f t="shared" si="55"/>
        <v>0</v>
      </c>
    </row>
    <row r="367" spans="1:25" x14ac:dyDescent="0.25">
      <c r="A367" s="51">
        <v>2300004648</v>
      </c>
      <c r="B367" s="51" t="s">
        <v>415</v>
      </c>
      <c r="C367" s="51" t="s">
        <v>145</v>
      </c>
      <c r="D367" s="51" t="s">
        <v>141</v>
      </c>
      <c r="E367" s="51" t="s">
        <v>130</v>
      </c>
      <c r="F367" s="52">
        <f>SUMIF('Customer Budget Per Category'!$A:$A,$A367,'Customer Budget Per Category'!$G:$G)</f>
        <v>215</v>
      </c>
      <c r="G367" s="52">
        <f>SUMIFS('Navision sales Dump'!$E:$E,'Navision sales Dump'!$K:$K,$E367,'Navision sales Dump'!$A:$A,$A367)</f>
        <v>216</v>
      </c>
      <c r="H367" s="62">
        <f>SUMIFS('Navision sales Dump'!$G:$G,'Navision sales Dump'!$K:$K,$E367,'Navision sales Dump'!$A:$A,$A367)</f>
        <v>1668669.12</v>
      </c>
      <c r="I367" s="72">
        <f>IFERROR(IF(($G367/$F367)&gt;='Discount Scheme Target'!$F$4,_xlfn.XLOOKUP($E367,'Discount Scheme Target'!$B:$B,'Discount Scheme Target'!$F:$F,0,0),IF(($G367/$F367)&gt;='Discount Scheme Target'!$E$4,_xlfn.XLOOKUP($E367,'Discount Scheme Target'!$B:$B,'Discount Scheme Target'!$E:$E,0,0),IF(($G367/$F367)&gt;='Discount Scheme Target'!$D$4,_xlfn.XLOOKUP($E367,'Discount Scheme Target'!$B:$B,'Discount Scheme Target'!$D:$D,0,0),0))),0)</f>
        <v>1.4999999999999999E-2</v>
      </c>
      <c r="J367" s="72">
        <f>IF(SUMIF('Customer Num Distr.'!$A:$A,Workings!$A367,'Customer Num Distr.'!$E:$E)&gt;='Discount Scheme Target'!$G$4,_xlfn.XLOOKUP(Workings!$E367,'Discount Scheme Target'!$B:$B,'Discount Scheme Target'!$G:$G,0,0),0)</f>
        <v>0</v>
      </c>
      <c r="K367" s="72">
        <f>IF(SUMIF('Bouclage EG Cust Cons_Decons'!$A:$A,Workings!$A367,'Bouclage EG Cust Cons_Decons'!$F:$F)&gt;='Discount Scheme Target'!$H$4,_xlfn.XLOOKUP(Workings!$E367,'Discount Scheme Target'!$B:$B,'Discount Scheme Target'!$H:$H,0,0),0)</f>
        <v>0</v>
      </c>
      <c r="L367" s="72">
        <f>IF(INDEX('TT Around time'!$A$1:$F$46,MATCH($A367,'TT Around time'!$A:$A,0),6)&gt;='Discount Scheme Target'!$I$4,_xlfn.XLOOKUP(Workings!$E367,'Discount Scheme Target'!$B:$B,'Discount Scheme Target'!$I:$I,0,0),0)</f>
        <v>0.01</v>
      </c>
      <c r="M367" s="72">
        <f t="shared" si="49"/>
        <v>2.5000000000000001E-2</v>
      </c>
      <c r="N367" s="62">
        <f t="shared" si="56"/>
        <v>41523.595000000001</v>
      </c>
      <c r="T367" s="61">
        <f t="shared" si="50"/>
        <v>24914.156999999999</v>
      </c>
      <c r="U367" s="61">
        <f t="shared" si="51"/>
        <v>0</v>
      </c>
      <c r="V367" s="61">
        <f t="shared" si="52"/>
        <v>0</v>
      </c>
      <c r="W367" s="61">
        <f t="shared" si="53"/>
        <v>16609.438000000002</v>
      </c>
      <c r="X367" s="61">
        <f t="shared" si="54"/>
        <v>41523.595000000001</v>
      </c>
      <c r="Y367" s="61">
        <f t="shared" si="55"/>
        <v>0</v>
      </c>
    </row>
    <row r="368" spans="1:25" x14ac:dyDescent="0.25">
      <c r="A368" s="51">
        <v>2300004648</v>
      </c>
      <c r="B368" s="51" t="s">
        <v>415</v>
      </c>
      <c r="C368" s="51" t="s">
        <v>145</v>
      </c>
      <c r="D368" s="51" t="s">
        <v>141</v>
      </c>
      <c r="E368" s="51" t="s">
        <v>131</v>
      </c>
      <c r="F368" s="52">
        <f>SUMIF('Customer Budget Per Category'!$A:$A,$A368,'Customer Budget Per Category'!$H:$H)</f>
        <v>41.918045730584964</v>
      </c>
      <c r="G368" s="52">
        <f>SUMIFS('Navision sales Dump'!$E:$E,'Navision sales Dump'!$K:$K,$E368,'Navision sales Dump'!$A:$A,$A368)</f>
        <v>50</v>
      </c>
      <c r="H368" s="62">
        <f>SUMIFS('Navision sales Dump'!$G:$G,'Navision sales Dump'!$K:$K,$E368,'Navision sales Dump'!$A:$A,$A368)</f>
        <v>1904611.5</v>
      </c>
      <c r="I368" s="72">
        <f>IFERROR(IF(($G368/$F368)&gt;='Discount Scheme Target'!$F$4,_xlfn.XLOOKUP($E368,'Discount Scheme Target'!$B:$B,'Discount Scheme Target'!$F:$F,0,0),IF(($G368/$F368)&gt;='Discount Scheme Target'!$E$4,_xlfn.XLOOKUP($E368,'Discount Scheme Target'!$B:$B,'Discount Scheme Target'!$E:$E,0,0),IF(($G368/$F368)&gt;='Discount Scheme Target'!$D$4,_xlfn.XLOOKUP($E368,'Discount Scheme Target'!$B:$B,'Discount Scheme Target'!$D:$D,0,0),0))),0)</f>
        <v>0.04</v>
      </c>
      <c r="J368" s="72">
        <f>IF(SUMIF('Customer Num Distr.'!$A:$A,Workings!$A368,'Customer Num Distr.'!$E:$E)&gt;='Discount Scheme Target'!$G$4,_xlfn.XLOOKUP(Workings!$E368,'Discount Scheme Target'!$B:$B,'Discount Scheme Target'!$G:$G,0,0),0)</f>
        <v>0</v>
      </c>
      <c r="K368" s="72">
        <f>IF(SUMIF('Bouclage EG Cust Cons_Decons'!$A:$A,Workings!$A368,'Bouclage EG Cust Cons_Decons'!$F:$F)&gt;='Discount Scheme Target'!$H$4,_xlfn.XLOOKUP(Workings!$E368,'Discount Scheme Target'!$B:$B,'Discount Scheme Target'!$H:$H,0,0),0)</f>
        <v>0</v>
      </c>
      <c r="L368" s="72">
        <f>IF(INDEX('TT Around time'!$A$1:$F$46,MATCH($A368,'TT Around time'!$A:$A,0),6)&gt;='Discount Scheme Target'!$I$4,_xlfn.XLOOKUP(Workings!$E368,'Discount Scheme Target'!$B:$B,'Discount Scheme Target'!$I:$I,0,0),0)</f>
        <v>5.0000000000000001E-3</v>
      </c>
      <c r="M368" s="72">
        <f t="shared" si="49"/>
        <v>4.4999999999999998E-2</v>
      </c>
      <c r="N368" s="62">
        <f t="shared" si="56"/>
        <v>71853.832760398218</v>
      </c>
      <c r="T368" s="61">
        <f t="shared" si="50"/>
        <v>63870.073564798426</v>
      </c>
      <c r="U368" s="61">
        <f t="shared" si="51"/>
        <v>0</v>
      </c>
      <c r="V368" s="61">
        <f t="shared" si="52"/>
        <v>0</v>
      </c>
      <c r="W368" s="61">
        <f t="shared" si="53"/>
        <v>7983.7591955998032</v>
      </c>
      <c r="X368" s="61">
        <f t="shared" si="54"/>
        <v>71853.832760398232</v>
      </c>
      <c r="Y368" s="61">
        <f t="shared" si="55"/>
        <v>0</v>
      </c>
    </row>
    <row r="369" spans="1:25" x14ac:dyDescent="0.25">
      <c r="A369" s="51">
        <v>2300004648</v>
      </c>
      <c r="B369" s="51" t="s">
        <v>415</v>
      </c>
      <c r="C369" s="51" t="s">
        <v>145</v>
      </c>
      <c r="D369" s="51" t="s">
        <v>141</v>
      </c>
      <c r="E369" s="51" t="s">
        <v>514</v>
      </c>
      <c r="F369" s="52">
        <f>SUMIF('Customer Budget Per Category'!$A:$A,$A369,'Customer Budget Per Category'!$I:$I)</f>
        <v>3612</v>
      </c>
      <c r="G369" s="52">
        <f>SUMIFS('Navision sales Dump'!$E:$E,'Navision sales Dump'!$K:$K,$E369,'Navision sales Dump'!$A:$A,$A369)</f>
        <v>2016</v>
      </c>
      <c r="H369" s="62">
        <f>SUMIFS('Navision sales Dump'!$G:$G,'Navision sales Dump'!$K:$K,$E369,'Navision sales Dump'!$A:$A,$A369)</f>
        <v>7979388.4799999995</v>
      </c>
      <c r="I369" s="72">
        <f>IFERROR(IF(($G369/$F369)&gt;='Discount Scheme Target'!$F$4,_xlfn.XLOOKUP($E369,'Discount Scheme Target'!$B:$B,'Discount Scheme Target'!$F:$F,0,0),IF(($G369/$F369)&gt;='Discount Scheme Target'!$E$4,_xlfn.XLOOKUP($E369,'Discount Scheme Target'!$B:$B,'Discount Scheme Target'!$E:$E,0,0),IF(($G369/$F369)&gt;='Discount Scheme Target'!$D$4,_xlfn.XLOOKUP($E369,'Discount Scheme Target'!$B:$B,'Discount Scheme Target'!$D:$D,0,0),0))),0)</f>
        <v>0</v>
      </c>
      <c r="J369" s="72">
        <f>IF(SUMIF('Customer Num Distr.'!$A:$A,Workings!$A369,'Customer Num Distr.'!$E:$E)&gt;='Discount Scheme Target'!$G$4,_xlfn.XLOOKUP(Workings!$E369,'Discount Scheme Target'!$B:$B,'Discount Scheme Target'!$G:$G,0,0),0)</f>
        <v>0</v>
      </c>
      <c r="K369" s="72">
        <f>IF(SUMIF('Bouclage EG Cust Cons_Decons'!$A:$A,Workings!$A369,'Bouclage EG Cust Cons_Decons'!$F:$F)&gt;='Discount Scheme Target'!$H$4,_xlfn.XLOOKUP(Workings!$E369,'Discount Scheme Target'!$B:$B,'Discount Scheme Target'!$H:$H,0,0),0)</f>
        <v>0</v>
      </c>
      <c r="L369" s="72">
        <f>IF(INDEX('TT Around time'!$A$1:$F$46,MATCH($A369,'TT Around time'!$A:$A,0),6)&gt;='Discount Scheme Target'!$I$4,_xlfn.XLOOKUP(Workings!$E369,'Discount Scheme Target'!$B:$B,'Discount Scheme Target'!$I:$I,0,0),0)</f>
        <v>5.0000000000000001E-3</v>
      </c>
      <c r="M369" s="72">
        <f t="shared" si="49"/>
        <v>5.0000000000000001E-3</v>
      </c>
      <c r="N369" s="62">
        <f t="shared" si="56"/>
        <v>71482.021800000002</v>
      </c>
      <c r="T369" s="61">
        <f t="shared" si="50"/>
        <v>0</v>
      </c>
      <c r="U369" s="61">
        <f t="shared" si="51"/>
        <v>0</v>
      </c>
      <c r="V369" s="61">
        <f t="shared" si="52"/>
        <v>0</v>
      </c>
      <c r="W369" s="61">
        <f t="shared" si="53"/>
        <v>71482.021800000002</v>
      </c>
      <c r="X369" s="61">
        <f t="shared" si="54"/>
        <v>71482.021800000002</v>
      </c>
      <c r="Y369" s="61">
        <f t="shared" si="55"/>
        <v>0</v>
      </c>
    </row>
    <row r="370" spans="1:25" x14ac:dyDescent="0.25">
      <c r="A370" s="51">
        <v>2300004648</v>
      </c>
      <c r="B370" s="51" t="s">
        <v>415</v>
      </c>
      <c r="C370" s="51" t="s">
        <v>145</v>
      </c>
      <c r="D370" s="51" t="s">
        <v>141</v>
      </c>
      <c r="E370" s="51" t="s">
        <v>515</v>
      </c>
      <c r="F370" s="52">
        <f>SUMIF('Customer Budget Per Category'!$A:$A,$A370,'Customer Budget Per Category'!$J:$J)</f>
        <v>380</v>
      </c>
      <c r="G370" s="52">
        <f>SUMIFS('Navision sales Dump'!$E:$E,'Navision sales Dump'!$K:$K,$E370,'Navision sales Dump'!$A:$A,$A370)</f>
        <v>0</v>
      </c>
      <c r="H370" s="62">
        <f>SUMIFS('Navision sales Dump'!$G:$G,'Navision sales Dump'!$K:$K,$E370,'Navision sales Dump'!$A:$A,$A370)</f>
        <v>0</v>
      </c>
      <c r="I370" s="72">
        <f>IFERROR(IF(($G370/$F370)&gt;='Discount Scheme Target'!$F$4,_xlfn.XLOOKUP($E370,'Discount Scheme Target'!$B:$B,'Discount Scheme Target'!$F:$F,0,0),IF(($G370/$F370)&gt;='Discount Scheme Target'!$E$4,_xlfn.XLOOKUP($E370,'Discount Scheme Target'!$B:$B,'Discount Scheme Target'!$E:$E,0,0),IF(($G370/$F370)&gt;='Discount Scheme Target'!$D$4,_xlfn.XLOOKUP($E370,'Discount Scheme Target'!$B:$B,'Discount Scheme Target'!$D:$D,0,0),0))),0)</f>
        <v>0</v>
      </c>
      <c r="J370" s="72">
        <f>IF(SUMIF('Customer Num Distr.'!$A:$A,Workings!$A370,'Customer Num Distr.'!$E:$E)&gt;='Discount Scheme Target'!$G$4,_xlfn.XLOOKUP(Workings!$E370,'Discount Scheme Target'!$B:$B,'Discount Scheme Target'!$G:$G,0,0),0)</f>
        <v>0</v>
      </c>
      <c r="K370" s="72">
        <f>IF(SUMIF('Bouclage EG Cust Cons_Decons'!$A:$A,Workings!$A370,'Bouclage EG Cust Cons_Decons'!$F:$F)&gt;='Discount Scheme Target'!$H$4,_xlfn.XLOOKUP(Workings!$E370,'Discount Scheme Target'!$B:$B,'Discount Scheme Target'!$H:$H,0,0),0)</f>
        <v>0</v>
      </c>
      <c r="L370" s="72">
        <f>IF(INDEX('TT Around time'!$A$1:$F$46,MATCH($A370,'TT Around time'!$A:$A,0),6)&gt;='Discount Scheme Target'!$I$4,_xlfn.XLOOKUP(Workings!$E370,'Discount Scheme Target'!$B:$B,'Discount Scheme Target'!$I:$I,0,0),0)</f>
        <v>5.0000000000000001E-3</v>
      </c>
      <c r="M370" s="72">
        <f t="shared" si="49"/>
        <v>5.0000000000000001E-3</v>
      </c>
      <c r="N370" s="62">
        <f t="shared" si="56"/>
        <v>0</v>
      </c>
      <c r="T370" s="61">
        <f t="shared" si="50"/>
        <v>0</v>
      </c>
      <c r="U370" s="61">
        <f t="shared" si="51"/>
        <v>0</v>
      </c>
      <c r="V370" s="61">
        <f t="shared" si="52"/>
        <v>0</v>
      </c>
      <c r="W370" s="61">
        <f t="shared" si="53"/>
        <v>0</v>
      </c>
      <c r="X370" s="61">
        <f t="shared" si="54"/>
        <v>0</v>
      </c>
      <c r="Y370" s="61">
        <f t="shared" si="55"/>
        <v>0</v>
      </c>
    </row>
    <row r="371" spans="1:25" x14ac:dyDescent="0.25">
      <c r="A371" s="51">
        <v>2300004648</v>
      </c>
      <c r="B371" s="51" t="s">
        <v>415</v>
      </c>
      <c r="C371" s="51" t="s">
        <v>145</v>
      </c>
      <c r="D371" s="51" t="s">
        <v>141</v>
      </c>
      <c r="E371" s="51" t="s">
        <v>161</v>
      </c>
      <c r="F371" s="52">
        <f>SUMIF('Customer Budget Per Category'!$A:$A,$A371,'Customer Budget Per Category'!$K:$K)</f>
        <v>0</v>
      </c>
      <c r="G371" s="52">
        <f>SUMIFS('Navision sales Dump'!$E:$E,'Navision sales Dump'!$K:$K,$E371,'Navision sales Dump'!$A:$A,$A371)</f>
        <v>0</v>
      </c>
      <c r="H371" s="62">
        <f>SUMIFS('Navision sales Dump'!$G:$G,'Navision sales Dump'!$K:$K,$E371,'Navision sales Dump'!$A:$A,$A371)</f>
        <v>0</v>
      </c>
      <c r="I371" s="72">
        <f>IFERROR(IF(($G371/$F371)&gt;='Discount Scheme Target'!$F$4,_xlfn.XLOOKUP($E371,'Discount Scheme Target'!$B:$B,'Discount Scheme Target'!$F:$F,0,0),IF(($G371/$F371)&gt;='Discount Scheme Target'!$E$4,_xlfn.XLOOKUP($E371,'Discount Scheme Target'!$B:$B,'Discount Scheme Target'!$E:$E,0,0),IF(($G371/$F371)&gt;='Discount Scheme Target'!$D$4,_xlfn.XLOOKUP($E371,'Discount Scheme Target'!$B:$B,'Discount Scheme Target'!$D:$D,0,0),0))),0)</f>
        <v>0</v>
      </c>
      <c r="J371" s="72">
        <f>IF(SUMIF('Customer Num Distr.'!$A:$A,Workings!$A371,'Customer Num Distr.'!$E:$E)&gt;='Discount Scheme Target'!$G$4,_xlfn.XLOOKUP(Workings!$E371,'Discount Scheme Target'!$B:$B,'Discount Scheme Target'!$G:$G,0,0),0)</f>
        <v>0</v>
      </c>
      <c r="K371" s="72">
        <f>IF(SUMIF('Bouclage EG Cust Cons_Decons'!$A:$A,Workings!$A371,'Bouclage EG Cust Cons_Decons'!$F:$F)&gt;='Discount Scheme Target'!$H$4,_xlfn.XLOOKUP(Workings!$E371,'Discount Scheme Target'!$B:$B,'Discount Scheme Target'!$H:$H,0,0),0)</f>
        <v>0</v>
      </c>
      <c r="L371" s="72">
        <f>IF(INDEX('TT Around time'!$A$1:$F$46,MATCH($A371,'TT Around time'!$A:$A,0),6)&gt;='Discount Scheme Target'!$I$4,_xlfn.XLOOKUP(Workings!$E371,'Discount Scheme Target'!$B:$B,'Discount Scheme Target'!$I:$I,0,0),0)</f>
        <v>0</v>
      </c>
      <c r="M371" s="72">
        <f t="shared" si="49"/>
        <v>0</v>
      </c>
      <c r="N371" s="62">
        <f t="shared" si="56"/>
        <v>0</v>
      </c>
      <c r="T371" s="61">
        <f t="shared" si="50"/>
        <v>0</v>
      </c>
      <c r="U371" s="61">
        <f t="shared" si="51"/>
        <v>0</v>
      </c>
      <c r="V371" s="61">
        <f t="shared" si="52"/>
        <v>0</v>
      </c>
      <c r="W371" s="61">
        <f t="shared" si="53"/>
        <v>0</v>
      </c>
      <c r="X371" s="61">
        <f t="shared" si="54"/>
        <v>0</v>
      </c>
      <c r="Y371" s="61">
        <f t="shared" si="55"/>
        <v>0</v>
      </c>
    </row>
    <row r="372" spans="1:25" x14ac:dyDescent="0.25">
      <c r="A372" s="51">
        <v>2300004648</v>
      </c>
      <c r="B372" s="51" t="s">
        <v>415</v>
      </c>
      <c r="C372" s="51" t="s">
        <v>145</v>
      </c>
      <c r="D372" s="51" t="s">
        <v>141</v>
      </c>
      <c r="E372" s="51" t="s">
        <v>354</v>
      </c>
      <c r="F372" s="52">
        <f>SUMIF('Customer Budget Per Category'!$A:$A,$A372,'Customer Budget Per Category'!$L:$L)</f>
        <v>1305</v>
      </c>
      <c r="G372" s="52">
        <f>SUMIFS('Navision sales Dump'!$E:$E,'Navision sales Dump'!$K:$K,$E372,'Navision sales Dump'!$A:$A,$A372)</f>
        <v>648</v>
      </c>
      <c r="H372" s="62">
        <f>SUMIFS('Navision sales Dump'!$G:$G,'Navision sales Dump'!$K:$K,$E372,'Navision sales Dump'!$A:$A,$A372)</f>
        <v>2232329.7599999998</v>
      </c>
      <c r="I372" s="72">
        <f>IFERROR(IF(($G372/$F372)&gt;='Discount Scheme Target'!$F$4,_xlfn.XLOOKUP($E372,'Discount Scheme Target'!$B:$B,'Discount Scheme Target'!$F:$F,0,0),IF(($G372/$F372)&gt;='Discount Scheme Target'!$E$4,_xlfn.XLOOKUP($E372,'Discount Scheme Target'!$B:$B,'Discount Scheme Target'!$E:$E,0,0),IF(($G372/$F372)&gt;='Discount Scheme Target'!$D$4,_xlfn.XLOOKUP($E372,'Discount Scheme Target'!$B:$B,'Discount Scheme Target'!$D:$D,0,0),0))),0)</f>
        <v>0</v>
      </c>
      <c r="J372" s="72">
        <f>IF(SUMIF('Customer Num Distr.'!$A:$A,Workings!$A372,'Customer Num Distr.'!$E:$E)&gt;='Discount Scheme Target'!$G$4,_xlfn.XLOOKUP(Workings!$E372,'Discount Scheme Target'!$B:$B,'Discount Scheme Target'!$G:$G,0,0),0)</f>
        <v>0</v>
      </c>
      <c r="K372" s="72">
        <f>IF(SUMIF('Bouclage EG Cust Cons_Decons'!$A:$A,Workings!$A372,'Bouclage EG Cust Cons_Decons'!$F:$F)&gt;='Discount Scheme Target'!$H$4,_xlfn.XLOOKUP(Workings!$E372,'Discount Scheme Target'!$B:$B,'Discount Scheme Target'!$H:$H,0,0),0)</f>
        <v>0</v>
      </c>
      <c r="L372" s="72">
        <f>IF(INDEX('TT Around time'!$A$1:$F$46,MATCH($A372,'TT Around time'!$A:$A,0),6)&gt;='Discount Scheme Target'!$I$4,_xlfn.XLOOKUP(Workings!$E372,'Discount Scheme Target'!$B:$B,'Discount Scheme Target'!$I:$I,0,0),0)</f>
        <v>5.0000000000000001E-3</v>
      </c>
      <c r="M372" s="72">
        <f t="shared" si="49"/>
        <v>5.0000000000000001E-3</v>
      </c>
      <c r="N372" s="62">
        <f t="shared" si="56"/>
        <v>22478.320499999998</v>
      </c>
      <c r="T372" s="61">
        <f t="shared" si="50"/>
        <v>0</v>
      </c>
      <c r="U372" s="61">
        <f t="shared" si="51"/>
        <v>0</v>
      </c>
      <c r="V372" s="61">
        <f t="shared" si="52"/>
        <v>0</v>
      </c>
      <c r="W372" s="61">
        <f t="shared" si="53"/>
        <v>22478.320499999998</v>
      </c>
      <c r="X372" s="61">
        <f t="shared" si="54"/>
        <v>22478.320499999998</v>
      </c>
      <c r="Y372" s="61">
        <f t="shared" si="55"/>
        <v>0</v>
      </c>
    </row>
    <row r="373" spans="1:25" x14ac:dyDescent="0.25">
      <c r="A373" s="51">
        <v>2300004648</v>
      </c>
      <c r="B373" s="51" t="s">
        <v>415</v>
      </c>
      <c r="C373" s="51" t="s">
        <v>145</v>
      </c>
      <c r="D373" s="51" t="s">
        <v>141</v>
      </c>
      <c r="E373" s="51" t="s">
        <v>355</v>
      </c>
      <c r="F373" s="52">
        <f>SUMIF('Customer Budget Per Category'!$A:$A,$A373,'Customer Budget Per Category'!$M:$M)</f>
        <v>697</v>
      </c>
      <c r="G373" s="52">
        <f>SUMIFS('Navision sales Dump'!$E:$E,'Navision sales Dump'!$K:$K,$E373,'Navision sales Dump'!$A:$A,$A373)</f>
        <v>0</v>
      </c>
      <c r="H373" s="62">
        <f>SUMIFS('Navision sales Dump'!$G:$G,'Navision sales Dump'!$K:$K,$E373,'Navision sales Dump'!$A:$A,$A373)</f>
        <v>0</v>
      </c>
      <c r="I373" s="72">
        <f>IFERROR(IF(($G373/$F373)&gt;='Discount Scheme Target'!$F$4,_xlfn.XLOOKUP($E373,'Discount Scheme Target'!$B:$B,'Discount Scheme Target'!$F:$F,0,0),IF(($G373/$F373)&gt;='Discount Scheme Target'!$E$4,_xlfn.XLOOKUP($E373,'Discount Scheme Target'!$B:$B,'Discount Scheme Target'!$E:$E,0,0),IF(($G373/$F373)&gt;='Discount Scheme Target'!$D$4,_xlfn.XLOOKUP($E373,'Discount Scheme Target'!$B:$B,'Discount Scheme Target'!$D:$D,0,0),0))),0)</f>
        <v>0</v>
      </c>
      <c r="J373" s="72">
        <f>IF(SUMIF('Customer Num Distr.'!$A:$A,Workings!$A373,'Customer Num Distr.'!$E:$E)&gt;='Discount Scheme Target'!$G$4,_xlfn.XLOOKUP(Workings!$E373,'Discount Scheme Target'!$B:$B,'Discount Scheme Target'!$G:$G,0,0),0)</f>
        <v>0</v>
      </c>
      <c r="K373" s="72">
        <f>IF(SUMIF('Bouclage EG Cust Cons_Decons'!$A:$A,Workings!$A373,'Bouclage EG Cust Cons_Decons'!$F:$F)&gt;='Discount Scheme Target'!$H$4,_xlfn.XLOOKUP(Workings!$E373,'Discount Scheme Target'!$B:$B,'Discount Scheme Target'!$H:$H,0,0),0)</f>
        <v>0</v>
      </c>
      <c r="L373" s="72">
        <f>IF(INDEX('TT Around time'!$A$1:$F$46,MATCH($A373,'TT Around time'!$A:$A,0),6)&gt;='Discount Scheme Target'!$I$4,_xlfn.XLOOKUP(Workings!$E373,'Discount Scheme Target'!$B:$B,'Discount Scheme Target'!$I:$I,0,0),0)</f>
        <v>5.0000000000000001E-3</v>
      </c>
      <c r="M373" s="72">
        <f t="shared" si="49"/>
        <v>5.0000000000000001E-3</v>
      </c>
      <c r="N373" s="62">
        <f t="shared" si="56"/>
        <v>0</v>
      </c>
      <c r="T373" s="61">
        <f t="shared" si="50"/>
        <v>0</v>
      </c>
      <c r="U373" s="61">
        <f t="shared" si="51"/>
        <v>0</v>
      </c>
      <c r="V373" s="61">
        <f t="shared" si="52"/>
        <v>0</v>
      </c>
      <c r="W373" s="61">
        <f t="shared" si="53"/>
        <v>0</v>
      </c>
      <c r="X373" s="61">
        <f t="shared" si="54"/>
        <v>0</v>
      </c>
      <c r="Y373" s="61">
        <f t="shared" si="55"/>
        <v>0</v>
      </c>
    </row>
    <row r="374" spans="1:25" x14ac:dyDescent="0.25">
      <c r="A374" s="51">
        <v>2300004648</v>
      </c>
      <c r="B374" s="51" t="s">
        <v>415</v>
      </c>
      <c r="C374" s="51" t="s">
        <v>145</v>
      </c>
      <c r="D374" s="51" t="s">
        <v>141</v>
      </c>
      <c r="E374" s="51" t="s">
        <v>132</v>
      </c>
      <c r="F374" s="52">
        <f>SUMIF('Customer Budget Per Category'!$A:$A,$A374,'Customer Budget Per Category'!$N:$N)</f>
        <v>183</v>
      </c>
      <c r="G374" s="52">
        <f>SUMIFS('Navision sales Dump'!$E:$E,'Navision sales Dump'!$K:$K,$E374,'Navision sales Dump'!$A:$A,$A374)</f>
        <v>144</v>
      </c>
      <c r="H374" s="62">
        <f>SUMIFS('Navision sales Dump'!$G:$G,'Navision sales Dump'!$K:$K,$E374,'Navision sales Dump'!$A:$A,$A374)</f>
        <v>314265.59999999998</v>
      </c>
      <c r="I374" s="72">
        <f>IFERROR(IF(($G374/$F374)&gt;='Discount Scheme Target'!$F$4,_xlfn.XLOOKUP($E374,'Discount Scheme Target'!$B:$B,'Discount Scheme Target'!$F:$F,0,0),IF(($G374/$F374)&gt;='Discount Scheme Target'!$E$4,_xlfn.XLOOKUP($E374,'Discount Scheme Target'!$B:$B,'Discount Scheme Target'!$E:$E,0,0),IF(($G374/$F374)&gt;='Discount Scheme Target'!$D$4,_xlfn.XLOOKUP($E374,'Discount Scheme Target'!$B:$B,'Discount Scheme Target'!$D:$D,0,0),0))),0)</f>
        <v>0</v>
      </c>
      <c r="J374" s="72">
        <f>IF(SUMIF('Customer Num Distr.'!$A:$A,Workings!$A374,'Customer Num Distr.'!$E:$E)&gt;='Discount Scheme Target'!$G$4,_xlfn.XLOOKUP(Workings!$E374,'Discount Scheme Target'!$B:$B,'Discount Scheme Target'!$G:$G,0,0),0)</f>
        <v>0</v>
      </c>
      <c r="K374" s="72">
        <f>IF(SUMIF('Bouclage EG Cust Cons_Decons'!$A:$A,Workings!$A374,'Bouclage EG Cust Cons_Decons'!$F:$F)&gt;='Discount Scheme Target'!$H$4,_xlfn.XLOOKUP(Workings!$E374,'Discount Scheme Target'!$B:$B,'Discount Scheme Target'!$H:$H,0,0),0)</f>
        <v>0</v>
      </c>
      <c r="L374" s="72">
        <f>IF(INDEX('TT Around time'!$A$1:$F$46,MATCH($A374,'TT Around time'!$A:$A,0),6)&gt;='Discount Scheme Target'!$I$4,_xlfn.XLOOKUP(Workings!$E374,'Discount Scheme Target'!$B:$B,'Discount Scheme Target'!$I:$I,0,0),0)</f>
        <v>5.0000000000000001E-3</v>
      </c>
      <c r="M374" s="72">
        <f t="shared" si="49"/>
        <v>5.0000000000000001E-3</v>
      </c>
      <c r="N374" s="62">
        <f t="shared" si="56"/>
        <v>1996.8959999999997</v>
      </c>
      <c r="T374" s="61">
        <f t="shared" si="50"/>
        <v>0</v>
      </c>
      <c r="U374" s="61">
        <f t="shared" si="51"/>
        <v>0</v>
      </c>
      <c r="V374" s="61">
        <f t="shared" si="52"/>
        <v>0</v>
      </c>
      <c r="W374" s="61">
        <f t="shared" si="53"/>
        <v>1996.8959999999997</v>
      </c>
      <c r="X374" s="61">
        <f t="shared" si="54"/>
        <v>1996.8959999999997</v>
      </c>
      <c r="Y374" s="61">
        <f t="shared" si="55"/>
        <v>0</v>
      </c>
    </row>
    <row r="375" spans="1:25" x14ac:dyDescent="0.25">
      <c r="A375" s="51">
        <v>2300004648</v>
      </c>
      <c r="B375" s="51" t="s">
        <v>415</v>
      </c>
      <c r="C375" s="51" t="s">
        <v>145</v>
      </c>
      <c r="D375" s="51" t="s">
        <v>141</v>
      </c>
      <c r="E375" s="51" t="s">
        <v>133</v>
      </c>
      <c r="F375" s="52">
        <f>SUMIF('Customer Budget Per Category'!$A:$A,$A375,'Customer Budget Per Category'!$O:$O)</f>
        <v>233.35260387534737</v>
      </c>
      <c r="G375" s="52">
        <f>SUMIFS('Navision sales Dump'!$E:$E,'Navision sales Dump'!$K:$K,$E375,'Navision sales Dump'!$A:$A,$A375)</f>
        <v>792</v>
      </c>
      <c r="H375" s="62">
        <f>SUMIFS('Navision sales Dump'!$G:$G,'Navision sales Dump'!$K:$K,$E375,'Navision sales Dump'!$A:$A,$A375)</f>
        <v>7941684.96</v>
      </c>
      <c r="I375" s="72">
        <f>IFERROR(IF(($G375/$F375)&gt;='Discount Scheme Target'!$F$4,_xlfn.XLOOKUP($E375,'Discount Scheme Target'!$B:$B,'Discount Scheme Target'!$F:$F,0,0),IF(($G375/$F375)&gt;='Discount Scheme Target'!$E$4,_xlfn.XLOOKUP($E375,'Discount Scheme Target'!$B:$B,'Discount Scheme Target'!$E:$E,0,0),IF(($G375/$F375)&gt;='Discount Scheme Target'!$D$4,_xlfn.XLOOKUP($E375,'Discount Scheme Target'!$B:$B,'Discount Scheme Target'!$D:$D,0,0),0))),0)</f>
        <v>0.04</v>
      </c>
      <c r="J375" s="72">
        <f>IF(SUMIF('Customer Num Distr.'!$A:$A,Workings!$A375,'Customer Num Distr.'!$E:$E)&gt;='Discount Scheme Target'!$G$4,_xlfn.XLOOKUP(Workings!$E375,'Discount Scheme Target'!$B:$B,'Discount Scheme Target'!$G:$G,0,0),0)</f>
        <v>0</v>
      </c>
      <c r="K375" s="72">
        <f>IF(SUMIF('Bouclage EG Cust Cons_Decons'!$A:$A,Workings!$A375,'Bouclage EG Cust Cons_Decons'!$F:$F)&gt;='Discount Scheme Target'!$H$4,_xlfn.XLOOKUP(Workings!$E375,'Discount Scheme Target'!$B:$B,'Discount Scheme Target'!$H:$H,0,0),0)</f>
        <v>0</v>
      </c>
      <c r="L375" s="72">
        <f>IF(INDEX('TT Around time'!$A$1:$F$46,MATCH($A375,'TT Around time'!$A:$A,0),6)&gt;='Discount Scheme Target'!$I$4,_xlfn.XLOOKUP(Workings!$E375,'Discount Scheme Target'!$B:$B,'Discount Scheme Target'!$I:$I,0,0),0)</f>
        <v>5.0000000000000001E-3</v>
      </c>
      <c r="M375" s="72">
        <f t="shared" si="49"/>
        <v>4.4999999999999998E-2</v>
      </c>
      <c r="N375" s="62">
        <f t="shared" si="56"/>
        <v>105296.18548714111</v>
      </c>
      <c r="T375" s="61">
        <f t="shared" si="50"/>
        <v>93596.609321903219</v>
      </c>
      <c r="U375" s="61">
        <f t="shared" si="51"/>
        <v>0</v>
      </c>
      <c r="V375" s="61">
        <f t="shared" si="52"/>
        <v>0</v>
      </c>
      <c r="W375" s="61">
        <f t="shared" si="53"/>
        <v>11699.576165237902</v>
      </c>
      <c r="X375" s="61">
        <f t="shared" si="54"/>
        <v>105296.18548714112</v>
      </c>
      <c r="Y375" s="61">
        <f t="shared" si="55"/>
        <v>0</v>
      </c>
    </row>
    <row r="376" spans="1:25" x14ac:dyDescent="0.25">
      <c r="A376" s="149">
        <v>2300004649</v>
      </c>
      <c r="B376" s="149" t="s">
        <v>518</v>
      </c>
      <c r="C376" s="51" t="s">
        <v>145</v>
      </c>
      <c r="D376" s="51" t="s">
        <v>141</v>
      </c>
      <c r="E376" s="51" t="s">
        <v>417</v>
      </c>
      <c r="F376" s="52">
        <f>SUMIF('Customer Budget Per Category'!$A:$A,$A376,'Customer Budget Per Category'!$E:$E)</f>
        <v>12717.42623629256</v>
      </c>
      <c r="G376" s="52">
        <f>SUMIFS('Navision sales Dump'!$E:$E,'Navision sales Dump'!$K:$K,$E376,'Navision sales Dump'!$A:$A,$A376)</f>
        <v>5016</v>
      </c>
      <c r="H376" s="62">
        <f>SUMIFS('Navision sales Dump'!$G:$G,'Navision sales Dump'!$K:$K,$E376,'Navision sales Dump'!$A:$A,$A376)</f>
        <v>36619311.299999997</v>
      </c>
      <c r="I376" s="72">
        <f>IFERROR(IF(($G376/$F376)&gt;='Discount Scheme Target'!$F$4,_xlfn.XLOOKUP($E376,'Discount Scheme Target'!$B:$B,'Discount Scheme Target'!$F:$F,0,0),IF(($G376/$F376)&gt;='Discount Scheme Target'!$E$4,_xlfn.XLOOKUP($E376,'Discount Scheme Target'!$B:$B,'Discount Scheme Target'!$E:$E,0,0),IF(($G376/$F376)&gt;='Discount Scheme Target'!$D$4,_xlfn.XLOOKUP($E376,'Discount Scheme Target'!$B:$B,'Discount Scheme Target'!$D:$D,0,0),0))),0)</f>
        <v>0</v>
      </c>
      <c r="J376" s="72">
        <f>IF(SUMIF('Customer Num Distr.'!$A:$A,Workings!$A376,'Customer Num Distr.'!$E:$E)&gt;='Discount Scheme Target'!$G$4,_xlfn.XLOOKUP(Workings!$E376,'Discount Scheme Target'!$B:$B,'Discount Scheme Target'!$G:$G,0,0),0)</f>
        <v>0</v>
      </c>
      <c r="K376" s="72">
        <f>IF(SUMIF('Bouclage EG Cust Cons_Decons'!$A:$A,Workings!$A376,'Bouclage EG Cust Cons_Decons'!$F:$F)&gt;='Discount Scheme Target'!$H$4,_xlfn.XLOOKUP(Workings!$E376,'Discount Scheme Target'!$B:$B,'Discount Scheme Target'!$H:$H,0,0),0)</f>
        <v>0</v>
      </c>
      <c r="L376" s="72">
        <f>IF(INDEX('TT Around time'!$A$1:$F$46,MATCH($A376,'TT Around time'!$A:$A,0),6)&gt;='Discount Scheme Target'!$I$4,_xlfn.XLOOKUP(Workings!$E376,'Discount Scheme Target'!$B:$B,'Discount Scheme Target'!$I:$I,0,0),0)</f>
        <v>0.01</v>
      </c>
      <c r="M376" s="72">
        <f t="shared" ref="M376:M428" si="57">SUM($I376:$L376)</f>
        <v>0.01</v>
      </c>
      <c r="N376" s="62">
        <f t="shared" ref="N376:N386" si="58">IFERROR((H376/G376)*F376*M376,)</f>
        <v>928435.78604781616</v>
      </c>
      <c r="T376" s="61">
        <f t="shared" ref="T376:T428" si="59">IFERROR(($H376/$G376)*$F376*$I376,)</f>
        <v>0</v>
      </c>
      <c r="U376" s="61">
        <f t="shared" ref="U376:U428" si="60">IFERROR(($H376/$G376)*$F376*$J376,)</f>
        <v>0</v>
      </c>
      <c r="V376" s="61">
        <f t="shared" ref="V376:V428" si="61">IFERROR(($H376/$G376)*$F376*$K376,)</f>
        <v>0</v>
      </c>
      <c r="W376" s="61">
        <f t="shared" ref="W376:W428" si="62">IFERROR(($H376/$G376)*$F376*$L376,)</f>
        <v>928435.78604781616</v>
      </c>
      <c r="X376" s="61">
        <f t="shared" ref="X376:X386" si="63">SUM(T376:W376)</f>
        <v>928435.78604781616</v>
      </c>
      <c r="Y376" s="61">
        <f t="shared" ref="Y376:Y386" si="64">N376-X376</f>
        <v>0</v>
      </c>
    </row>
    <row r="377" spans="1:25" x14ac:dyDescent="0.25">
      <c r="A377" s="149">
        <v>2300004649</v>
      </c>
      <c r="B377" s="149" t="s">
        <v>518</v>
      </c>
      <c r="C377" s="51" t="s">
        <v>145</v>
      </c>
      <c r="D377" s="51" t="s">
        <v>141</v>
      </c>
      <c r="E377" s="51" t="s">
        <v>418</v>
      </c>
      <c r="F377" s="52">
        <f>SUMIF('Customer Budget Per Category'!$A:$A,$A377,'Customer Budget Per Category'!$F:$F)</f>
        <v>0</v>
      </c>
      <c r="G377" s="52">
        <f>SUMIFS('Navision sales Dump'!$E:$E,'Navision sales Dump'!$K:$K,$E377,'Navision sales Dump'!$A:$A,$A377)</f>
        <v>0</v>
      </c>
      <c r="H377" s="62">
        <f>SUMIFS('Navision sales Dump'!$G:$G,'Navision sales Dump'!$K:$K,$E377,'Navision sales Dump'!$A:$A,$A377)</f>
        <v>0</v>
      </c>
      <c r="I377" s="72">
        <f>IFERROR(IF(($G377/$F377)&gt;='Discount Scheme Target'!$F$4,_xlfn.XLOOKUP($E377,'Discount Scheme Target'!$B:$B,'Discount Scheme Target'!$F:$F,0,0),IF(($G377/$F377)&gt;='Discount Scheme Target'!$E$4,_xlfn.XLOOKUP($E377,'Discount Scheme Target'!$B:$B,'Discount Scheme Target'!$E:$E,0,0),IF(($G377/$F377)&gt;='Discount Scheme Target'!$D$4,_xlfn.XLOOKUP($E377,'Discount Scheme Target'!$B:$B,'Discount Scheme Target'!$D:$D,0,0),0))),0)</f>
        <v>0</v>
      </c>
      <c r="J377" s="72">
        <f>IF(SUMIF('Customer Num Distr.'!$A:$A,Workings!$A377,'Customer Num Distr.'!$E:$E)&gt;='Discount Scheme Target'!$G$4,_xlfn.XLOOKUP(Workings!$E377,'Discount Scheme Target'!$B:$B,'Discount Scheme Target'!$G:$G,0,0),0)</f>
        <v>0</v>
      </c>
      <c r="K377" s="72">
        <f>IF(SUMIF('Bouclage EG Cust Cons_Decons'!$A:$A,Workings!$A377,'Bouclage EG Cust Cons_Decons'!$F:$F)&gt;='Discount Scheme Target'!$H$4,_xlfn.XLOOKUP(Workings!$E377,'Discount Scheme Target'!$B:$B,'Discount Scheme Target'!$H:$H,0,0),0)</f>
        <v>0</v>
      </c>
      <c r="L377" s="72">
        <f>IF(INDEX('TT Around time'!$A$1:$F$46,MATCH($A377,'TT Around time'!$A:$A,0),6)&gt;='Discount Scheme Target'!$I$4,_xlfn.XLOOKUP(Workings!$E377,'Discount Scheme Target'!$B:$B,'Discount Scheme Target'!$I:$I,0,0),0)</f>
        <v>0</v>
      </c>
      <c r="M377" s="72">
        <f t="shared" si="57"/>
        <v>0</v>
      </c>
      <c r="N377" s="62">
        <f t="shared" si="58"/>
        <v>0</v>
      </c>
      <c r="T377" s="61">
        <f t="shared" si="59"/>
        <v>0</v>
      </c>
      <c r="U377" s="61">
        <f t="shared" si="60"/>
        <v>0</v>
      </c>
      <c r="V377" s="61">
        <f t="shared" si="61"/>
        <v>0</v>
      </c>
      <c r="W377" s="61">
        <f t="shared" si="62"/>
        <v>0</v>
      </c>
      <c r="X377" s="61">
        <f t="shared" si="63"/>
        <v>0</v>
      </c>
      <c r="Y377" s="61">
        <f t="shared" si="64"/>
        <v>0</v>
      </c>
    </row>
    <row r="378" spans="1:25" x14ac:dyDescent="0.25">
      <c r="A378" s="149">
        <v>2300004649</v>
      </c>
      <c r="B378" s="149" t="s">
        <v>518</v>
      </c>
      <c r="C378" s="51" t="s">
        <v>145</v>
      </c>
      <c r="D378" s="51" t="s">
        <v>141</v>
      </c>
      <c r="E378" s="51" t="s">
        <v>130</v>
      </c>
      <c r="F378" s="52">
        <f>SUMIF('Customer Budget Per Category'!$A:$A,$A378,'Customer Budget Per Category'!$G:$G)</f>
        <v>321.20210868732283</v>
      </c>
      <c r="G378" s="52">
        <f>SUMIFS('Navision sales Dump'!$E:$E,'Navision sales Dump'!$K:$K,$E378,'Navision sales Dump'!$A:$A,$A378)</f>
        <v>288</v>
      </c>
      <c r="H378" s="62">
        <f>SUMIFS('Navision sales Dump'!$G:$G,'Navision sales Dump'!$K:$K,$E378,'Navision sales Dump'!$A:$A,$A378)</f>
        <v>2224892.16</v>
      </c>
      <c r="I378" s="72">
        <f>IFERROR(IF(($G378/$F378)&gt;='Discount Scheme Target'!$F$4,_xlfn.XLOOKUP($E378,'Discount Scheme Target'!$B:$B,'Discount Scheme Target'!$F:$F,0,0),IF(($G378/$F378)&gt;='Discount Scheme Target'!$E$4,_xlfn.XLOOKUP($E378,'Discount Scheme Target'!$B:$B,'Discount Scheme Target'!$E:$E,0,0),IF(($G378/$F378)&gt;='Discount Scheme Target'!$D$4,_xlfn.XLOOKUP($E378,'Discount Scheme Target'!$B:$B,'Discount Scheme Target'!$D:$D,0,0),0))),0)</f>
        <v>0</v>
      </c>
      <c r="J378" s="72">
        <f>IF(SUMIF('Customer Num Distr.'!$A:$A,Workings!$A378,'Customer Num Distr.'!$E:$E)&gt;='Discount Scheme Target'!$G$4,_xlfn.XLOOKUP(Workings!$E378,'Discount Scheme Target'!$B:$B,'Discount Scheme Target'!$G:$G,0,0),0)</f>
        <v>0</v>
      </c>
      <c r="K378" s="72">
        <f>IF(SUMIF('Bouclage EG Cust Cons_Decons'!$A:$A,Workings!$A378,'Bouclage EG Cust Cons_Decons'!$F:$F)&gt;='Discount Scheme Target'!$H$4,_xlfn.XLOOKUP(Workings!$E378,'Discount Scheme Target'!$B:$B,'Discount Scheme Target'!$H:$H,0,0),0)</f>
        <v>0</v>
      </c>
      <c r="L378" s="72">
        <f>IF(INDEX('TT Around time'!$A$1:$F$46,MATCH($A378,'TT Around time'!$A:$A,0),6)&gt;='Discount Scheme Target'!$I$4,_xlfn.XLOOKUP(Workings!$E378,'Discount Scheme Target'!$B:$B,'Discount Scheme Target'!$I:$I,0,0),0)</f>
        <v>0.01</v>
      </c>
      <c r="M378" s="72">
        <f t="shared" si="57"/>
        <v>0.01</v>
      </c>
      <c r="N378" s="62">
        <f t="shared" si="58"/>
        <v>24813.89074284349</v>
      </c>
      <c r="T378" s="61">
        <f t="shared" si="59"/>
        <v>0</v>
      </c>
      <c r="U378" s="61">
        <f t="shared" si="60"/>
        <v>0</v>
      </c>
      <c r="V378" s="61">
        <f t="shared" si="61"/>
        <v>0</v>
      </c>
      <c r="W378" s="61">
        <f t="shared" si="62"/>
        <v>24813.89074284349</v>
      </c>
      <c r="X378" s="61">
        <f t="shared" si="63"/>
        <v>24813.89074284349</v>
      </c>
      <c r="Y378" s="61">
        <f t="shared" si="64"/>
        <v>0</v>
      </c>
    </row>
    <row r="379" spans="1:25" x14ac:dyDescent="0.25">
      <c r="A379" s="149">
        <v>2300004649</v>
      </c>
      <c r="B379" s="149" t="s">
        <v>518</v>
      </c>
      <c r="C379" s="51" t="s">
        <v>145</v>
      </c>
      <c r="D379" s="51" t="s">
        <v>141</v>
      </c>
      <c r="E379" s="51" t="s">
        <v>131</v>
      </c>
      <c r="F379" s="52">
        <f>SUMIF('Customer Budget Per Category'!$A:$A,$A379,'Customer Budget Per Category'!$H:$H)</f>
        <v>120.74548641733826</v>
      </c>
      <c r="G379" s="52">
        <f>SUMIFS('Navision sales Dump'!$E:$E,'Navision sales Dump'!$K:$K,$E379,'Navision sales Dump'!$A:$A,$A379)</f>
        <v>20</v>
      </c>
      <c r="H379" s="62">
        <f>SUMIFS('Navision sales Dump'!$G:$G,'Navision sales Dump'!$K:$K,$E379,'Navision sales Dump'!$A:$A,$A379)</f>
        <v>727687.8</v>
      </c>
      <c r="I379" s="72">
        <f>IFERROR(IF(($G379/$F379)&gt;='Discount Scheme Target'!$F$4,_xlfn.XLOOKUP($E379,'Discount Scheme Target'!$B:$B,'Discount Scheme Target'!$F:$F,0,0),IF(($G379/$F379)&gt;='Discount Scheme Target'!$E$4,_xlfn.XLOOKUP($E379,'Discount Scheme Target'!$B:$B,'Discount Scheme Target'!$E:$E,0,0),IF(($G379/$F379)&gt;='Discount Scheme Target'!$D$4,_xlfn.XLOOKUP($E379,'Discount Scheme Target'!$B:$B,'Discount Scheme Target'!$D:$D,0,0),0))),0)</f>
        <v>0</v>
      </c>
      <c r="J379" s="72">
        <f>IF(SUMIF('Customer Num Distr.'!$A:$A,Workings!$A379,'Customer Num Distr.'!$E:$E)&gt;='Discount Scheme Target'!$G$4,_xlfn.XLOOKUP(Workings!$E379,'Discount Scheme Target'!$B:$B,'Discount Scheme Target'!$G:$G,0,0),0)</f>
        <v>0</v>
      </c>
      <c r="K379" s="72">
        <f>IF(SUMIF('Bouclage EG Cust Cons_Decons'!$A:$A,Workings!$A379,'Bouclage EG Cust Cons_Decons'!$F:$F)&gt;='Discount Scheme Target'!$H$4,_xlfn.XLOOKUP(Workings!$E379,'Discount Scheme Target'!$B:$B,'Discount Scheme Target'!$H:$H,0,0),0)</f>
        <v>0</v>
      </c>
      <c r="L379" s="72">
        <f>IF(INDEX('TT Around time'!$A$1:$F$46,MATCH($A379,'TT Around time'!$A:$A,0),6)&gt;='Discount Scheme Target'!$I$4,_xlfn.XLOOKUP(Workings!$E379,'Discount Scheme Target'!$B:$B,'Discount Scheme Target'!$I:$I,0,0),0)</f>
        <v>5.0000000000000001E-3</v>
      </c>
      <c r="M379" s="72">
        <f t="shared" si="57"/>
        <v>5.0000000000000001E-3</v>
      </c>
      <c r="N379" s="62">
        <f t="shared" si="58"/>
        <v>21966.254342740689</v>
      </c>
      <c r="T379" s="61">
        <f t="shared" si="59"/>
        <v>0</v>
      </c>
      <c r="U379" s="61">
        <f t="shared" si="60"/>
        <v>0</v>
      </c>
      <c r="V379" s="61">
        <f t="shared" si="61"/>
        <v>0</v>
      </c>
      <c r="W379" s="61">
        <f t="shared" si="62"/>
        <v>21966.254342740689</v>
      </c>
      <c r="X379" s="61">
        <f t="shared" si="63"/>
        <v>21966.254342740689</v>
      </c>
      <c r="Y379" s="61">
        <f t="shared" si="64"/>
        <v>0</v>
      </c>
    </row>
    <row r="380" spans="1:25" x14ac:dyDescent="0.25">
      <c r="A380" s="149">
        <v>2300004649</v>
      </c>
      <c r="B380" s="149" t="s">
        <v>518</v>
      </c>
      <c r="C380" s="51" t="s">
        <v>145</v>
      </c>
      <c r="D380" s="51" t="s">
        <v>141</v>
      </c>
      <c r="E380" s="51" t="s">
        <v>514</v>
      </c>
      <c r="F380" s="52">
        <f>SUMIF('Customer Budget Per Category'!$A:$A,$A380,'Customer Budget Per Category'!$I:$I)</f>
        <v>4176.2049022551346</v>
      </c>
      <c r="G380" s="52">
        <f>SUMIFS('Navision sales Dump'!$E:$E,'Navision sales Dump'!$K:$K,$E380,'Navision sales Dump'!$A:$A,$A380)</f>
        <v>3236</v>
      </c>
      <c r="H380" s="62">
        <f>SUMIFS('Navision sales Dump'!$G:$G,'Navision sales Dump'!$K:$K,$E380,'Navision sales Dump'!$A:$A,$A380)</f>
        <v>12808185.08</v>
      </c>
      <c r="I380" s="72">
        <f>IFERROR(IF(($G380/$F380)&gt;='Discount Scheme Target'!$F$4,_xlfn.XLOOKUP($E380,'Discount Scheme Target'!$B:$B,'Discount Scheme Target'!$F:$F,0,0),IF(($G380/$F380)&gt;='Discount Scheme Target'!$E$4,_xlfn.XLOOKUP($E380,'Discount Scheme Target'!$B:$B,'Discount Scheme Target'!$E:$E,0,0),IF(($G380/$F380)&gt;='Discount Scheme Target'!$D$4,_xlfn.XLOOKUP($E380,'Discount Scheme Target'!$B:$B,'Discount Scheme Target'!$D:$D,0,0),0))),0)</f>
        <v>0</v>
      </c>
      <c r="J380" s="72">
        <f>IF(SUMIF('Customer Num Distr.'!$A:$A,Workings!$A380,'Customer Num Distr.'!$E:$E)&gt;='Discount Scheme Target'!$G$4,_xlfn.XLOOKUP(Workings!$E380,'Discount Scheme Target'!$B:$B,'Discount Scheme Target'!$G:$G,0,0),0)</f>
        <v>0</v>
      </c>
      <c r="K380" s="72">
        <f>IF(SUMIF('Bouclage EG Cust Cons_Decons'!$A:$A,Workings!$A380,'Bouclage EG Cust Cons_Decons'!$F:$F)&gt;='Discount Scheme Target'!$H$4,_xlfn.XLOOKUP(Workings!$E380,'Discount Scheme Target'!$B:$B,'Discount Scheme Target'!$H:$H,0,0),0)</f>
        <v>0</v>
      </c>
      <c r="L380" s="72">
        <f>IF(INDEX('TT Around time'!$A$1:$F$46,MATCH($A380,'TT Around time'!$A:$A,0),6)&gt;='Discount Scheme Target'!$I$4,_xlfn.XLOOKUP(Workings!$E380,'Discount Scheme Target'!$B:$B,'Discount Scheme Target'!$I:$I,0,0),0)</f>
        <v>5.0000000000000001E-3</v>
      </c>
      <c r="M380" s="72">
        <f t="shared" si="57"/>
        <v>5.0000000000000001E-3</v>
      </c>
      <c r="N380" s="62">
        <f t="shared" si="58"/>
        <v>82647.721446364463</v>
      </c>
      <c r="T380" s="61">
        <f t="shared" si="59"/>
        <v>0</v>
      </c>
      <c r="U380" s="61">
        <f t="shared" si="60"/>
        <v>0</v>
      </c>
      <c r="V380" s="61">
        <f t="shared" si="61"/>
        <v>0</v>
      </c>
      <c r="W380" s="61">
        <f t="shared" si="62"/>
        <v>82647.721446364463</v>
      </c>
      <c r="X380" s="61">
        <f t="shared" si="63"/>
        <v>82647.721446364463</v>
      </c>
      <c r="Y380" s="61">
        <f t="shared" si="64"/>
        <v>0</v>
      </c>
    </row>
    <row r="381" spans="1:25" x14ac:dyDescent="0.25">
      <c r="A381" s="149">
        <v>2300004649</v>
      </c>
      <c r="B381" s="149" t="s">
        <v>518</v>
      </c>
      <c r="C381" s="51" t="s">
        <v>145</v>
      </c>
      <c r="D381" s="51" t="s">
        <v>141</v>
      </c>
      <c r="E381" s="51" t="s">
        <v>515</v>
      </c>
      <c r="F381" s="52">
        <f>SUMIF('Customer Budget Per Category'!$A:$A,$A381,'Customer Budget Per Category'!$J:$J)</f>
        <v>607.91304732356082</v>
      </c>
      <c r="G381" s="52">
        <f>SUMIFS('Navision sales Dump'!$E:$E,'Navision sales Dump'!$K:$K,$E381,'Navision sales Dump'!$A:$A,$A381)</f>
        <v>0</v>
      </c>
      <c r="H381" s="62">
        <f>SUMIFS('Navision sales Dump'!$G:$G,'Navision sales Dump'!$K:$K,$E381,'Navision sales Dump'!$A:$A,$A381)</f>
        <v>0</v>
      </c>
      <c r="I381" s="72">
        <f>IFERROR(IF(($G381/$F381)&gt;='Discount Scheme Target'!$F$4,_xlfn.XLOOKUP($E381,'Discount Scheme Target'!$B:$B,'Discount Scheme Target'!$F:$F,0,0),IF(($G381/$F381)&gt;='Discount Scheme Target'!$E$4,_xlfn.XLOOKUP($E381,'Discount Scheme Target'!$B:$B,'Discount Scheme Target'!$E:$E,0,0),IF(($G381/$F381)&gt;='Discount Scheme Target'!$D$4,_xlfn.XLOOKUP($E381,'Discount Scheme Target'!$B:$B,'Discount Scheme Target'!$D:$D,0,0),0))),0)</f>
        <v>0</v>
      </c>
      <c r="J381" s="72">
        <f>IF(SUMIF('Customer Num Distr.'!$A:$A,Workings!$A381,'Customer Num Distr.'!$E:$E)&gt;='Discount Scheme Target'!$G$4,_xlfn.XLOOKUP(Workings!$E381,'Discount Scheme Target'!$B:$B,'Discount Scheme Target'!$G:$G,0,0),0)</f>
        <v>0</v>
      </c>
      <c r="K381" s="72">
        <f>IF(SUMIF('Bouclage EG Cust Cons_Decons'!$A:$A,Workings!$A381,'Bouclage EG Cust Cons_Decons'!$F:$F)&gt;='Discount Scheme Target'!$H$4,_xlfn.XLOOKUP(Workings!$E381,'Discount Scheme Target'!$B:$B,'Discount Scheme Target'!$H:$H,0,0),0)</f>
        <v>0</v>
      </c>
      <c r="L381" s="72">
        <f>IF(INDEX('TT Around time'!$A$1:$F$46,MATCH($A381,'TT Around time'!$A:$A,0),6)&gt;='Discount Scheme Target'!$I$4,_xlfn.XLOOKUP(Workings!$E381,'Discount Scheme Target'!$B:$B,'Discount Scheme Target'!$I:$I,0,0),0)</f>
        <v>5.0000000000000001E-3</v>
      </c>
      <c r="M381" s="72">
        <f t="shared" si="57"/>
        <v>5.0000000000000001E-3</v>
      </c>
      <c r="N381" s="62">
        <f t="shared" si="58"/>
        <v>0</v>
      </c>
      <c r="T381" s="61">
        <f t="shared" si="59"/>
        <v>0</v>
      </c>
      <c r="U381" s="61">
        <f t="shared" si="60"/>
        <v>0</v>
      </c>
      <c r="V381" s="61">
        <f t="shared" si="61"/>
        <v>0</v>
      </c>
      <c r="W381" s="61">
        <f t="shared" si="62"/>
        <v>0</v>
      </c>
      <c r="X381" s="61">
        <f t="shared" si="63"/>
        <v>0</v>
      </c>
      <c r="Y381" s="61">
        <f t="shared" si="64"/>
        <v>0</v>
      </c>
    </row>
    <row r="382" spans="1:25" x14ac:dyDescent="0.25">
      <c r="A382" s="149">
        <v>2300004649</v>
      </c>
      <c r="B382" s="149" t="s">
        <v>518</v>
      </c>
      <c r="C382" s="51" t="s">
        <v>145</v>
      </c>
      <c r="D382" s="51" t="s">
        <v>141</v>
      </c>
      <c r="E382" s="51" t="s">
        <v>161</v>
      </c>
      <c r="F382" s="52">
        <f>SUMIF('Customer Budget Per Category'!$A:$A,$A382,'Customer Budget Per Category'!$K:$K)</f>
        <v>0</v>
      </c>
      <c r="G382" s="52">
        <f>SUMIFS('Navision sales Dump'!$E:$E,'Navision sales Dump'!$K:$K,$E382,'Navision sales Dump'!$A:$A,$A382)</f>
        <v>0</v>
      </c>
      <c r="H382" s="62">
        <f>SUMIFS('Navision sales Dump'!$G:$G,'Navision sales Dump'!$K:$K,$E382,'Navision sales Dump'!$A:$A,$A382)</f>
        <v>0</v>
      </c>
      <c r="I382" s="72">
        <f>IFERROR(IF(($G382/$F382)&gt;='Discount Scheme Target'!$F$4,_xlfn.XLOOKUP($E382,'Discount Scheme Target'!$B:$B,'Discount Scheme Target'!$F:$F,0,0),IF(($G382/$F382)&gt;='Discount Scheme Target'!$E$4,_xlfn.XLOOKUP($E382,'Discount Scheme Target'!$B:$B,'Discount Scheme Target'!$E:$E,0,0),IF(($G382/$F382)&gt;='Discount Scheme Target'!$D$4,_xlfn.XLOOKUP($E382,'Discount Scheme Target'!$B:$B,'Discount Scheme Target'!$D:$D,0,0),0))),0)</f>
        <v>0</v>
      </c>
      <c r="J382" s="72">
        <f>IF(SUMIF('Customer Num Distr.'!$A:$A,Workings!$A382,'Customer Num Distr.'!$E:$E)&gt;='Discount Scheme Target'!$G$4,_xlfn.XLOOKUP(Workings!$E382,'Discount Scheme Target'!$B:$B,'Discount Scheme Target'!$G:$G,0,0),0)</f>
        <v>0</v>
      </c>
      <c r="K382" s="72">
        <f>IF(SUMIF('Bouclage EG Cust Cons_Decons'!$A:$A,Workings!$A382,'Bouclage EG Cust Cons_Decons'!$F:$F)&gt;='Discount Scheme Target'!$H$4,_xlfn.XLOOKUP(Workings!$E382,'Discount Scheme Target'!$B:$B,'Discount Scheme Target'!$H:$H,0,0),0)</f>
        <v>0</v>
      </c>
      <c r="L382" s="72">
        <f>IF(INDEX('TT Around time'!$A$1:$F$46,MATCH($A382,'TT Around time'!$A:$A,0),6)&gt;='Discount Scheme Target'!$I$4,_xlfn.XLOOKUP(Workings!$E382,'Discount Scheme Target'!$B:$B,'Discount Scheme Target'!$I:$I,0,0),0)</f>
        <v>0</v>
      </c>
      <c r="M382" s="72">
        <f t="shared" si="57"/>
        <v>0</v>
      </c>
      <c r="N382" s="62">
        <f t="shared" si="58"/>
        <v>0</v>
      </c>
      <c r="T382" s="61">
        <f t="shared" si="59"/>
        <v>0</v>
      </c>
      <c r="U382" s="61">
        <f t="shared" si="60"/>
        <v>0</v>
      </c>
      <c r="V382" s="61">
        <f t="shared" si="61"/>
        <v>0</v>
      </c>
      <c r="W382" s="61">
        <f t="shared" si="62"/>
        <v>0</v>
      </c>
      <c r="X382" s="61">
        <f t="shared" si="63"/>
        <v>0</v>
      </c>
      <c r="Y382" s="61">
        <f t="shared" si="64"/>
        <v>0</v>
      </c>
    </row>
    <row r="383" spans="1:25" x14ac:dyDescent="0.25">
      <c r="A383" s="149">
        <v>2300004649</v>
      </c>
      <c r="B383" s="149" t="s">
        <v>518</v>
      </c>
      <c r="C383" s="51" t="s">
        <v>145</v>
      </c>
      <c r="D383" s="51" t="s">
        <v>141</v>
      </c>
      <c r="E383" s="51" t="s">
        <v>354</v>
      </c>
      <c r="F383" s="52">
        <f>SUMIF('Customer Budget Per Category'!$A:$A,$A383,'Customer Budget Per Category'!$L:$L)</f>
        <v>1571.5776820213698</v>
      </c>
      <c r="G383" s="52">
        <f>SUMIFS('Navision sales Dump'!$E:$E,'Navision sales Dump'!$K:$K,$E383,'Navision sales Dump'!$A:$A,$A383)</f>
        <v>1435</v>
      </c>
      <c r="H383" s="62">
        <f>SUMIFS('Navision sales Dump'!$G:$G,'Navision sales Dump'!$K:$K,$E383,'Navision sales Dump'!$A:$A,$A383)</f>
        <v>4922471.8900000006</v>
      </c>
      <c r="I383" s="72">
        <f>IFERROR(IF(($G383/$F383)&gt;='Discount Scheme Target'!$F$4,_xlfn.XLOOKUP($E383,'Discount Scheme Target'!$B:$B,'Discount Scheme Target'!$F:$F,0,0),IF(($G383/$F383)&gt;='Discount Scheme Target'!$E$4,_xlfn.XLOOKUP($E383,'Discount Scheme Target'!$B:$B,'Discount Scheme Target'!$E:$E,0,0),IF(($G383/$F383)&gt;='Discount Scheme Target'!$D$4,_xlfn.XLOOKUP($E383,'Discount Scheme Target'!$B:$B,'Discount Scheme Target'!$D:$D,0,0),0))),0)</f>
        <v>0</v>
      </c>
      <c r="J383" s="72">
        <f>IF(SUMIF('Customer Num Distr.'!$A:$A,Workings!$A383,'Customer Num Distr.'!$E:$E)&gt;='Discount Scheme Target'!$G$4,_xlfn.XLOOKUP(Workings!$E383,'Discount Scheme Target'!$B:$B,'Discount Scheme Target'!$G:$G,0,0),0)</f>
        <v>0</v>
      </c>
      <c r="K383" s="72">
        <f>IF(SUMIF('Bouclage EG Cust Cons_Decons'!$A:$A,Workings!$A383,'Bouclage EG Cust Cons_Decons'!$F:$F)&gt;='Discount Scheme Target'!$H$4,_xlfn.XLOOKUP(Workings!$E383,'Discount Scheme Target'!$B:$B,'Discount Scheme Target'!$H:$H,0,0),0)</f>
        <v>0</v>
      </c>
      <c r="L383" s="72">
        <f>IF(INDEX('TT Around time'!$A$1:$F$46,MATCH($A383,'TT Around time'!$A:$A,0),6)&gt;='Discount Scheme Target'!$I$4,_xlfn.XLOOKUP(Workings!$E383,'Discount Scheme Target'!$B:$B,'Discount Scheme Target'!$I:$I,0,0),0)</f>
        <v>5.0000000000000001E-3</v>
      </c>
      <c r="M383" s="72">
        <f t="shared" si="57"/>
        <v>5.0000000000000001E-3</v>
      </c>
      <c r="N383" s="62">
        <f t="shared" si="58"/>
        <v>26954.867465859064</v>
      </c>
      <c r="T383" s="61">
        <f t="shared" si="59"/>
        <v>0</v>
      </c>
      <c r="U383" s="61">
        <f t="shared" si="60"/>
        <v>0</v>
      </c>
      <c r="V383" s="61">
        <f t="shared" si="61"/>
        <v>0</v>
      </c>
      <c r="W383" s="61">
        <f t="shared" si="62"/>
        <v>26954.867465859064</v>
      </c>
      <c r="X383" s="61">
        <f t="shared" si="63"/>
        <v>26954.867465859064</v>
      </c>
      <c r="Y383" s="61">
        <f t="shared" si="64"/>
        <v>0</v>
      </c>
    </row>
    <row r="384" spans="1:25" x14ac:dyDescent="0.25">
      <c r="A384" s="149">
        <v>2300004649</v>
      </c>
      <c r="B384" s="149" t="s">
        <v>518</v>
      </c>
      <c r="C384" s="51" t="s">
        <v>145</v>
      </c>
      <c r="D384" s="51" t="s">
        <v>141</v>
      </c>
      <c r="E384" s="51" t="s">
        <v>355</v>
      </c>
      <c r="F384" s="52">
        <f>SUMIF('Customer Budget Per Category'!$A:$A,$A384,'Customer Budget Per Category'!$M:$M)</f>
        <v>1128.8565625384895</v>
      </c>
      <c r="G384" s="52">
        <f>SUMIFS('Navision sales Dump'!$E:$E,'Navision sales Dump'!$K:$K,$E384,'Navision sales Dump'!$A:$A,$A384)</f>
        <v>285</v>
      </c>
      <c r="H384" s="62">
        <f>SUMIFS('Navision sales Dump'!$G:$G,'Navision sales Dump'!$K:$K,$E384,'Navision sales Dump'!$A:$A,$A384)</f>
        <v>689594.55</v>
      </c>
      <c r="I384" s="72">
        <f>IFERROR(IF(($G384/$F384)&gt;='Discount Scheme Target'!$F$4,_xlfn.XLOOKUP($E384,'Discount Scheme Target'!$B:$B,'Discount Scheme Target'!$F:$F,0,0),IF(($G384/$F384)&gt;='Discount Scheme Target'!$E$4,_xlfn.XLOOKUP($E384,'Discount Scheme Target'!$B:$B,'Discount Scheme Target'!$E:$E,0,0),IF(($G384/$F384)&gt;='Discount Scheme Target'!$D$4,_xlfn.XLOOKUP($E384,'Discount Scheme Target'!$B:$B,'Discount Scheme Target'!$D:$D,0,0),0))),0)</f>
        <v>0</v>
      </c>
      <c r="J384" s="72">
        <f>IF(SUMIF('Customer Num Distr.'!$A:$A,Workings!$A384,'Customer Num Distr.'!$E:$E)&gt;='Discount Scheme Target'!$G$4,_xlfn.XLOOKUP(Workings!$E384,'Discount Scheme Target'!$B:$B,'Discount Scheme Target'!$G:$G,0,0),0)</f>
        <v>0</v>
      </c>
      <c r="K384" s="72">
        <f>IF(SUMIF('Bouclage EG Cust Cons_Decons'!$A:$A,Workings!$A384,'Bouclage EG Cust Cons_Decons'!$F:$F)&gt;='Discount Scheme Target'!$H$4,_xlfn.XLOOKUP(Workings!$E384,'Discount Scheme Target'!$B:$B,'Discount Scheme Target'!$H:$H,0,0),0)</f>
        <v>0</v>
      </c>
      <c r="L384" s="72">
        <f>IF(INDEX('TT Around time'!$A$1:$F$46,MATCH($A384,'TT Around time'!$A:$A,0),6)&gt;='Discount Scheme Target'!$I$4,_xlfn.XLOOKUP(Workings!$E384,'Discount Scheme Target'!$B:$B,'Discount Scheme Target'!$I:$I,0,0),0)</f>
        <v>5.0000000000000001E-3</v>
      </c>
      <c r="M384" s="72">
        <f t="shared" si="57"/>
        <v>5.0000000000000001E-3</v>
      </c>
      <c r="N384" s="62">
        <f t="shared" si="58"/>
        <v>13657.076022075029</v>
      </c>
      <c r="T384" s="61">
        <f t="shared" si="59"/>
        <v>0</v>
      </c>
      <c r="U384" s="61">
        <f t="shared" si="60"/>
        <v>0</v>
      </c>
      <c r="V384" s="61">
        <f t="shared" si="61"/>
        <v>0</v>
      </c>
      <c r="W384" s="61">
        <f t="shared" si="62"/>
        <v>13657.076022075029</v>
      </c>
      <c r="X384" s="61">
        <f t="shared" si="63"/>
        <v>13657.076022075029</v>
      </c>
      <c r="Y384" s="61">
        <f t="shared" si="64"/>
        <v>0</v>
      </c>
    </row>
    <row r="385" spans="1:25" x14ac:dyDescent="0.25">
      <c r="A385" s="149">
        <v>2300004649</v>
      </c>
      <c r="B385" s="149" t="s">
        <v>518</v>
      </c>
      <c r="C385" s="51" t="s">
        <v>145</v>
      </c>
      <c r="D385" s="51" t="s">
        <v>141</v>
      </c>
      <c r="E385" s="51" t="s">
        <v>132</v>
      </c>
      <c r="F385" s="52">
        <f>SUMIF('Customer Budget Per Category'!$A:$A,$A385,'Customer Budget Per Category'!$N:$N)</f>
        <v>340.24420349810151</v>
      </c>
      <c r="G385" s="52">
        <f>SUMIFS('Navision sales Dump'!$E:$E,'Navision sales Dump'!$K:$K,$E385,'Navision sales Dump'!$A:$A,$A385)</f>
        <v>144</v>
      </c>
      <c r="H385" s="62">
        <f>SUMIFS('Navision sales Dump'!$G:$G,'Navision sales Dump'!$K:$K,$E385,'Navision sales Dump'!$A:$A,$A385)</f>
        <v>314265.59999999998</v>
      </c>
      <c r="I385" s="72">
        <f>IFERROR(IF(($G385/$F385)&gt;='Discount Scheme Target'!$F$4,_xlfn.XLOOKUP($E385,'Discount Scheme Target'!$B:$B,'Discount Scheme Target'!$F:$F,0,0),IF(($G385/$F385)&gt;='Discount Scheme Target'!$E$4,_xlfn.XLOOKUP($E385,'Discount Scheme Target'!$B:$B,'Discount Scheme Target'!$E:$E,0,0),IF(($G385/$F385)&gt;='Discount Scheme Target'!$D$4,_xlfn.XLOOKUP($E385,'Discount Scheme Target'!$B:$B,'Discount Scheme Target'!$D:$D,0,0),0))),0)</f>
        <v>0</v>
      </c>
      <c r="J385" s="72">
        <f>IF(SUMIF('Customer Num Distr.'!$A:$A,Workings!$A385,'Customer Num Distr.'!$E:$E)&gt;='Discount Scheme Target'!$G$4,_xlfn.XLOOKUP(Workings!$E385,'Discount Scheme Target'!$B:$B,'Discount Scheme Target'!$G:$G,0,0),0)</f>
        <v>0</v>
      </c>
      <c r="K385" s="72">
        <f>IF(SUMIF('Bouclage EG Cust Cons_Decons'!$A:$A,Workings!$A385,'Bouclage EG Cust Cons_Decons'!$F:$F)&gt;='Discount Scheme Target'!$H$4,_xlfn.XLOOKUP(Workings!$E385,'Discount Scheme Target'!$B:$B,'Discount Scheme Target'!$H:$H,0,0),0)</f>
        <v>0</v>
      </c>
      <c r="L385" s="72">
        <f>IF(INDEX('TT Around time'!$A$1:$F$46,MATCH($A385,'TT Around time'!$A:$A,0),6)&gt;='Discount Scheme Target'!$I$4,_xlfn.XLOOKUP(Workings!$E385,'Discount Scheme Target'!$B:$B,'Discount Scheme Target'!$I:$I,0,0),0)</f>
        <v>5.0000000000000001E-3</v>
      </c>
      <c r="M385" s="72">
        <f t="shared" si="57"/>
        <v>5.0000000000000001E-3</v>
      </c>
      <c r="N385" s="62">
        <f t="shared" si="58"/>
        <v>3712.7447485712828</v>
      </c>
      <c r="T385" s="61">
        <f t="shared" si="59"/>
        <v>0</v>
      </c>
      <c r="U385" s="61">
        <f t="shared" si="60"/>
        <v>0</v>
      </c>
      <c r="V385" s="61">
        <f t="shared" si="61"/>
        <v>0</v>
      </c>
      <c r="W385" s="61">
        <f t="shared" si="62"/>
        <v>3712.7447485712828</v>
      </c>
      <c r="X385" s="61">
        <f t="shared" si="63"/>
        <v>3712.7447485712828</v>
      </c>
      <c r="Y385" s="61">
        <f t="shared" si="64"/>
        <v>0</v>
      </c>
    </row>
    <row r="386" spans="1:25" x14ac:dyDescent="0.25">
      <c r="A386" s="149">
        <v>2300004649</v>
      </c>
      <c r="B386" s="149" t="s">
        <v>518</v>
      </c>
      <c r="C386" s="51" t="s">
        <v>145</v>
      </c>
      <c r="D386" s="51" t="s">
        <v>141</v>
      </c>
      <c r="E386" s="51" t="s">
        <v>133</v>
      </c>
      <c r="F386" s="52">
        <f>SUMIF('Customer Budget Per Category'!$A:$A,$A386,'Customer Budget Per Category'!$O:$O)</f>
        <v>315.39255073589459</v>
      </c>
      <c r="G386" s="52">
        <f>SUMIFS('Navision sales Dump'!$E:$E,'Navision sales Dump'!$K:$K,$E386,'Navision sales Dump'!$A:$A,$A386)</f>
        <v>0</v>
      </c>
      <c r="H386" s="62">
        <f>SUMIFS('Navision sales Dump'!$G:$G,'Navision sales Dump'!$K:$K,$E386,'Navision sales Dump'!$A:$A,$A386)</f>
        <v>0</v>
      </c>
      <c r="I386" s="72">
        <f>IFERROR(IF(($G386/$F386)&gt;='Discount Scheme Target'!$F$4,_xlfn.XLOOKUP($E386,'Discount Scheme Target'!$B:$B,'Discount Scheme Target'!$F:$F,0,0),IF(($G386/$F386)&gt;='Discount Scheme Target'!$E$4,_xlfn.XLOOKUP($E386,'Discount Scheme Target'!$B:$B,'Discount Scheme Target'!$E:$E,0,0),IF(($G386/$F386)&gt;='Discount Scheme Target'!$D$4,_xlfn.XLOOKUP($E386,'Discount Scheme Target'!$B:$B,'Discount Scheme Target'!$D:$D,0,0),0))),0)</f>
        <v>0</v>
      </c>
      <c r="J386" s="72">
        <f>IF(SUMIF('Customer Num Distr.'!$A:$A,Workings!$A386,'Customer Num Distr.'!$E:$E)&gt;='Discount Scheme Target'!$G$4,_xlfn.XLOOKUP(Workings!$E386,'Discount Scheme Target'!$B:$B,'Discount Scheme Target'!$G:$G,0,0),0)</f>
        <v>0</v>
      </c>
      <c r="K386" s="72">
        <f>IF(SUMIF('Bouclage EG Cust Cons_Decons'!$A:$A,Workings!$A386,'Bouclage EG Cust Cons_Decons'!$F:$F)&gt;='Discount Scheme Target'!$H$4,_xlfn.XLOOKUP(Workings!$E386,'Discount Scheme Target'!$B:$B,'Discount Scheme Target'!$H:$H,0,0),0)</f>
        <v>0</v>
      </c>
      <c r="L386" s="72">
        <f>IF(INDEX('TT Around time'!$A$1:$F$46,MATCH($A386,'TT Around time'!$A:$A,0),6)&gt;='Discount Scheme Target'!$I$4,_xlfn.XLOOKUP(Workings!$E386,'Discount Scheme Target'!$B:$B,'Discount Scheme Target'!$I:$I,0,0),0)</f>
        <v>5.0000000000000001E-3</v>
      </c>
      <c r="M386" s="72">
        <f t="shared" si="57"/>
        <v>5.0000000000000001E-3</v>
      </c>
      <c r="N386" s="62">
        <f t="shared" si="58"/>
        <v>0</v>
      </c>
      <c r="T386" s="61">
        <f t="shared" si="59"/>
        <v>0</v>
      </c>
      <c r="U386" s="61">
        <f t="shared" si="60"/>
        <v>0</v>
      </c>
      <c r="V386" s="61">
        <f t="shared" si="61"/>
        <v>0</v>
      </c>
      <c r="W386" s="61">
        <f t="shared" si="62"/>
        <v>0</v>
      </c>
      <c r="X386" s="61">
        <f t="shared" si="63"/>
        <v>0</v>
      </c>
      <c r="Y386" s="61">
        <f t="shared" si="64"/>
        <v>0</v>
      </c>
    </row>
    <row r="387" spans="1:25" x14ac:dyDescent="0.25">
      <c r="A387" s="51">
        <v>3300002022</v>
      </c>
      <c r="B387" s="51" t="s">
        <v>116</v>
      </c>
      <c r="C387" s="51" t="s">
        <v>145</v>
      </c>
      <c r="D387" s="51" t="s">
        <v>141</v>
      </c>
      <c r="E387" s="51" t="s">
        <v>417</v>
      </c>
      <c r="F387" s="52">
        <f>SUMIF('Customer Budget Per Category'!$A:$A,$A387,'Customer Budget Per Category'!$E:$E)</f>
        <v>8453</v>
      </c>
      <c r="G387" s="52">
        <f>SUMIFS('Navision sales Dump'!$E:$E,'Navision sales Dump'!$K:$K,$E387,'Navision sales Dump'!$A:$A,$A387)</f>
        <v>4464</v>
      </c>
      <c r="H387" s="62">
        <f>SUMIFS('Navision sales Dump'!$G:$G,'Navision sales Dump'!$K:$K,$E387,'Navision sales Dump'!$A:$A,$A387)</f>
        <v>32075536.32</v>
      </c>
      <c r="I387" s="72">
        <f>IFERROR(IF(($G387/$F387)&gt;='Discount Scheme Target'!$F$4,_xlfn.XLOOKUP($E387,'Discount Scheme Target'!$B:$B,'Discount Scheme Target'!$F:$F,0,0),IF(($G387/$F387)&gt;='Discount Scheme Target'!$E$4,_xlfn.XLOOKUP($E387,'Discount Scheme Target'!$B:$B,'Discount Scheme Target'!$E:$E,0,0),IF(($G387/$F387)&gt;='Discount Scheme Target'!$D$4,_xlfn.XLOOKUP($E387,'Discount Scheme Target'!$B:$B,'Discount Scheme Target'!$D:$D,0,0),0))),0)</f>
        <v>0</v>
      </c>
      <c r="J387" s="72">
        <f>IF(SUMIF('Customer Num Distr.'!$A:$A,Workings!$A387,'Customer Num Distr.'!$E:$E)&gt;='Discount Scheme Target'!$G$4,_xlfn.XLOOKUP(Workings!$E387,'Discount Scheme Target'!$B:$B,'Discount Scheme Target'!$G:$G,0,0),0)</f>
        <v>0</v>
      </c>
      <c r="K387" s="72">
        <f>IF(SUMIF('Bouclage EG Cust Cons_Decons'!$A:$A,Workings!$A387,'Bouclage EG Cust Cons_Decons'!$F:$F)&gt;='Discount Scheme Target'!$H$4,_xlfn.XLOOKUP(Workings!$E387,'Discount Scheme Target'!$B:$B,'Discount Scheme Target'!$H:$H,0,0),0)</f>
        <v>0</v>
      </c>
      <c r="L387" s="72">
        <f>IF(INDEX('TT Around time'!$A$1:$F$46,MATCH($A387,'TT Around time'!$A:$A,0),6)&gt;='Discount Scheme Target'!$I$4,_xlfn.XLOOKUP(Workings!$E387,'Discount Scheme Target'!$B:$B,'Discount Scheme Target'!$I:$I,0,0),0)</f>
        <v>0.01</v>
      </c>
      <c r="M387" s="72">
        <f t="shared" si="57"/>
        <v>0.01</v>
      </c>
      <c r="N387" s="62">
        <f t="shared" si="56"/>
        <v>607380.17139999999</v>
      </c>
      <c r="T387" s="61">
        <f t="shared" si="59"/>
        <v>0</v>
      </c>
      <c r="U387" s="61">
        <f t="shared" si="60"/>
        <v>0</v>
      </c>
      <c r="V387" s="61">
        <f t="shared" si="61"/>
        <v>0</v>
      </c>
      <c r="W387" s="61">
        <f t="shared" si="62"/>
        <v>607380.17139999999</v>
      </c>
      <c r="X387" s="61">
        <f t="shared" ref="X387:X428" si="65">SUM(T387:W387)</f>
        <v>607380.17139999999</v>
      </c>
      <c r="Y387" s="61">
        <f t="shared" ref="Y387:Y428" si="66">N387-X387</f>
        <v>0</v>
      </c>
    </row>
    <row r="388" spans="1:25" x14ac:dyDescent="0.25">
      <c r="A388" s="51">
        <v>3300002022</v>
      </c>
      <c r="B388" s="51" t="s">
        <v>116</v>
      </c>
      <c r="C388" s="51" t="s">
        <v>145</v>
      </c>
      <c r="D388" s="51" t="s">
        <v>141</v>
      </c>
      <c r="E388" s="51" t="s">
        <v>418</v>
      </c>
      <c r="F388" s="52">
        <f>SUMIF('Customer Budget Per Category'!$A:$A,$A388,'Customer Budget Per Category'!$F:$F)</f>
        <v>0</v>
      </c>
      <c r="G388" s="52">
        <f>SUMIFS('Navision sales Dump'!$E:$E,'Navision sales Dump'!$K:$K,$E388,'Navision sales Dump'!$A:$A,$A388)</f>
        <v>0</v>
      </c>
      <c r="H388" s="62">
        <f>SUMIFS('Navision sales Dump'!$G:$G,'Navision sales Dump'!$K:$K,$E388,'Navision sales Dump'!$A:$A,$A388)</f>
        <v>0</v>
      </c>
      <c r="I388" s="72">
        <f>IFERROR(IF(($G388/$F388)&gt;='Discount Scheme Target'!$F$4,_xlfn.XLOOKUP($E388,'Discount Scheme Target'!$B:$B,'Discount Scheme Target'!$F:$F,0,0),IF(($G388/$F388)&gt;='Discount Scheme Target'!$E$4,_xlfn.XLOOKUP($E388,'Discount Scheme Target'!$B:$B,'Discount Scheme Target'!$E:$E,0,0),IF(($G388/$F388)&gt;='Discount Scheme Target'!$D$4,_xlfn.XLOOKUP($E388,'Discount Scheme Target'!$B:$B,'Discount Scheme Target'!$D:$D,0,0),0))),0)</f>
        <v>0</v>
      </c>
      <c r="J388" s="72">
        <f>IF(SUMIF('Customer Num Distr.'!$A:$A,Workings!$A388,'Customer Num Distr.'!$E:$E)&gt;='Discount Scheme Target'!$G$4,_xlfn.XLOOKUP(Workings!$E388,'Discount Scheme Target'!$B:$B,'Discount Scheme Target'!$G:$G,0,0),0)</f>
        <v>0</v>
      </c>
      <c r="K388" s="72">
        <f>IF(SUMIF('Bouclage EG Cust Cons_Decons'!$A:$A,Workings!$A388,'Bouclage EG Cust Cons_Decons'!$F:$F)&gt;='Discount Scheme Target'!$H$4,_xlfn.XLOOKUP(Workings!$E388,'Discount Scheme Target'!$B:$B,'Discount Scheme Target'!$H:$H,0,0),0)</f>
        <v>0</v>
      </c>
      <c r="L388" s="72">
        <f>IF(INDEX('TT Around time'!$A$1:$F$46,MATCH($A388,'TT Around time'!$A:$A,0),6)&gt;='Discount Scheme Target'!$I$4,_xlfn.XLOOKUP(Workings!$E388,'Discount Scheme Target'!$B:$B,'Discount Scheme Target'!$I:$I,0,0),0)</f>
        <v>0</v>
      </c>
      <c r="M388" s="72">
        <f t="shared" si="57"/>
        <v>0</v>
      </c>
      <c r="N388" s="62">
        <f t="shared" ref="N388:N440" si="67">IFERROR((H388/G388)*F388*M388,)</f>
        <v>0</v>
      </c>
      <c r="T388" s="61">
        <f t="shared" si="59"/>
        <v>0</v>
      </c>
      <c r="U388" s="61">
        <f t="shared" si="60"/>
        <v>0</v>
      </c>
      <c r="V388" s="61">
        <f t="shared" si="61"/>
        <v>0</v>
      </c>
      <c r="W388" s="61">
        <f t="shared" si="62"/>
        <v>0</v>
      </c>
      <c r="X388" s="61">
        <f t="shared" si="65"/>
        <v>0</v>
      </c>
      <c r="Y388" s="61">
        <f t="shared" si="66"/>
        <v>0</v>
      </c>
    </row>
    <row r="389" spans="1:25" x14ac:dyDescent="0.25">
      <c r="A389" s="51">
        <v>3300002022</v>
      </c>
      <c r="B389" s="51" t="s">
        <v>116</v>
      </c>
      <c r="C389" s="51" t="s">
        <v>145</v>
      </c>
      <c r="D389" s="51" t="s">
        <v>141</v>
      </c>
      <c r="E389" s="51" t="s">
        <v>130</v>
      </c>
      <c r="F389" s="52">
        <f>SUMIF('Customer Budget Per Category'!$A:$A,$A389,'Customer Budget Per Category'!$G:$G)</f>
        <v>163.41633919135779</v>
      </c>
      <c r="G389" s="52">
        <f>SUMIFS('Navision sales Dump'!$E:$E,'Navision sales Dump'!$K:$K,$E389,'Navision sales Dump'!$A:$A,$A389)</f>
        <v>144</v>
      </c>
      <c r="H389" s="62">
        <f>SUMIFS('Navision sales Dump'!$G:$G,'Navision sales Dump'!$K:$K,$E389,'Navision sales Dump'!$A:$A,$A389)</f>
        <v>1112446.08</v>
      </c>
      <c r="I389" s="72">
        <f>IFERROR(IF(($G389/$F389)&gt;='Discount Scheme Target'!$F$4,_xlfn.XLOOKUP($E389,'Discount Scheme Target'!$B:$B,'Discount Scheme Target'!$F:$F,0,0),IF(($G389/$F389)&gt;='Discount Scheme Target'!$E$4,_xlfn.XLOOKUP($E389,'Discount Scheme Target'!$B:$B,'Discount Scheme Target'!$E:$E,0,0),IF(($G389/$F389)&gt;='Discount Scheme Target'!$D$4,_xlfn.XLOOKUP($E389,'Discount Scheme Target'!$B:$B,'Discount Scheme Target'!$D:$D,0,0),0))),0)</f>
        <v>0</v>
      </c>
      <c r="J389" s="72">
        <f>IF(SUMIF('Customer Num Distr.'!$A:$A,Workings!$A389,'Customer Num Distr.'!$E:$E)&gt;='Discount Scheme Target'!$G$4,_xlfn.XLOOKUP(Workings!$E389,'Discount Scheme Target'!$B:$B,'Discount Scheme Target'!$G:$G,0,0),0)</f>
        <v>0</v>
      </c>
      <c r="K389" s="72">
        <f>IF(SUMIF('Bouclage EG Cust Cons_Decons'!$A:$A,Workings!$A389,'Bouclage EG Cust Cons_Decons'!$F:$F)&gt;='Discount Scheme Target'!$H$4,_xlfn.XLOOKUP(Workings!$E389,'Discount Scheme Target'!$B:$B,'Discount Scheme Target'!$H:$H,0,0),0)</f>
        <v>0</v>
      </c>
      <c r="L389" s="72">
        <f>IF(INDEX('TT Around time'!$A$1:$F$46,MATCH($A389,'TT Around time'!$A:$A,0),6)&gt;='Discount Scheme Target'!$I$4,_xlfn.XLOOKUP(Workings!$E389,'Discount Scheme Target'!$B:$B,'Discount Scheme Target'!$I:$I,0,0),0)</f>
        <v>0.01</v>
      </c>
      <c r="M389" s="72">
        <f t="shared" si="57"/>
        <v>0.01</v>
      </c>
      <c r="N389" s="62">
        <f t="shared" si="67"/>
        <v>12624.435134817802</v>
      </c>
      <c r="T389" s="61">
        <f t="shared" si="59"/>
        <v>0</v>
      </c>
      <c r="U389" s="61">
        <f t="shared" si="60"/>
        <v>0</v>
      </c>
      <c r="V389" s="61">
        <f t="shared" si="61"/>
        <v>0</v>
      </c>
      <c r="W389" s="61">
        <f t="shared" si="62"/>
        <v>12624.435134817802</v>
      </c>
      <c r="X389" s="61">
        <f t="shared" si="65"/>
        <v>12624.435134817802</v>
      </c>
      <c r="Y389" s="61">
        <f t="shared" si="66"/>
        <v>0</v>
      </c>
    </row>
    <row r="390" spans="1:25" x14ac:dyDescent="0.25">
      <c r="A390" s="51">
        <v>3300002022</v>
      </c>
      <c r="B390" s="51" t="s">
        <v>116</v>
      </c>
      <c r="C390" s="51" t="s">
        <v>145</v>
      </c>
      <c r="D390" s="51" t="s">
        <v>141</v>
      </c>
      <c r="E390" s="51" t="s">
        <v>131</v>
      </c>
      <c r="F390" s="52">
        <f>SUMIF('Customer Budget Per Category'!$A:$A,$A390,'Customer Budget Per Category'!$H:$H)</f>
        <v>26.082339565697318</v>
      </c>
      <c r="G390" s="52">
        <f>SUMIFS('Navision sales Dump'!$E:$E,'Navision sales Dump'!$K:$K,$E390,'Navision sales Dump'!$A:$A,$A390)</f>
        <v>49</v>
      </c>
      <c r="H390" s="62">
        <f>SUMIFS('Navision sales Dump'!$G:$G,'Navision sales Dump'!$K:$K,$E390,'Navision sales Dump'!$A:$A,$A390)</f>
        <v>1782835.11</v>
      </c>
      <c r="I390" s="72">
        <f>IFERROR(IF(($G390/$F390)&gt;='Discount Scheme Target'!$F$4,_xlfn.XLOOKUP($E390,'Discount Scheme Target'!$B:$B,'Discount Scheme Target'!$F:$F,0,0),IF(($G390/$F390)&gt;='Discount Scheme Target'!$E$4,_xlfn.XLOOKUP($E390,'Discount Scheme Target'!$B:$B,'Discount Scheme Target'!$E:$E,0,0),IF(($G390/$F390)&gt;='Discount Scheme Target'!$D$4,_xlfn.XLOOKUP($E390,'Discount Scheme Target'!$B:$B,'Discount Scheme Target'!$D:$D,0,0),0))),0)</f>
        <v>0.04</v>
      </c>
      <c r="J390" s="72">
        <f>IF(SUMIF('Customer Num Distr.'!$A:$A,Workings!$A390,'Customer Num Distr.'!$E:$E)&gt;='Discount Scheme Target'!$G$4,_xlfn.XLOOKUP(Workings!$E390,'Discount Scheme Target'!$B:$B,'Discount Scheme Target'!$G:$G,0,0),0)</f>
        <v>0</v>
      </c>
      <c r="K390" s="72">
        <f>IF(SUMIF('Bouclage EG Cust Cons_Decons'!$A:$A,Workings!$A390,'Bouclage EG Cust Cons_Decons'!$F:$F)&gt;='Discount Scheme Target'!$H$4,_xlfn.XLOOKUP(Workings!$E390,'Discount Scheme Target'!$B:$B,'Discount Scheme Target'!$H:$H,0,0),0)</f>
        <v>0</v>
      </c>
      <c r="L390" s="72">
        <f>IF(INDEX('TT Around time'!$A$1:$F$46,MATCH($A390,'TT Around time'!$A:$A,0),6)&gt;='Discount Scheme Target'!$I$4,_xlfn.XLOOKUP(Workings!$E390,'Discount Scheme Target'!$B:$B,'Discount Scheme Target'!$I:$I,0,0),0)</f>
        <v>5.0000000000000001E-3</v>
      </c>
      <c r="M390" s="72">
        <f t="shared" si="57"/>
        <v>4.4999999999999998E-2</v>
      </c>
      <c r="N390" s="62">
        <f t="shared" si="67"/>
        <v>42704.550669184282</v>
      </c>
      <c r="T390" s="61">
        <f t="shared" si="59"/>
        <v>37959.600594830474</v>
      </c>
      <c r="U390" s="61">
        <f t="shared" si="60"/>
        <v>0</v>
      </c>
      <c r="V390" s="61">
        <f t="shared" si="61"/>
        <v>0</v>
      </c>
      <c r="W390" s="61">
        <f t="shared" si="62"/>
        <v>4744.9500743538092</v>
      </c>
      <c r="X390" s="61">
        <f t="shared" si="65"/>
        <v>42704.550669184282</v>
      </c>
      <c r="Y390" s="61">
        <f t="shared" si="66"/>
        <v>0</v>
      </c>
    </row>
    <row r="391" spans="1:25" x14ac:dyDescent="0.25">
      <c r="A391" s="51">
        <v>3300002022</v>
      </c>
      <c r="B391" s="51" t="s">
        <v>116</v>
      </c>
      <c r="C391" s="51" t="s">
        <v>145</v>
      </c>
      <c r="D391" s="51" t="s">
        <v>141</v>
      </c>
      <c r="E391" s="51" t="s">
        <v>514</v>
      </c>
      <c r="F391" s="52">
        <f>SUMIF('Customer Budget Per Category'!$A:$A,$A391,'Customer Budget Per Category'!$I:$I)</f>
        <v>3794.6816450833617</v>
      </c>
      <c r="G391" s="52">
        <f>SUMIFS('Navision sales Dump'!$E:$E,'Navision sales Dump'!$K:$K,$E391,'Navision sales Dump'!$A:$A,$A391)</f>
        <v>3744</v>
      </c>
      <c r="H391" s="62">
        <f>SUMIFS('Navision sales Dump'!$G:$G,'Navision sales Dump'!$K:$K,$E391,'Navision sales Dump'!$A:$A,$A391)</f>
        <v>14818864.32</v>
      </c>
      <c r="I391" s="72">
        <f>IFERROR(IF(($G391/$F391)&gt;='Discount Scheme Target'!$F$4,_xlfn.XLOOKUP($E391,'Discount Scheme Target'!$B:$B,'Discount Scheme Target'!$F:$F,0,0),IF(($G391/$F391)&gt;='Discount Scheme Target'!$E$4,_xlfn.XLOOKUP($E391,'Discount Scheme Target'!$B:$B,'Discount Scheme Target'!$E:$E,0,0),IF(($G391/$F391)&gt;='Discount Scheme Target'!$D$4,_xlfn.XLOOKUP($E391,'Discount Scheme Target'!$B:$B,'Discount Scheme Target'!$D:$D,0,0),0))),0)</f>
        <v>0</v>
      </c>
      <c r="J391" s="72">
        <f>IF(SUMIF('Customer Num Distr.'!$A:$A,Workings!$A391,'Customer Num Distr.'!$E:$E)&gt;='Discount Scheme Target'!$G$4,_xlfn.XLOOKUP(Workings!$E391,'Discount Scheme Target'!$B:$B,'Discount Scheme Target'!$G:$G,0,0),0)</f>
        <v>0</v>
      </c>
      <c r="K391" s="72">
        <f>IF(SUMIF('Bouclage EG Cust Cons_Decons'!$A:$A,Workings!$A391,'Bouclage EG Cust Cons_Decons'!$F:$F)&gt;='Discount Scheme Target'!$H$4,_xlfn.XLOOKUP(Workings!$E391,'Discount Scheme Target'!$B:$B,'Discount Scheme Target'!$H:$H,0,0),0)</f>
        <v>0</v>
      </c>
      <c r="L391" s="72">
        <f>IF(INDEX('TT Around time'!$A$1:$F$46,MATCH($A391,'TT Around time'!$A:$A,0),6)&gt;='Discount Scheme Target'!$I$4,_xlfn.XLOOKUP(Workings!$E391,'Discount Scheme Target'!$B:$B,'Discount Scheme Target'!$I:$I,0,0),0)</f>
        <v>5.0000000000000001E-3</v>
      </c>
      <c r="M391" s="72">
        <f t="shared" si="57"/>
        <v>5.0000000000000001E-3</v>
      </c>
      <c r="N391" s="62">
        <f t="shared" si="67"/>
        <v>75097.3189584465</v>
      </c>
      <c r="T391" s="61">
        <f t="shared" si="59"/>
        <v>0</v>
      </c>
      <c r="U391" s="61">
        <f t="shared" si="60"/>
        <v>0</v>
      </c>
      <c r="V391" s="61">
        <f t="shared" si="61"/>
        <v>0</v>
      </c>
      <c r="W391" s="61">
        <f t="shared" si="62"/>
        <v>75097.3189584465</v>
      </c>
      <c r="X391" s="61">
        <f t="shared" si="65"/>
        <v>75097.3189584465</v>
      </c>
      <c r="Y391" s="61">
        <f t="shared" si="66"/>
        <v>0</v>
      </c>
    </row>
    <row r="392" spans="1:25" x14ac:dyDescent="0.25">
      <c r="A392" s="51">
        <v>3300002022</v>
      </c>
      <c r="B392" s="51" t="s">
        <v>116</v>
      </c>
      <c r="C392" s="51" t="s">
        <v>145</v>
      </c>
      <c r="D392" s="51" t="s">
        <v>141</v>
      </c>
      <c r="E392" s="51" t="s">
        <v>515</v>
      </c>
      <c r="F392" s="52">
        <f>SUMIF('Customer Budget Per Category'!$A:$A,$A392,'Customer Budget Per Category'!$J:$J)</f>
        <v>399.59483029899343</v>
      </c>
      <c r="G392" s="52">
        <f>SUMIFS('Navision sales Dump'!$E:$E,'Navision sales Dump'!$K:$K,$E392,'Navision sales Dump'!$A:$A,$A392)</f>
        <v>432</v>
      </c>
      <c r="H392" s="62">
        <f>SUMIFS('Navision sales Dump'!$G:$G,'Navision sales Dump'!$K:$K,$E392,'Navision sales Dump'!$A:$A,$A392)</f>
        <v>1219492.7999999998</v>
      </c>
      <c r="I392" s="72">
        <f>IFERROR(IF(($G392/$F392)&gt;='Discount Scheme Target'!$F$4,_xlfn.XLOOKUP($E392,'Discount Scheme Target'!$B:$B,'Discount Scheme Target'!$F:$F,0,0),IF(($G392/$F392)&gt;='Discount Scheme Target'!$E$4,_xlfn.XLOOKUP($E392,'Discount Scheme Target'!$B:$B,'Discount Scheme Target'!$E:$E,0,0),IF(($G392/$F392)&gt;='Discount Scheme Target'!$D$4,_xlfn.XLOOKUP($E392,'Discount Scheme Target'!$B:$B,'Discount Scheme Target'!$D:$D,0,0),0))),0)</f>
        <v>0.03</v>
      </c>
      <c r="J392" s="72">
        <f>IF(SUMIF('Customer Num Distr.'!$A:$A,Workings!$A392,'Customer Num Distr.'!$E:$E)&gt;='Discount Scheme Target'!$G$4,_xlfn.XLOOKUP(Workings!$E392,'Discount Scheme Target'!$B:$B,'Discount Scheme Target'!$G:$G,0,0),0)</f>
        <v>0</v>
      </c>
      <c r="K392" s="72">
        <f>IF(SUMIF('Bouclage EG Cust Cons_Decons'!$A:$A,Workings!$A392,'Bouclage EG Cust Cons_Decons'!$F:$F)&gt;='Discount Scheme Target'!$H$4,_xlfn.XLOOKUP(Workings!$E392,'Discount Scheme Target'!$B:$B,'Discount Scheme Target'!$H:$H,0,0),0)</f>
        <v>0</v>
      </c>
      <c r="L392" s="72">
        <f>IF(INDEX('TT Around time'!$A$1:$F$46,MATCH($A392,'TT Around time'!$A:$A,0),6)&gt;='Discount Scheme Target'!$I$4,_xlfn.XLOOKUP(Workings!$E392,'Discount Scheme Target'!$B:$B,'Discount Scheme Target'!$I:$I,0,0),0)</f>
        <v>5.0000000000000001E-3</v>
      </c>
      <c r="M392" s="72">
        <f t="shared" si="57"/>
        <v>3.4999999999999996E-2</v>
      </c>
      <c r="N392" s="62">
        <f t="shared" si="67"/>
        <v>39480.568625785992</v>
      </c>
      <c r="T392" s="61">
        <f t="shared" si="59"/>
        <v>33840.48739353085</v>
      </c>
      <c r="U392" s="61">
        <f t="shared" si="60"/>
        <v>0</v>
      </c>
      <c r="V392" s="61">
        <f t="shared" si="61"/>
        <v>0</v>
      </c>
      <c r="W392" s="61">
        <f t="shared" si="62"/>
        <v>5640.0812322551419</v>
      </c>
      <c r="X392" s="61">
        <f t="shared" si="65"/>
        <v>39480.568625785992</v>
      </c>
      <c r="Y392" s="61">
        <f t="shared" si="66"/>
        <v>0</v>
      </c>
    </row>
    <row r="393" spans="1:25" x14ac:dyDescent="0.25">
      <c r="A393" s="51">
        <v>3300002022</v>
      </c>
      <c r="B393" s="51" t="s">
        <v>116</v>
      </c>
      <c r="C393" s="51" t="s">
        <v>145</v>
      </c>
      <c r="D393" s="51" t="s">
        <v>141</v>
      </c>
      <c r="E393" s="51" t="s">
        <v>161</v>
      </c>
      <c r="F393" s="52">
        <f>SUMIF('Customer Budget Per Category'!$A:$A,$A393,'Customer Budget Per Category'!$K:$K)</f>
        <v>0</v>
      </c>
      <c r="G393" s="52">
        <f>SUMIFS('Navision sales Dump'!$E:$E,'Navision sales Dump'!$K:$K,$E393,'Navision sales Dump'!$A:$A,$A393)</f>
        <v>0</v>
      </c>
      <c r="H393" s="62">
        <f>SUMIFS('Navision sales Dump'!$G:$G,'Navision sales Dump'!$K:$K,$E393,'Navision sales Dump'!$A:$A,$A393)</f>
        <v>0</v>
      </c>
      <c r="I393" s="72">
        <f>IFERROR(IF(($G393/$F393)&gt;='Discount Scheme Target'!$F$4,_xlfn.XLOOKUP($E393,'Discount Scheme Target'!$B:$B,'Discount Scheme Target'!$F:$F,0,0),IF(($G393/$F393)&gt;='Discount Scheme Target'!$E$4,_xlfn.XLOOKUP($E393,'Discount Scheme Target'!$B:$B,'Discount Scheme Target'!$E:$E,0,0),IF(($G393/$F393)&gt;='Discount Scheme Target'!$D$4,_xlfn.XLOOKUP($E393,'Discount Scheme Target'!$B:$B,'Discount Scheme Target'!$D:$D,0,0),0))),0)</f>
        <v>0</v>
      </c>
      <c r="J393" s="72">
        <f>IF(SUMIF('Customer Num Distr.'!$A:$A,Workings!$A393,'Customer Num Distr.'!$E:$E)&gt;='Discount Scheme Target'!$G$4,_xlfn.XLOOKUP(Workings!$E393,'Discount Scheme Target'!$B:$B,'Discount Scheme Target'!$G:$G,0,0),0)</f>
        <v>0</v>
      </c>
      <c r="K393" s="72">
        <f>IF(SUMIF('Bouclage EG Cust Cons_Decons'!$A:$A,Workings!$A393,'Bouclage EG Cust Cons_Decons'!$F:$F)&gt;='Discount Scheme Target'!$H$4,_xlfn.XLOOKUP(Workings!$E393,'Discount Scheme Target'!$B:$B,'Discount Scheme Target'!$H:$H,0,0),0)</f>
        <v>0</v>
      </c>
      <c r="L393" s="72">
        <f>IF(INDEX('TT Around time'!$A$1:$F$46,MATCH($A393,'TT Around time'!$A:$A,0),6)&gt;='Discount Scheme Target'!$I$4,_xlfn.XLOOKUP(Workings!$E393,'Discount Scheme Target'!$B:$B,'Discount Scheme Target'!$I:$I,0,0),0)</f>
        <v>0</v>
      </c>
      <c r="M393" s="72">
        <f t="shared" si="57"/>
        <v>0</v>
      </c>
      <c r="N393" s="62">
        <f t="shared" si="67"/>
        <v>0</v>
      </c>
      <c r="T393" s="61">
        <f t="shared" si="59"/>
        <v>0</v>
      </c>
      <c r="U393" s="61">
        <f t="shared" si="60"/>
        <v>0</v>
      </c>
      <c r="V393" s="61">
        <f t="shared" si="61"/>
        <v>0</v>
      </c>
      <c r="W393" s="61">
        <f t="shared" si="62"/>
        <v>0</v>
      </c>
      <c r="X393" s="61">
        <f t="shared" si="65"/>
        <v>0</v>
      </c>
      <c r="Y393" s="61">
        <f t="shared" si="66"/>
        <v>0</v>
      </c>
    </row>
    <row r="394" spans="1:25" x14ac:dyDescent="0.25">
      <c r="A394" s="51">
        <v>3300002022</v>
      </c>
      <c r="B394" s="51" t="s">
        <v>116</v>
      </c>
      <c r="C394" s="51" t="s">
        <v>145</v>
      </c>
      <c r="D394" s="51" t="s">
        <v>141</v>
      </c>
      <c r="E394" s="51" t="s">
        <v>354</v>
      </c>
      <c r="F394" s="52">
        <f>SUMIF('Customer Budget Per Category'!$A:$A,$A394,'Customer Budget Per Category'!$L:$L)</f>
        <v>1523.483498062001</v>
      </c>
      <c r="G394" s="52">
        <f>SUMIFS('Navision sales Dump'!$E:$E,'Navision sales Dump'!$K:$K,$E394,'Navision sales Dump'!$A:$A,$A394)</f>
        <v>1584</v>
      </c>
      <c r="H394" s="62">
        <f>SUMIFS('Navision sales Dump'!$G:$G,'Navision sales Dump'!$K:$K,$E394,'Navision sales Dump'!$A:$A,$A394)</f>
        <v>5652068.4000000004</v>
      </c>
      <c r="I394" s="72">
        <f>IFERROR(IF(($G394/$F394)&gt;='Discount Scheme Target'!$F$4,_xlfn.XLOOKUP($E394,'Discount Scheme Target'!$B:$B,'Discount Scheme Target'!$F:$F,0,0),IF(($G394/$F394)&gt;='Discount Scheme Target'!$E$4,_xlfn.XLOOKUP($E394,'Discount Scheme Target'!$B:$B,'Discount Scheme Target'!$E:$E,0,0),IF(($G394/$F394)&gt;='Discount Scheme Target'!$D$4,_xlfn.XLOOKUP($E394,'Discount Scheme Target'!$B:$B,'Discount Scheme Target'!$D:$D,0,0),0))),0)</f>
        <v>0.01</v>
      </c>
      <c r="J394" s="72">
        <f>IF(SUMIF('Customer Num Distr.'!$A:$A,Workings!$A394,'Customer Num Distr.'!$E:$E)&gt;='Discount Scheme Target'!$G$4,_xlfn.XLOOKUP(Workings!$E394,'Discount Scheme Target'!$B:$B,'Discount Scheme Target'!$G:$G,0,0),0)</f>
        <v>0</v>
      </c>
      <c r="K394" s="72">
        <f>IF(SUMIF('Bouclage EG Cust Cons_Decons'!$A:$A,Workings!$A394,'Bouclage EG Cust Cons_Decons'!$F:$F)&gt;='Discount Scheme Target'!$H$4,_xlfn.XLOOKUP(Workings!$E394,'Discount Scheme Target'!$B:$B,'Discount Scheme Target'!$H:$H,0,0),0)</f>
        <v>0</v>
      </c>
      <c r="L394" s="72">
        <f>IF(INDEX('TT Around time'!$A$1:$F$46,MATCH($A394,'TT Around time'!$A:$A,0),6)&gt;='Discount Scheme Target'!$I$4,_xlfn.XLOOKUP(Workings!$E394,'Discount Scheme Target'!$B:$B,'Discount Scheme Target'!$I:$I,0,0),0)</f>
        <v>5.0000000000000001E-3</v>
      </c>
      <c r="M394" s="72">
        <f t="shared" si="57"/>
        <v>1.4999999999999999E-2</v>
      </c>
      <c r="N394" s="62">
        <f t="shared" si="67"/>
        <v>81541.978573084256</v>
      </c>
      <c r="T394" s="61">
        <f t="shared" si="59"/>
        <v>54361.319048722842</v>
      </c>
      <c r="U394" s="61">
        <f t="shared" si="60"/>
        <v>0</v>
      </c>
      <c r="V394" s="61">
        <f t="shared" si="61"/>
        <v>0</v>
      </c>
      <c r="W394" s="61">
        <f t="shared" si="62"/>
        <v>27180.659524361421</v>
      </c>
      <c r="X394" s="61">
        <f t="shared" si="65"/>
        <v>81541.978573084256</v>
      </c>
      <c r="Y394" s="61">
        <f t="shared" si="66"/>
        <v>0</v>
      </c>
    </row>
    <row r="395" spans="1:25" x14ac:dyDescent="0.25">
      <c r="A395" s="51">
        <v>3300002022</v>
      </c>
      <c r="B395" s="51" t="s">
        <v>116</v>
      </c>
      <c r="C395" s="51" t="s">
        <v>145</v>
      </c>
      <c r="D395" s="51" t="s">
        <v>141</v>
      </c>
      <c r="E395" s="51" t="s">
        <v>355</v>
      </c>
      <c r="F395" s="52">
        <f>SUMIF('Customer Budget Per Category'!$A:$A,$A395,'Customer Budget Per Category'!$M:$M)</f>
        <v>742.02264374066522</v>
      </c>
      <c r="G395" s="52">
        <f>SUMIFS('Navision sales Dump'!$E:$E,'Navision sales Dump'!$K:$K,$E395,'Navision sales Dump'!$A:$A,$A395)</f>
        <v>0</v>
      </c>
      <c r="H395" s="62">
        <f>SUMIFS('Navision sales Dump'!$G:$G,'Navision sales Dump'!$K:$K,$E395,'Navision sales Dump'!$A:$A,$A395)</f>
        <v>0</v>
      </c>
      <c r="I395" s="72">
        <f>IFERROR(IF(($G395/$F395)&gt;='Discount Scheme Target'!$F$4,_xlfn.XLOOKUP($E395,'Discount Scheme Target'!$B:$B,'Discount Scheme Target'!$F:$F,0,0),IF(($G395/$F395)&gt;='Discount Scheme Target'!$E$4,_xlfn.XLOOKUP($E395,'Discount Scheme Target'!$B:$B,'Discount Scheme Target'!$E:$E,0,0),IF(($G395/$F395)&gt;='Discount Scheme Target'!$D$4,_xlfn.XLOOKUP($E395,'Discount Scheme Target'!$B:$B,'Discount Scheme Target'!$D:$D,0,0),0))),0)</f>
        <v>0</v>
      </c>
      <c r="J395" s="72">
        <f>IF(SUMIF('Customer Num Distr.'!$A:$A,Workings!$A395,'Customer Num Distr.'!$E:$E)&gt;='Discount Scheme Target'!$G$4,_xlfn.XLOOKUP(Workings!$E395,'Discount Scheme Target'!$B:$B,'Discount Scheme Target'!$G:$G,0,0),0)</f>
        <v>0</v>
      </c>
      <c r="K395" s="72">
        <f>IF(SUMIF('Bouclage EG Cust Cons_Decons'!$A:$A,Workings!$A395,'Bouclage EG Cust Cons_Decons'!$F:$F)&gt;='Discount Scheme Target'!$H$4,_xlfn.XLOOKUP(Workings!$E395,'Discount Scheme Target'!$B:$B,'Discount Scheme Target'!$H:$H,0,0),0)</f>
        <v>0</v>
      </c>
      <c r="L395" s="72">
        <f>IF(INDEX('TT Around time'!$A$1:$F$46,MATCH($A395,'TT Around time'!$A:$A,0),6)&gt;='Discount Scheme Target'!$I$4,_xlfn.XLOOKUP(Workings!$E395,'Discount Scheme Target'!$B:$B,'Discount Scheme Target'!$I:$I,0,0),0)</f>
        <v>5.0000000000000001E-3</v>
      </c>
      <c r="M395" s="72">
        <f t="shared" si="57"/>
        <v>5.0000000000000001E-3</v>
      </c>
      <c r="N395" s="62">
        <f t="shared" si="67"/>
        <v>0</v>
      </c>
      <c r="T395" s="61">
        <f t="shared" si="59"/>
        <v>0</v>
      </c>
      <c r="U395" s="61">
        <f t="shared" si="60"/>
        <v>0</v>
      </c>
      <c r="V395" s="61">
        <f t="shared" si="61"/>
        <v>0</v>
      </c>
      <c r="W395" s="61">
        <f t="shared" si="62"/>
        <v>0</v>
      </c>
      <c r="X395" s="61">
        <f t="shared" si="65"/>
        <v>0</v>
      </c>
      <c r="Y395" s="61">
        <f t="shared" si="66"/>
        <v>0</v>
      </c>
    </row>
    <row r="396" spans="1:25" x14ac:dyDescent="0.25">
      <c r="A396" s="51">
        <v>3300002022</v>
      </c>
      <c r="B396" s="51" t="s">
        <v>116</v>
      </c>
      <c r="C396" s="51" t="s">
        <v>145</v>
      </c>
      <c r="D396" s="51" t="s">
        <v>141</v>
      </c>
      <c r="E396" s="51" t="s">
        <v>132</v>
      </c>
      <c r="F396" s="52">
        <f>SUMIF('Customer Budget Per Category'!$A:$A,$A396,'Customer Budget Per Category'!$N:$N)</f>
        <v>312.60884433832558</v>
      </c>
      <c r="G396" s="52">
        <f>SUMIFS('Navision sales Dump'!$E:$E,'Navision sales Dump'!$K:$K,$E396,'Navision sales Dump'!$A:$A,$A396)</f>
        <v>0</v>
      </c>
      <c r="H396" s="62">
        <f>SUMIFS('Navision sales Dump'!$G:$G,'Navision sales Dump'!$K:$K,$E396,'Navision sales Dump'!$A:$A,$A396)</f>
        <v>0</v>
      </c>
      <c r="I396" s="72">
        <f>IFERROR(IF(($G396/$F396)&gt;='Discount Scheme Target'!$F$4,_xlfn.XLOOKUP($E396,'Discount Scheme Target'!$B:$B,'Discount Scheme Target'!$F:$F,0,0),IF(($G396/$F396)&gt;='Discount Scheme Target'!$E$4,_xlfn.XLOOKUP($E396,'Discount Scheme Target'!$B:$B,'Discount Scheme Target'!$E:$E,0,0),IF(($G396/$F396)&gt;='Discount Scheme Target'!$D$4,_xlfn.XLOOKUP($E396,'Discount Scheme Target'!$B:$B,'Discount Scheme Target'!$D:$D,0,0),0))),0)</f>
        <v>0</v>
      </c>
      <c r="J396" s="72">
        <f>IF(SUMIF('Customer Num Distr.'!$A:$A,Workings!$A396,'Customer Num Distr.'!$E:$E)&gt;='Discount Scheme Target'!$G$4,_xlfn.XLOOKUP(Workings!$E396,'Discount Scheme Target'!$B:$B,'Discount Scheme Target'!$G:$G,0,0),0)</f>
        <v>0</v>
      </c>
      <c r="K396" s="72">
        <f>IF(SUMIF('Bouclage EG Cust Cons_Decons'!$A:$A,Workings!$A396,'Bouclage EG Cust Cons_Decons'!$F:$F)&gt;='Discount Scheme Target'!$H$4,_xlfn.XLOOKUP(Workings!$E396,'Discount Scheme Target'!$B:$B,'Discount Scheme Target'!$H:$H,0,0),0)</f>
        <v>0</v>
      </c>
      <c r="L396" s="72">
        <f>IF(INDEX('TT Around time'!$A$1:$F$46,MATCH($A396,'TT Around time'!$A:$A,0),6)&gt;='Discount Scheme Target'!$I$4,_xlfn.XLOOKUP(Workings!$E396,'Discount Scheme Target'!$B:$B,'Discount Scheme Target'!$I:$I,0,0),0)</f>
        <v>5.0000000000000001E-3</v>
      </c>
      <c r="M396" s="72">
        <f t="shared" si="57"/>
        <v>5.0000000000000001E-3</v>
      </c>
      <c r="N396" s="62">
        <f t="shared" si="67"/>
        <v>0</v>
      </c>
      <c r="T396" s="61">
        <f t="shared" si="59"/>
        <v>0</v>
      </c>
      <c r="U396" s="61">
        <f t="shared" si="60"/>
        <v>0</v>
      </c>
      <c r="V396" s="61">
        <f t="shared" si="61"/>
        <v>0</v>
      </c>
      <c r="W396" s="61">
        <f t="shared" si="62"/>
        <v>0</v>
      </c>
      <c r="X396" s="61">
        <f t="shared" si="65"/>
        <v>0</v>
      </c>
      <c r="Y396" s="61">
        <f t="shared" si="66"/>
        <v>0</v>
      </c>
    </row>
    <row r="397" spans="1:25" x14ac:dyDescent="0.25">
      <c r="A397" s="51">
        <v>3300002022</v>
      </c>
      <c r="B397" s="51" t="s">
        <v>116</v>
      </c>
      <c r="C397" s="51" t="s">
        <v>145</v>
      </c>
      <c r="D397" s="51" t="s">
        <v>141</v>
      </c>
      <c r="E397" s="51" t="s">
        <v>133</v>
      </c>
      <c r="F397" s="52">
        <f>SUMIF('Customer Budget Per Category'!$A:$A,$A397,'Customer Budget Per Category'!$O:$O)</f>
        <v>141</v>
      </c>
      <c r="G397" s="52">
        <f>SUMIFS('Navision sales Dump'!$E:$E,'Navision sales Dump'!$K:$K,$E397,'Navision sales Dump'!$A:$A,$A397)</f>
        <v>216</v>
      </c>
      <c r="H397" s="62">
        <f>SUMIFS('Navision sales Dump'!$G:$G,'Navision sales Dump'!$K:$K,$E397,'Navision sales Dump'!$A:$A,$A397)</f>
        <v>2165914.08</v>
      </c>
      <c r="I397" s="72">
        <f>IFERROR(IF(($G397/$F397)&gt;='Discount Scheme Target'!$F$4,_xlfn.XLOOKUP($E397,'Discount Scheme Target'!$B:$B,'Discount Scheme Target'!$F:$F,0,0),IF(($G397/$F397)&gt;='Discount Scheme Target'!$E$4,_xlfn.XLOOKUP($E397,'Discount Scheme Target'!$B:$B,'Discount Scheme Target'!$E:$E,0,0),IF(($G397/$F397)&gt;='Discount Scheme Target'!$D$4,_xlfn.XLOOKUP($E397,'Discount Scheme Target'!$B:$B,'Discount Scheme Target'!$D:$D,0,0),0))),0)</f>
        <v>0.04</v>
      </c>
      <c r="J397" s="72">
        <f>IF(SUMIF('Customer Num Distr.'!$A:$A,Workings!$A397,'Customer Num Distr.'!$E:$E)&gt;='Discount Scheme Target'!$G$4,_xlfn.XLOOKUP(Workings!$E397,'Discount Scheme Target'!$B:$B,'Discount Scheme Target'!$G:$G,0,0),0)</f>
        <v>0</v>
      </c>
      <c r="K397" s="72">
        <f>IF(SUMIF('Bouclage EG Cust Cons_Decons'!$A:$A,Workings!$A397,'Bouclage EG Cust Cons_Decons'!$F:$F)&gt;='Discount Scheme Target'!$H$4,_xlfn.XLOOKUP(Workings!$E397,'Discount Scheme Target'!$B:$B,'Discount Scheme Target'!$H:$H,0,0),0)</f>
        <v>0</v>
      </c>
      <c r="L397" s="72">
        <f>IF(INDEX('TT Around time'!$A$1:$F$46,MATCH($A397,'TT Around time'!$A:$A,0),6)&gt;='Discount Scheme Target'!$I$4,_xlfn.XLOOKUP(Workings!$E397,'Discount Scheme Target'!$B:$B,'Discount Scheme Target'!$I:$I,0,0),0)</f>
        <v>5.0000000000000001E-3</v>
      </c>
      <c r="M397" s="72">
        <f t="shared" si="57"/>
        <v>4.4999999999999998E-2</v>
      </c>
      <c r="N397" s="62">
        <f t="shared" si="67"/>
        <v>63623.7261</v>
      </c>
      <c r="T397" s="61">
        <f t="shared" si="59"/>
        <v>56554.423200000005</v>
      </c>
      <c r="U397" s="61">
        <f t="shared" si="60"/>
        <v>0</v>
      </c>
      <c r="V397" s="61">
        <f t="shared" si="61"/>
        <v>0</v>
      </c>
      <c r="W397" s="61">
        <f t="shared" si="62"/>
        <v>7069.3029000000006</v>
      </c>
      <c r="X397" s="61">
        <f t="shared" si="65"/>
        <v>63623.726100000007</v>
      </c>
      <c r="Y397" s="61">
        <f t="shared" si="66"/>
        <v>0</v>
      </c>
    </row>
    <row r="398" spans="1:25" x14ac:dyDescent="0.25">
      <c r="A398" s="51">
        <v>3300000887</v>
      </c>
      <c r="B398" s="51" t="s">
        <v>113</v>
      </c>
      <c r="C398" s="51" t="s">
        <v>151</v>
      </c>
      <c r="D398" s="51" t="s">
        <v>141</v>
      </c>
      <c r="E398" s="51" t="s">
        <v>417</v>
      </c>
      <c r="F398" s="52">
        <f>SUMIF('Customer Budget Per Category'!$A:$A,$A398,'Customer Budget Per Category'!$E:$E)</f>
        <v>12489.07774577085</v>
      </c>
      <c r="G398" s="52">
        <f>SUMIFS('Navision sales Dump'!$E:$E,'Navision sales Dump'!$K:$K,$E398,'Navision sales Dump'!$A:$A,$A398)</f>
        <v>13265</v>
      </c>
      <c r="H398" s="62">
        <f>SUMIFS('Navision sales Dump'!$G:$G,'Navision sales Dump'!$K:$K,$E398,'Navision sales Dump'!$A:$A,$A398)</f>
        <v>97931325.459999993</v>
      </c>
      <c r="I398" s="72">
        <f>IFERROR(IF(($G398/$F398)&gt;='Discount Scheme Target'!$F$4,_xlfn.XLOOKUP($E398,'Discount Scheme Target'!$B:$B,'Discount Scheme Target'!$F:$F,0,0),IF(($G398/$F398)&gt;='Discount Scheme Target'!$E$4,_xlfn.XLOOKUP($E398,'Discount Scheme Target'!$B:$B,'Discount Scheme Target'!$E:$E,0,0),IF(($G398/$F398)&gt;='Discount Scheme Target'!$D$4,_xlfn.XLOOKUP($E398,'Discount Scheme Target'!$B:$B,'Discount Scheme Target'!$D:$D,0,0),0))),0)</f>
        <v>3.5000000000000003E-2</v>
      </c>
      <c r="J398" s="72">
        <f>IF(SUMIF('Customer Num Distr.'!$A:$A,Workings!$A398,'Customer Num Distr.'!$E:$E)&gt;='Discount Scheme Target'!$G$4,_xlfn.XLOOKUP(Workings!$E398,'Discount Scheme Target'!$B:$B,'Discount Scheme Target'!$G:$G,0,0),0)</f>
        <v>0</v>
      </c>
      <c r="K398" s="72">
        <f>IF(SUMIF('Bouclage EG Cust Cons_Decons'!$A:$A,Workings!$A398,'Bouclage EG Cust Cons_Decons'!$F:$F)&gt;='Discount Scheme Target'!$H$4,_xlfn.XLOOKUP(Workings!$E398,'Discount Scheme Target'!$B:$B,'Discount Scheme Target'!$H:$H,0,0),0)</f>
        <v>0</v>
      </c>
      <c r="L398" s="72">
        <f>IF(INDEX('TT Around time'!$A$1:$F$46,MATCH($A398,'TT Around time'!$A:$A,0),6)&gt;='Discount Scheme Target'!$I$4,_xlfn.XLOOKUP(Workings!$E398,'Discount Scheme Target'!$B:$B,'Discount Scheme Target'!$I:$I,0,0),0)</f>
        <v>0.01</v>
      </c>
      <c r="M398" s="72">
        <f t="shared" si="57"/>
        <v>4.5000000000000005E-2</v>
      </c>
      <c r="N398" s="62">
        <f t="shared" si="67"/>
        <v>4149132.0907451771</v>
      </c>
      <c r="T398" s="61">
        <f t="shared" si="59"/>
        <v>3227102.7372462489</v>
      </c>
      <c r="U398" s="61">
        <f t="shared" si="60"/>
        <v>0</v>
      </c>
      <c r="V398" s="61">
        <f t="shared" si="61"/>
        <v>0</v>
      </c>
      <c r="W398" s="61">
        <f t="shared" si="62"/>
        <v>922029.35349892813</v>
      </c>
      <c r="X398" s="61">
        <f t="shared" si="65"/>
        <v>4149132.0907451771</v>
      </c>
      <c r="Y398" s="61">
        <f t="shared" si="66"/>
        <v>0</v>
      </c>
    </row>
    <row r="399" spans="1:25" x14ac:dyDescent="0.25">
      <c r="A399" s="51">
        <v>3300000887</v>
      </c>
      <c r="B399" s="51" t="s">
        <v>113</v>
      </c>
      <c r="C399" s="51" t="s">
        <v>151</v>
      </c>
      <c r="D399" s="51" t="s">
        <v>141</v>
      </c>
      <c r="E399" s="51" t="s">
        <v>418</v>
      </c>
      <c r="F399" s="52">
        <f>SUMIF('Customer Budget Per Category'!$A:$A,$A399,'Customer Budget Per Category'!$F:$F)</f>
        <v>0</v>
      </c>
      <c r="G399" s="52">
        <f>SUMIFS('Navision sales Dump'!$E:$E,'Navision sales Dump'!$K:$K,$E399,'Navision sales Dump'!$A:$A,$A399)</f>
        <v>0</v>
      </c>
      <c r="H399" s="62">
        <f>SUMIFS('Navision sales Dump'!$G:$G,'Navision sales Dump'!$K:$K,$E399,'Navision sales Dump'!$A:$A,$A399)</f>
        <v>0</v>
      </c>
      <c r="I399" s="72">
        <f>IFERROR(IF(($G399/$F399)&gt;='Discount Scheme Target'!$F$4,_xlfn.XLOOKUP($E399,'Discount Scheme Target'!$B:$B,'Discount Scheme Target'!$F:$F,0,0),IF(($G399/$F399)&gt;='Discount Scheme Target'!$E$4,_xlfn.XLOOKUP($E399,'Discount Scheme Target'!$B:$B,'Discount Scheme Target'!$E:$E,0,0),IF(($G399/$F399)&gt;='Discount Scheme Target'!$D$4,_xlfn.XLOOKUP($E399,'Discount Scheme Target'!$B:$B,'Discount Scheme Target'!$D:$D,0,0),0))),0)</f>
        <v>0</v>
      </c>
      <c r="J399" s="72">
        <f>IF(SUMIF('Customer Num Distr.'!$A:$A,Workings!$A399,'Customer Num Distr.'!$E:$E)&gt;='Discount Scheme Target'!$G$4,_xlfn.XLOOKUP(Workings!$E399,'Discount Scheme Target'!$B:$B,'Discount Scheme Target'!$G:$G,0,0),0)</f>
        <v>0</v>
      </c>
      <c r="K399" s="72">
        <f>IF(SUMIF('Bouclage EG Cust Cons_Decons'!$A:$A,Workings!$A399,'Bouclage EG Cust Cons_Decons'!$F:$F)&gt;='Discount Scheme Target'!$H$4,_xlfn.XLOOKUP(Workings!$E399,'Discount Scheme Target'!$B:$B,'Discount Scheme Target'!$H:$H,0,0),0)</f>
        <v>0</v>
      </c>
      <c r="L399" s="72">
        <f>IF(INDEX('TT Around time'!$A$1:$F$46,MATCH($A399,'TT Around time'!$A:$A,0),6)&gt;='Discount Scheme Target'!$I$4,_xlfn.XLOOKUP(Workings!$E399,'Discount Scheme Target'!$B:$B,'Discount Scheme Target'!$I:$I,0,0),0)</f>
        <v>0</v>
      </c>
      <c r="M399" s="72">
        <f t="shared" si="57"/>
        <v>0</v>
      </c>
      <c r="N399" s="62">
        <f t="shared" si="67"/>
        <v>0</v>
      </c>
      <c r="T399" s="61">
        <f t="shared" si="59"/>
        <v>0</v>
      </c>
      <c r="U399" s="61">
        <f t="shared" si="60"/>
        <v>0</v>
      </c>
      <c r="V399" s="61">
        <f t="shared" si="61"/>
        <v>0</v>
      </c>
      <c r="W399" s="61">
        <f t="shared" si="62"/>
        <v>0</v>
      </c>
      <c r="X399" s="61">
        <f t="shared" si="65"/>
        <v>0</v>
      </c>
      <c r="Y399" s="61">
        <f t="shared" si="66"/>
        <v>0</v>
      </c>
    </row>
    <row r="400" spans="1:25" x14ac:dyDescent="0.25">
      <c r="A400" s="51">
        <v>3300000887</v>
      </c>
      <c r="B400" s="51" t="s">
        <v>113</v>
      </c>
      <c r="C400" s="51" t="s">
        <v>151</v>
      </c>
      <c r="D400" s="51" t="s">
        <v>141</v>
      </c>
      <c r="E400" s="51" t="s">
        <v>130</v>
      </c>
      <c r="F400" s="52">
        <f>SUMIF('Customer Budget Per Category'!$A:$A,$A400,'Customer Budget Per Category'!$G:$G)</f>
        <v>314.66686049984395</v>
      </c>
      <c r="G400" s="52">
        <f>SUMIFS('Navision sales Dump'!$E:$E,'Navision sales Dump'!$K:$K,$E400,'Navision sales Dump'!$A:$A,$A400)</f>
        <v>178</v>
      </c>
      <c r="H400" s="62">
        <f>SUMIFS('Navision sales Dump'!$G:$G,'Navision sales Dump'!$K:$K,$E400,'Navision sales Dump'!$A:$A,$A400)</f>
        <v>1375106.96</v>
      </c>
      <c r="I400" s="72">
        <f>IFERROR(IF(($G400/$F400)&gt;='Discount Scheme Target'!$F$4,_xlfn.XLOOKUP($E400,'Discount Scheme Target'!$B:$B,'Discount Scheme Target'!$F:$F,0,0),IF(($G400/$F400)&gt;='Discount Scheme Target'!$E$4,_xlfn.XLOOKUP($E400,'Discount Scheme Target'!$B:$B,'Discount Scheme Target'!$E:$E,0,0),IF(($G400/$F400)&gt;='Discount Scheme Target'!$D$4,_xlfn.XLOOKUP($E400,'Discount Scheme Target'!$B:$B,'Discount Scheme Target'!$D:$D,0,0),0))),0)</f>
        <v>0</v>
      </c>
      <c r="J400" s="72">
        <f>IF(SUMIF('Customer Num Distr.'!$A:$A,Workings!$A400,'Customer Num Distr.'!$E:$E)&gt;='Discount Scheme Target'!$G$4,_xlfn.XLOOKUP(Workings!$E400,'Discount Scheme Target'!$B:$B,'Discount Scheme Target'!$G:$G,0,0),0)</f>
        <v>0</v>
      </c>
      <c r="K400" s="72">
        <f>IF(SUMIF('Bouclage EG Cust Cons_Decons'!$A:$A,Workings!$A400,'Bouclage EG Cust Cons_Decons'!$F:$F)&gt;='Discount Scheme Target'!$H$4,_xlfn.XLOOKUP(Workings!$E400,'Discount Scheme Target'!$B:$B,'Discount Scheme Target'!$H:$H,0,0),0)</f>
        <v>0</v>
      </c>
      <c r="L400" s="72">
        <f>IF(INDEX('TT Around time'!$A$1:$F$46,MATCH($A400,'TT Around time'!$A:$A,0),6)&gt;='Discount Scheme Target'!$I$4,_xlfn.XLOOKUP(Workings!$E400,'Discount Scheme Target'!$B:$B,'Discount Scheme Target'!$I:$I,0,0),0)</f>
        <v>0.01</v>
      </c>
      <c r="M400" s="72">
        <f t="shared" si="57"/>
        <v>0.01</v>
      </c>
      <c r="N400" s="62">
        <f t="shared" si="67"/>
        <v>24309.021907566545</v>
      </c>
      <c r="T400" s="61">
        <f t="shared" si="59"/>
        <v>0</v>
      </c>
      <c r="U400" s="61">
        <f t="shared" si="60"/>
        <v>0</v>
      </c>
      <c r="V400" s="61">
        <f t="shared" si="61"/>
        <v>0</v>
      </c>
      <c r="W400" s="61">
        <f t="shared" si="62"/>
        <v>24309.021907566545</v>
      </c>
      <c r="X400" s="61">
        <f t="shared" si="65"/>
        <v>24309.021907566545</v>
      </c>
      <c r="Y400" s="61">
        <f t="shared" si="66"/>
        <v>0</v>
      </c>
    </row>
    <row r="401" spans="1:25" x14ac:dyDescent="0.25">
      <c r="A401" s="51">
        <v>3300000887</v>
      </c>
      <c r="B401" s="51" t="s">
        <v>113</v>
      </c>
      <c r="C401" s="51" t="s">
        <v>151</v>
      </c>
      <c r="D401" s="51" t="s">
        <v>141</v>
      </c>
      <c r="E401" s="51" t="s">
        <v>131</v>
      </c>
      <c r="F401" s="52">
        <f>SUMIF('Customer Budget Per Category'!$A:$A,$A401,'Customer Budget Per Category'!$H:$H)</f>
        <v>144.44444444444446</v>
      </c>
      <c r="G401" s="52">
        <f>SUMIFS('Navision sales Dump'!$E:$E,'Navision sales Dump'!$K:$K,$E401,'Navision sales Dump'!$A:$A,$A401)</f>
        <v>109</v>
      </c>
      <c r="H401" s="62">
        <f>SUMIFS('Navision sales Dump'!$G:$G,'Navision sales Dump'!$K:$K,$E401,'Navision sales Dump'!$A:$A,$A401)</f>
        <v>4439638.32</v>
      </c>
      <c r="I401" s="72">
        <f>IFERROR(IF(($G401/$F401)&gt;='Discount Scheme Target'!$F$4,_xlfn.XLOOKUP($E401,'Discount Scheme Target'!$B:$B,'Discount Scheme Target'!$F:$F,0,0),IF(($G401/$F401)&gt;='Discount Scheme Target'!$E$4,_xlfn.XLOOKUP($E401,'Discount Scheme Target'!$B:$B,'Discount Scheme Target'!$E:$E,0,0),IF(($G401/$F401)&gt;='Discount Scheme Target'!$D$4,_xlfn.XLOOKUP($E401,'Discount Scheme Target'!$B:$B,'Discount Scheme Target'!$D:$D,0,0),0))),0)</f>
        <v>0</v>
      </c>
      <c r="J401" s="72">
        <f>IF(SUMIF('Customer Num Distr.'!$A:$A,Workings!$A401,'Customer Num Distr.'!$E:$E)&gt;='Discount Scheme Target'!$G$4,_xlfn.XLOOKUP(Workings!$E401,'Discount Scheme Target'!$B:$B,'Discount Scheme Target'!$G:$G,0,0),0)</f>
        <v>0</v>
      </c>
      <c r="K401" s="72">
        <f>IF(SUMIF('Bouclage EG Cust Cons_Decons'!$A:$A,Workings!$A401,'Bouclage EG Cust Cons_Decons'!$F:$F)&gt;='Discount Scheme Target'!$H$4,_xlfn.XLOOKUP(Workings!$E401,'Discount Scheme Target'!$B:$B,'Discount Scheme Target'!$H:$H,0,0),0)</f>
        <v>0</v>
      </c>
      <c r="L401" s="72">
        <f>IF(INDEX('TT Around time'!$A$1:$F$46,MATCH($A401,'TT Around time'!$A:$A,0),6)&gt;='Discount Scheme Target'!$I$4,_xlfn.XLOOKUP(Workings!$E401,'Discount Scheme Target'!$B:$B,'Discount Scheme Target'!$I:$I,0,0),0)</f>
        <v>5.0000000000000001E-3</v>
      </c>
      <c r="M401" s="72">
        <f t="shared" si="57"/>
        <v>5.0000000000000001E-3</v>
      </c>
      <c r="N401" s="62">
        <f t="shared" si="67"/>
        <v>29416.563792048935</v>
      </c>
      <c r="T401" s="61">
        <f t="shared" si="59"/>
        <v>0</v>
      </c>
      <c r="U401" s="61">
        <f t="shared" si="60"/>
        <v>0</v>
      </c>
      <c r="V401" s="61">
        <f t="shared" si="61"/>
        <v>0</v>
      </c>
      <c r="W401" s="61">
        <f t="shared" si="62"/>
        <v>29416.563792048935</v>
      </c>
      <c r="X401" s="61">
        <f t="shared" si="65"/>
        <v>29416.563792048935</v>
      </c>
      <c r="Y401" s="61">
        <f t="shared" si="66"/>
        <v>0</v>
      </c>
    </row>
    <row r="402" spans="1:25" x14ac:dyDescent="0.25">
      <c r="A402" s="51">
        <v>3300000887</v>
      </c>
      <c r="B402" s="51" t="s">
        <v>113</v>
      </c>
      <c r="C402" s="51" t="s">
        <v>151</v>
      </c>
      <c r="D402" s="51" t="s">
        <v>141</v>
      </c>
      <c r="E402" s="51" t="s">
        <v>514</v>
      </c>
      <c r="F402" s="52">
        <f>SUMIF('Customer Budget Per Category'!$A:$A,$A402,'Customer Budget Per Category'!$I:$I)</f>
        <v>4503.1176119093125</v>
      </c>
      <c r="G402" s="52">
        <f>SUMIFS('Navision sales Dump'!$E:$E,'Navision sales Dump'!$K:$K,$E402,'Navision sales Dump'!$A:$A,$A402)</f>
        <v>2445</v>
      </c>
      <c r="H402" s="62">
        <f>SUMIFS('Navision sales Dump'!$G:$G,'Navision sales Dump'!$K:$K,$E402,'Navision sales Dump'!$A:$A,$A402)</f>
        <v>9677383.3500000015</v>
      </c>
      <c r="I402" s="72">
        <f>IFERROR(IF(($G402/$F402)&gt;='Discount Scheme Target'!$F$4,_xlfn.XLOOKUP($E402,'Discount Scheme Target'!$B:$B,'Discount Scheme Target'!$F:$F,0,0),IF(($G402/$F402)&gt;='Discount Scheme Target'!$E$4,_xlfn.XLOOKUP($E402,'Discount Scheme Target'!$B:$B,'Discount Scheme Target'!$E:$E,0,0),IF(($G402/$F402)&gt;='Discount Scheme Target'!$D$4,_xlfn.XLOOKUP($E402,'Discount Scheme Target'!$B:$B,'Discount Scheme Target'!$D:$D,0,0),0))),0)</f>
        <v>0</v>
      </c>
      <c r="J402" s="72">
        <f>IF(SUMIF('Customer Num Distr.'!$A:$A,Workings!$A402,'Customer Num Distr.'!$E:$E)&gt;='Discount Scheme Target'!$G$4,_xlfn.XLOOKUP(Workings!$E402,'Discount Scheme Target'!$B:$B,'Discount Scheme Target'!$G:$G,0,0),0)</f>
        <v>0</v>
      </c>
      <c r="K402" s="72">
        <f>IF(SUMIF('Bouclage EG Cust Cons_Decons'!$A:$A,Workings!$A402,'Bouclage EG Cust Cons_Decons'!$F:$F)&gt;='Discount Scheme Target'!$H$4,_xlfn.XLOOKUP(Workings!$E402,'Discount Scheme Target'!$B:$B,'Discount Scheme Target'!$H:$H,0,0),0)</f>
        <v>0</v>
      </c>
      <c r="L402" s="72">
        <f>IF(INDEX('TT Around time'!$A$1:$F$46,MATCH($A402,'TT Around time'!$A:$A,0),6)&gt;='Discount Scheme Target'!$I$4,_xlfn.XLOOKUP(Workings!$E402,'Discount Scheme Target'!$B:$B,'Discount Scheme Target'!$I:$I,0,0),0)</f>
        <v>5.0000000000000001E-3</v>
      </c>
      <c r="M402" s="72">
        <f t="shared" si="57"/>
        <v>5.0000000000000001E-3</v>
      </c>
      <c r="N402" s="62">
        <f t="shared" si="67"/>
        <v>89117.3730073271</v>
      </c>
      <c r="T402" s="61">
        <f t="shared" si="59"/>
        <v>0</v>
      </c>
      <c r="U402" s="61">
        <f t="shared" si="60"/>
        <v>0</v>
      </c>
      <c r="V402" s="61">
        <f t="shared" si="61"/>
        <v>0</v>
      </c>
      <c r="W402" s="61">
        <f t="shared" si="62"/>
        <v>89117.3730073271</v>
      </c>
      <c r="X402" s="61">
        <f t="shared" si="65"/>
        <v>89117.3730073271</v>
      </c>
      <c r="Y402" s="61">
        <f t="shared" si="66"/>
        <v>0</v>
      </c>
    </row>
    <row r="403" spans="1:25" x14ac:dyDescent="0.25">
      <c r="A403" s="51">
        <v>3300000887</v>
      </c>
      <c r="B403" s="51" t="s">
        <v>113</v>
      </c>
      <c r="C403" s="51" t="s">
        <v>151</v>
      </c>
      <c r="D403" s="51" t="s">
        <v>141</v>
      </c>
      <c r="E403" s="51" t="s">
        <v>515</v>
      </c>
      <c r="F403" s="52">
        <f>SUMIF('Customer Budget Per Category'!$A:$A,$A403,'Customer Budget Per Category'!$J:$J)</f>
        <v>496.23565937642621</v>
      </c>
      <c r="G403" s="52">
        <f>SUMIFS('Navision sales Dump'!$E:$E,'Navision sales Dump'!$K:$K,$E403,'Navision sales Dump'!$A:$A,$A403)</f>
        <v>432</v>
      </c>
      <c r="H403" s="62">
        <f>SUMIFS('Navision sales Dump'!$G:$G,'Navision sales Dump'!$K:$K,$E403,'Navision sales Dump'!$A:$A,$A403)</f>
        <v>1219492.7999999998</v>
      </c>
      <c r="I403" s="72">
        <f>IFERROR(IF(($G403/$F403)&gt;='Discount Scheme Target'!$F$4,_xlfn.XLOOKUP($E403,'Discount Scheme Target'!$B:$B,'Discount Scheme Target'!$F:$F,0,0),IF(($G403/$F403)&gt;='Discount Scheme Target'!$E$4,_xlfn.XLOOKUP($E403,'Discount Scheme Target'!$B:$B,'Discount Scheme Target'!$E:$E,0,0),IF(($G403/$F403)&gt;='Discount Scheme Target'!$D$4,_xlfn.XLOOKUP($E403,'Discount Scheme Target'!$B:$B,'Discount Scheme Target'!$D:$D,0,0),0))),0)</f>
        <v>0</v>
      </c>
      <c r="J403" s="72">
        <f>IF(SUMIF('Customer Num Distr.'!$A:$A,Workings!$A403,'Customer Num Distr.'!$E:$E)&gt;='Discount Scheme Target'!$G$4,_xlfn.XLOOKUP(Workings!$E403,'Discount Scheme Target'!$B:$B,'Discount Scheme Target'!$G:$G,0,0),0)</f>
        <v>0</v>
      </c>
      <c r="K403" s="72">
        <f>IF(SUMIF('Bouclage EG Cust Cons_Decons'!$A:$A,Workings!$A403,'Bouclage EG Cust Cons_Decons'!$F:$F)&gt;='Discount Scheme Target'!$H$4,_xlfn.XLOOKUP(Workings!$E403,'Discount Scheme Target'!$B:$B,'Discount Scheme Target'!$H:$H,0,0),0)</f>
        <v>0</v>
      </c>
      <c r="L403" s="72">
        <f>IF(INDEX('TT Around time'!$A$1:$F$46,MATCH($A403,'TT Around time'!$A:$A,0),6)&gt;='Discount Scheme Target'!$I$4,_xlfn.XLOOKUP(Workings!$E403,'Discount Scheme Target'!$B:$B,'Discount Scheme Target'!$I:$I,0,0),0)</f>
        <v>5.0000000000000001E-3</v>
      </c>
      <c r="M403" s="72">
        <f t="shared" si="57"/>
        <v>5.0000000000000001E-3</v>
      </c>
      <c r="N403" s="62">
        <f t="shared" si="67"/>
        <v>7004.1182142685666</v>
      </c>
      <c r="T403" s="61">
        <f t="shared" si="59"/>
        <v>0</v>
      </c>
      <c r="U403" s="61">
        <f t="shared" si="60"/>
        <v>0</v>
      </c>
      <c r="V403" s="61">
        <f t="shared" si="61"/>
        <v>0</v>
      </c>
      <c r="W403" s="61">
        <f t="shared" si="62"/>
        <v>7004.1182142685666</v>
      </c>
      <c r="X403" s="61">
        <f t="shared" si="65"/>
        <v>7004.1182142685666</v>
      </c>
      <c r="Y403" s="61">
        <f t="shared" si="66"/>
        <v>0</v>
      </c>
    </row>
    <row r="404" spans="1:25" x14ac:dyDescent="0.25">
      <c r="A404" s="51">
        <v>3300000887</v>
      </c>
      <c r="B404" s="51" t="s">
        <v>113</v>
      </c>
      <c r="C404" s="51" t="s">
        <v>151</v>
      </c>
      <c r="D404" s="51" t="s">
        <v>141</v>
      </c>
      <c r="E404" s="51" t="s">
        <v>161</v>
      </c>
      <c r="F404" s="52">
        <f>SUMIF('Customer Budget Per Category'!$A:$A,$A404,'Customer Budget Per Category'!$K:$K)</f>
        <v>0</v>
      </c>
      <c r="G404" s="52">
        <f>SUMIFS('Navision sales Dump'!$E:$E,'Navision sales Dump'!$K:$K,$E404,'Navision sales Dump'!$A:$A,$A404)</f>
        <v>0</v>
      </c>
      <c r="H404" s="62">
        <f>SUMIFS('Navision sales Dump'!$G:$G,'Navision sales Dump'!$K:$K,$E404,'Navision sales Dump'!$A:$A,$A404)</f>
        <v>0</v>
      </c>
      <c r="I404" s="72">
        <f>IFERROR(IF(($G404/$F404)&gt;='Discount Scheme Target'!$F$4,_xlfn.XLOOKUP($E404,'Discount Scheme Target'!$B:$B,'Discount Scheme Target'!$F:$F,0,0),IF(($G404/$F404)&gt;='Discount Scheme Target'!$E$4,_xlfn.XLOOKUP($E404,'Discount Scheme Target'!$B:$B,'Discount Scheme Target'!$E:$E,0,0),IF(($G404/$F404)&gt;='Discount Scheme Target'!$D$4,_xlfn.XLOOKUP($E404,'Discount Scheme Target'!$B:$B,'Discount Scheme Target'!$D:$D,0,0),0))),0)</f>
        <v>0</v>
      </c>
      <c r="J404" s="72">
        <f>IF(SUMIF('Customer Num Distr.'!$A:$A,Workings!$A404,'Customer Num Distr.'!$E:$E)&gt;='Discount Scheme Target'!$G$4,_xlfn.XLOOKUP(Workings!$E404,'Discount Scheme Target'!$B:$B,'Discount Scheme Target'!$G:$G,0,0),0)</f>
        <v>0</v>
      </c>
      <c r="K404" s="72">
        <f>IF(SUMIF('Bouclage EG Cust Cons_Decons'!$A:$A,Workings!$A404,'Bouclage EG Cust Cons_Decons'!$F:$F)&gt;='Discount Scheme Target'!$H$4,_xlfn.XLOOKUP(Workings!$E404,'Discount Scheme Target'!$B:$B,'Discount Scheme Target'!$H:$H,0,0),0)</f>
        <v>0</v>
      </c>
      <c r="L404" s="72">
        <f>IF(INDEX('TT Around time'!$A$1:$F$46,MATCH($A404,'TT Around time'!$A:$A,0),6)&gt;='Discount Scheme Target'!$I$4,_xlfn.XLOOKUP(Workings!$E404,'Discount Scheme Target'!$B:$B,'Discount Scheme Target'!$I:$I,0,0),0)</f>
        <v>0</v>
      </c>
      <c r="M404" s="72">
        <f t="shared" si="57"/>
        <v>0</v>
      </c>
      <c r="N404" s="62">
        <f t="shared" si="67"/>
        <v>0</v>
      </c>
      <c r="T404" s="61">
        <f t="shared" si="59"/>
        <v>0</v>
      </c>
      <c r="U404" s="61">
        <f t="shared" si="60"/>
        <v>0</v>
      </c>
      <c r="V404" s="61">
        <f t="shared" si="61"/>
        <v>0</v>
      </c>
      <c r="W404" s="61">
        <f t="shared" si="62"/>
        <v>0</v>
      </c>
      <c r="X404" s="61">
        <f t="shared" si="65"/>
        <v>0</v>
      </c>
      <c r="Y404" s="61">
        <f t="shared" si="66"/>
        <v>0</v>
      </c>
    </row>
    <row r="405" spans="1:25" x14ac:dyDescent="0.25">
      <c r="A405" s="51">
        <v>3300000887</v>
      </c>
      <c r="B405" s="51" t="s">
        <v>113</v>
      </c>
      <c r="C405" s="51" t="s">
        <v>151</v>
      </c>
      <c r="D405" s="51" t="s">
        <v>141</v>
      </c>
      <c r="E405" s="51" t="s">
        <v>354</v>
      </c>
      <c r="F405" s="52">
        <f>SUMIF('Customer Budget Per Category'!$A:$A,$A405,'Customer Budget Per Category'!$L:$L)</f>
        <v>2257.0243684640873</v>
      </c>
      <c r="G405" s="52">
        <f>SUMIFS('Navision sales Dump'!$E:$E,'Navision sales Dump'!$K:$K,$E405,'Navision sales Dump'!$A:$A,$A405)</f>
        <v>504</v>
      </c>
      <c r="H405" s="62">
        <f>SUMIFS('Navision sales Dump'!$G:$G,'Navision sales Dump'!$K:$K,$E405,'Navision sales Dump'!$A:$A,$A405)</f>
        <v>1709869.68</v>
      </c>
      <c r="I405" s="72">
        <f>IFERROR(IF(($G405/$F405)&gt;='Discount Scheme Target'!$F$4,_xlfn.XLOOKUP($E405,'Discount Scheme Target'!$B:$B,'Discount Scheme Target'!$F:$F,0,0),IF(($G405/$F405)&gt;='Discount Scheme Target'!$E$4,_xlfn.XLOOKUP($E405,'Discount Scheme Target'!$B:$B,'Discount Scheme Target'!$E:$E,0,0),IF(($G405/$F405)&gt;='Discount Scheme Target'!$D$4,_xlfn.XLOOKUP($E405,'Discount Scheme Target'!$B:$B,'Discount Scheme Target'!$D:$D,0,0),0))),0)</f>
        <v>0</v>
      </c>
      <c r="J405" s="72">
        <f>IF(SUMIF('Customer Num Distr.'!$A:$A,Workings!$A405,'Customer Num Distr.'!$E:$E)&gt;='Discount Scheme Target'!$G$4,_xlfn.XLOOKUP(Workings!$E405,'Discount Scheme Target'!$B:$B,'Discount Scheme Target'!$G:$G,0,0),0)</f>
        <v>0</v>
      </c>
      <c r="K405" s="72">
        <f>IF(SUMIF('Bouclage EG Cust Cons_Decons'!$A:$A,Workings!$A405,'Bouclage EG Cust Cons_Decons'!$F:$F)&gt;='Discount Scheme Target'!$H$4,_xlfn.XLOOKUP(Workings!$E405,'Discount Scheme Target'!$B:$B,'Discount Scheme Target'!$H:$H,0,0),0)</f>
        <v>0</v>
      </c>
      <c r="L405" s="72">
        <f>IF(INDEX('TT Around time'!$A$1:$F$46,MATCH($A405,'TT Around time'!$A:$A,0),6)&gt;='Discount Scheme Target'!$I$4,_xlfn.XLOOKUP(Workings!$E405,'Discount Scheme Target'!$B:$B,'Discount Scheme Target'!$I:$I,0,0),0)</f>
        <v>5.0000000000000001E-3</v>
      </c>
      <c r="M405" s="72">
        <f t="shared" si="57"/>
        <v>5.0000000000000001E-3</v>
      </c>
      <c r="N405" s="62">
        <f t="shared" si="67"/>
        <v>38285.88824065368</v>
      </c>
      <c r="T405" s="61">
        <f t="shared" si="59"/>
        <v>0</v>
      </c>
      <c r="U405" s="61">
        <f t="shared" si="60"/>
        <v>0</v>
      </c>
      <c r="V405" s="61">
        <f t="shared" si="61"/>
        <v>0</v>
      </c>
      <c r="W405" s="61">
        <f t="shared" si="62"/>
        <v>38285.88824065368</v>
      </c>
      <c r="X405" s="61">
        <f t="shared" si="65"/>
        <v>38285.88824065368</v>
      </c>
      <c r="Y405" s="61">
        <f t="shared" si="66"/>
        <v>0</v>
      </c>
    </row>
    <row r="406" spans="1:25" x14ac:dyDescent="0.25">
      <c r="A406" s="51">
        <v>3300000887</v>
      </c>
      <c r="B406" s="51" t="s">
        <v>113</v>
      </c>
      <c r="C406" s="51" t="s">
        <v>151</v>
      </c>
      <c r="D406" s="51" t="s">
        <v>141</v>
      </c>
      <c r="E406" s="51" t="s">
        <v>355</v>
      </c>
      <c r="F406" s="52">
        <f>SUMIF('Customer Budget Per Category'!$A:$A,$A406,'Customer Budget Per Category'!$M:$M)</f>
        <v>908.99362466332582</v>
      </c>
      <c r="G406" s="52">
        <f>SUMIFS('Navision sales Dump'!$E:$E,'Navision sales Dump'!$K:$K,$E406,'Navision sales Dump'!$A:$A,$A406)</f>
        <v>362</v>
      </c>
      <c r="H406" s="62">
        <f>SUMIFS('Navision sales Dump'!$G:$G,'Navision sales Dump'!$K:$K,$E406,'Navision sales Dump'!$A:$A,$A406)</f>
        <v>992047.82</v>
      </c>
      <c r="I406" s="72">
        <f>IFERROR(IF(($G406/$F406)&gt;='Discount Scheme Target'!$F$4,_xlfn.XLOOKUP($E406,'Discount Scheme Target'!$B:$B,'Discount Scheme Target'!$F:$F,0,0),IF(($G406/$F406)&gt;='Discount Scheme Target'!$E$4,_xlfn.XLOOKUP($E406,'Discount Scheme Target'!$B:$B,'Discount Scheme Target'!$E:$E,0,0),IF(($G406/$F406)&gt;='Discount Scheme Target'!$D$4,_xlfn.XLOOKUP($E406,'Discount Scheme Target'!$B:$B,'Discount Scheme Target'!$D:$D,0,0),0))),0)</f>
        <v>0</v>
      </c>
      <c r="J406" s="72">
        <f>IF(SUMIF('Customer Num Distr.'!$A:$A,Workings!$A406,'Customer Num Distr.'!$E:$E)&gt;='Discount Scheme Target'!$G$4,_xlfn.XLOOKUP(Workings!$E406,'Discount Scheme Target'!$B:$B,'Discount Scheme Target'!$G:$G,0,0),0)</f>
        <v>0</v>
      </c>
      <c r="K406" s="72">
        <f>IF(SUMIF('Bouclage EG Cust Cons_Decons'!$A:$A,Workings!$A406,'Bouclage EG Cust Cons_Decons'!$F:$F)&gt;='Discount Scheme Target'!$H$4,_xlfn.XLOOKUP(Workings!$E406,'Discount Scheme Target'!$B:$B,'Discount Scheme Target'!$H:$H,0,0),0)</f>
        <v>0</v>
      </c>
      <c r="L406" s="72">
        <f>IF(INDEX('TT Around time'!$A$1:$F$46,MATCH($A406,'TT Around time'!$A:$A,0),6)&gt;='Discount Scheme Target'!$I$4,_xlfn.XLOOKUP(Workings!$E406,'Discount Scheme Target'!$B:$B,'Discount Scheme Target'!$I:$I,0,0),0)</f>
        <v>5.0000000000000001E-3</v>
      </c>
      <c r="M406" s="72">
        <f t="shared" si="57"/>
        <v>5.0000000000000001E-3</v>
      </c>
      <c r="N406" s="62">
        <f t="shared" si="67"/>
        <v>12455.319664933018</v>
      </c>
      <c r="T406" s="61">
        <f t="shared" si="59"/>
        <v>0</v>
      </c>
      <c r="U406" s="61">
        <f t="shared" si="60"/>
        <v>0</v>
      </c>
      <c r="V406" s="61">
        <f t="shared" si="61"/>
        <v>0</v>
      </c>
      <c r="W406" s="61">
        <f t="shared" si="62"/>
        <v>12455.319664933018</v>
      </c>
      <c r="X406" s="61">
        <f t="shared" si="65"/>
        <v>12455.319664933018</v>
      </c>
      <c r="Y406" s="61">
        <f t="shared" si="66"/>
        <v>0</v>
      </c>
    </row>
    <row r="407" spans="1:25" x14ac:dyDescent="0.25">
      <c r="A407" s="51">
        <v>3300000887</v>
      </c>
      <c r="B407" s="51" t="s">
        <v>113</v>
      </c>
      <c r="C407" s="51" t="s">
        <v>151</v>
      </c>
      <c r="D407" s="51" t="s">
        <v>141</v>
      </c>
      <c r="E407" s="51" t="s">
        <v>132</v>
      </c>
      <c r="F407" s="52">
        <f>SUMIF('Customer Budget Per Category'!$A:$A,$A407,'Customer Budget Per Category'!$N:$N)</f>
        <v>423.28835349697266</v>
      </c>
      <c r="G407" s="52">
        <f>SUMIFS('Navision sales Dump'!$E:$E,'Navision sales Dump'!$K:$K,$E407,'Navision sales Dump'!$A:$A,$A407)</f>
        <v>142</v>
      </c>
      <c r="H407" s="62">
        <f>SUMIFS('Navision sales Dump'!$G:$G,'Navision sales Dump'!$K:$K,$E407,'Navision sales Dump'!$A:$A,$A407)</f>
        <v>309900.79999999999</v>
      </c>
      <c r="I407" s="72">
        <f>IFERROR(IF(($G407/$F407)&gt;='Discount Scheme Target'!$F$4,_xlfn.XLOOKUP($E407,'Discount Scheme Target'!$B:$B,'Discount Scheme Target'!$F:$F,0,0),IF(($G407/$F407)&gt;='Discount Scheme Target'!$E$4,_xlfn.XLOOKUP($E407,'Discount Scheme Target'!$B:$B,'Discount Scheme Target'!$E:$E,0,0),IF(($G407/$F407)&gt;='Discount Scheme Target'!$D$4,_xlfn.XLOOKUP($E407,'Discount Scheme Target'!$B:$B,'Discount Scheme Target'!$D:$D,0,0),0))),0)</f>
        <v>0</v>
      </c>
      <c r="J407" s="72">
        <f>IF(SUMIF('Customer Num Distr.'!$A:$A,Workings!$A407,'Customer Num Distr.'!$E:$E)&gt;='Discount Scheme Target'!$G$4,_xlfn.XLOOKUP(Workings!$E407,'Discount Scheme Target'!$B:$B,'Discount Scheme Target'!$G:$G,0,0),0)</f>
        <v>0</v>
      </c>
      <c r="K407" s="72">
        <f>IF(SUMIF('Bouclage EG Cust Cons_Decons'!$A:$A,Workings!$A407,'Bouclage EG Cust Cons_Decons'!$F:$F)&gt;='Discount Scheme Target'!$H$4,_xlfn.XLOOKUP(Workings!$E407,'Discount Scheme Target'!$B:$B,'Discount Scheme Target'!$H:$H,0,0),0)</f>
        <v>0</v>
      </c>
      <c r="L407" s="72">
        <f>IF(INDEX('TT Around time'!$A$1:$F$46,MATCH($A407,'TT Around time'!$A:$A,0),6)&gt;='Discount Scheme Target'!$I$4,_xlfn.XLOOKUP(Workings!$E407,'Discount Scheme Target'!$B:$B,'Discount Scheme Target'!$I:$I,0,0),0)</f>
        <v>5.0000000000000001E-3</v>
      </c>
      <c r="M407" s="72">
        <f t="shared" si="57"/>
        <v>5.0000000000000001E-3</v>
      </c>
      <c r="N407" s="62">
        <f t="shared" si="67"/>
        <v>4618.9225133589662</v>
      </c>
      <c r="T407" s="61">
        <f t="shared" si="59"/>
        <v>0</v>
      </c>
      <c r="U407" s="61">
        <f t="shared" si="60"/>
        <v>0</v>
      </c>
      <c r="V407" s="61">
        <f t="shared" si="61"/>
        <v>0</v>
      </c>
      <c r="W407" s="61">
        <f t="shared" si="62"/>
        <v>4618.9225133589662</v>
      </c>
      <c r="X407" s="61">
        <f t="shared" si="65"/>
        <v>4618.9225133589662</v>
      </c>
      <c r="Y407" s="61">
        <f t="shared" si="66"/>
        <v>0</v>
      </c>
    </row>
    <row r="408" spans="1:25" x14ac:dyDescent="0.25">
      <c r="A408" s="51">
        <v>3300000887</v>
      </c>
      <c r="B408" s="51" t="s">
        <v>113</v>
      </c>
      <c r="C408" s="51" t="s">
        <v>151</v>
      </c>
      <c r="D408" s="51" t="s">
        <v>141</v>
      </c>
      <c r="E408" s="51" t="s">
        <v>133</v>
      </c>
      <c r="F408" s="52">
        <f>SUMIF('Customer Budget Per Category'!$A:$A,$A408,'Customer Budget Per Category'!$O:$O)</f>
        <v>175.64335124011541</v>
      </c>
      <c r="G408" s="52">
        <f>SUMIFS('Navision sales Dump'!$E:$E,'Navision sales Dump'!$K:$K,$E408,'Navision sales Dump'!$A:$A,$A408)</f>
        <v>144</v>
      </c>
      <c r="H408" s="62">
        <f>SUMIFS('Navision sales Dump'!$G:$G,'Navision sales Dump'!$K:$K,$E408,'Navision sales Dump'!$A:$A,$A408)</f>
        <v>1443942.72</v>
      </c>
      <c r="I408" s="72">
        <f>IFERROR(IF(($G408/$F408)&gt;='Discount Scheme Target'!$F$4,_xlfn.XLOOKUP($E408,'Discount Scheme Target'!$B:$B,'Discount Scheme Target'!$F:$F,0,0),IF(($G408/$F408)&gt;='Discount Scheme Target'!$E$4,_xlfn.XLOOKUP($E408,'Discount Scheme Target'!$B:$B,'Discount Scheme Target'!$E:$E,0,0),IF(($G408/$F408)&gt;='Discount Scheme Target'!$D$4,_xlfn.XLOOKUP($E408,'Discount Scheme Target'!$B:$B,'Discount Scheme Target'!$D:$D,0,0),0))),0)</f>
        <v>0</v>
      </c>
      <c r="J408" s="72">
        <f>IF(SUMIF('Customer Num Distr.'!$A:$A,Workings!$A408,'Customer Num Distr.'!$E:$E)&gt;='Discount Scheme Target'!$G$4,_xlfn.XLOOKUP(Workings!$E408,'Discount Scheme Target'!$B:$B,'Discount Scheme Target'!$G:$G,0,0),0)</f>
        <v>0</v>
      </c>
      <c r="K408" s="72">
        <f>IF(SUMIF('Bouclage EG Cust Cons_Decons'!$A:$A,Workings!$A408,'Bouclage EG Cust Cons_Decons'!$F:$F)&gt;='Discount Scheme Target'!$H$4,_xlfn.XLOOKUP(Workings!$E408,'Discount Scheme Target'!$B:$B,'Discount Scheme Target'!$H:$H,0,0),0)</f>
        <v>0</v>
      </c>
      <c r="L408" s="72">
        <f>IF(INDEX('TT Around time'!$A$1:$F$46,MATCH($A408,'TT Around time'!$A:$A,0),6)&gt;='Discount Scheme Target'!$I$4,_xlfn.XLOOKUP(Workings!$E408,'Discount Scheme Target'!$B:$B,'Discount Scheme Target'!$I:$I,0,0),0)</f>
        <v>5.0000000000000001E-3</v>
      </c>
      <c r="M408" s="72">
        <f t="shared" si="57"/>
        <v>5.0000000000000001E-3</v>
      </c>
      <c r="N408" s="62">
        <f t="shared" si="67"/>
        <v>8806.2131367905422</v>
      </c>
      <c r="T408" s="61">
        <f t="shared" si="59"/>
        <v>0</v>
      </c>
      <c r="U408" s="61">
        <f t="shared" si="60"/>
        <v>0</v>
      </c>
      <c r="V408" s="61">
        <f t="shared" si="61"/>
        <v>0</v>
      </c>
      <c r="W408" s="61">
        <f t="shared" si="62"/>
        <v>8806.2131367905422</v>
      </c>
      <c r="X408" s="61">
        <f t="shared" si="65"/>
        <v>8806.2131367905422</v>
      </c>
      <c r="Y408" s="61">
        <f t="shared" si="66"/>
        <v>0</v>
      </c>
    </row>
    <row r="409" spans="1:25" x14ac:dyDescent="0.25">
      <c r="A409" s="51">
        <v>3300002021</v>
      </c>
      <c r="B409" s="51" t="s">
        <v>115</v>
      </c>
      <c r="C409" s="51" t="s">
        <v>151</v>
      </c>
      <c r="D409" s="51" t="s">
        <v>141</v>
      </c>
      <c r="E409" s="51" t="s">
        <v>417</v>
      </c>
      <c r="F409" s="52">
        <f>SUMIF('Customer Budget Per Category'!$A:$A,$A409,'Customer Budget Per Category'!$E:$E)</f>
        <v>19606.420935244521</v>
      </c>
      <c r="G409" s="52">
        <f>SUMIFS('Navision sales Dump'!$E:$E,'Navision sales Dump'!$K:$K,$E409,'Navision sales Dump'!$A:$A,$A409)</f>
        <v>17900</v>
      </c>
      <c r="H409" s="62">
        <f>SUMIFS('Navision sales Dump'!$G:$G,'Navision sales Dump'!$K:$K,$E409,'Navision sales Dump'!$A:$A,$A409)</f>
        <v>132348922.25999999</v>
      </c>
      <c r="I409" s="72">
        <f>IFERROR(IF(($G409/$F409)&gt;='Discount Scheme Target'!$F$4,_xlfn.XLOOKUP($E409,'Discount Scheme Target'!$B:$B,'Discount Scheme Target'!$F:$F,0,0),IF(($G409/$F409)&gt;='Discount Scheme Target'!$E$4,_xlfn.XLOOKUP($E409,'Discount Scheme Target'!$B:$B,'Discount Scheme Target'!$E:$E,0,0),IF(($G409/$F409)&gt;='Discount Scheme Target'!$D$4,_xlfn.XLOOKUP($E409,'Discount Scheme Target'!$B:$B,'Discount Scheme Target'!$D:$D,0,0),0))),0)</f>
        <v>0</v>
      </c>
      <c r="J409" s="72">
        <f>IF(SUMIF('Customer Num Distr.'!$A:$A,Workings!$A409,'Customer Num Distr.'!$E:$E)&gt;='Discount Scheme Target'!$G$4,_xlfn.XLOOKUP(Workings!$E409,'Discount Scheme Target'!$B:$B,'Discount Scheme Target'!$G:$G,0,0),0)</f>
        <v>0</v>
      </c>
      <c r="K409" s="72">
        <f>IF(SUMIF('Bouclage EG Cust Cons_Decons'!$A:$A,Workings!$A409,'Bouclage EG Cust Cons_Decons'!$F:$F)&gt;='Discount Scheme Target'!$H$4,_xlfn.XLOOKUP(Workings!$E409,'Discount Scheme Target'!$B:$B,'Discount Scheme Target'!$H:$H,0,0),0)</f>
        <v>0</v>
      </c>
      <c r="L409" s="72">
        <f>IF(INDEX('TT Around time'!$A$1:$F$46,MATCH($A409,'TT Around time'!$A:$A,0),6)&gt;='Discount Scheme Target'!$I$4,_xlfn.XLOOKUP(Workings!$E409,'Discount Scheme Target'!$B:$B,'Discount Scheme Target'!$I:$I,0,0),0)</f>
        <v>0</v>
      </c>
      <c r="M409" s="72">
        <f t="shared" si="57"/>
        <v>0</v>
      </c>
      <c r="N409" s="62">
        <f t="shared" si="67"/>
        <v>0</v>
      </c>
      <c r="T409" s="61">
        <f t="shared" si="59"/>
        <v>0</v>
      </c>
      <c r="U409" s="61">
        <f t="shared" si="60"/>
        <v>0</v>
      </c>
      <c r="V409" s="61">
        <f t="shared" si="61"/>
        <v>0</v>
      </c>
      <c r="W409" s="61">
        <f t="shared" si="62"/>
        <v>0</v>
      </c>
      <c r="X409" s="61">
        <f t="shared" si="65"/>
        <v>0</v>
      </c>
      <c r="Y409" s="61">
        <f t="shared" si="66"/>
        <v>0</v>
      </c>
    </row>
    <row r="410" spans="1:25" x14ac:dyDescent="0.25">
      <c r="A410" s="51">
        <v>3300002021</v>
      </c>
      <c r="B410" s="51" t="s">
        <v>115</v>
      </c>
      <c r="C410" s="51" t="s">
        <v>151</v>
      </c>
      <c r="D410" s="51" t="s">
        <v>141</v>
      </c>
      <c r="E410" s="51" t="s">
        <v>418</v>
      </c>
      <c r="F410" s="52">
        <f>SUMIF('Customer Budget Per Category'!$A:$A,$A410,'Customer Budget Per Category'!$F:$F)</f>
        <v>0</v>
      </c>
      <c r="G410" s="52">
        <f>SUMIFS('Navision sales Dump'!$E:$E,'Navision sales Dump'!$K:$K,$E410,'Navision sales Dump'!$A:$A,$A410)</f>
        <v>0</v>
      </c>
      <c r="H410" s="62">
        <f>SUMIFS('Navision sales Dump'!$G:$G,'Navision sales Dump'!$K:$K,$E410,'Navision sales Dump'!$A:$A,$A410)</f>
        <v>0</v>
      </c>
      <c r="I410" s="72">
        <f>IFERROR(IF(($G410/$F410)&gt;='Discount Scheme Target'!$F$4,_xlfn.XLOOKUP($E410,'Discount Scheme Target'!$B:$B,'Discount Scheme Target'!$F:$F,0,0),IF(($G410/$F410)&gt;='Discount Scheme Target'!$E$4,_xlfn.XLOOKUP($E410,'Discount Scheme Target'!$B:$B,'Discount Scheme Target'!$E:$E,0,0),IF(($G410/$F410)&gt;='Discount Scheme Target'!$D$4,_xlfn.XLOOKUP($E410,'Discount Scheme Target'!$B:$B,'Discount Scheme Target'!$D:$D,0,0),0))),0)</f>
        <v>0</v>
      </c>
      <c r="J410" s="72">
        <f>IF(SUMIF('Customer Num Distr.'!$A:$A,Workings!$A410,'Customer Num Distr.'!$E:$E)&gt;='Discount Scheme Target'!$G$4,_xlfn.XLOOKUP(Workings!$E410,'Discount Scheme Target'!$B:$B,'Discount Scheme Target'!$G:$G,0,0),0)</f>
        <v>0</v>
      </c>
      <c r="K410" s="72">
        <f>IF(SUMIF('Bouclage EG Cust Cons_Decons'!$A:$A,Workings!$A410,'Bouclage EG Cust Cons_Decons'!$F:$F)&gt;='Discount Scheme Target'!$H$4,_xlfn.XLOOKUP(Workings!$E410,'Discount Scheme Target'!$B:$B,'Discount Scheme Target'!$H:$H,0,0),0)</f>
        <v>0</v>
      </c>
      <c r="L410" s="72">
        <f>IF(INDEX('TT Around time'!$A$1:$F$46,MATCH($A410,'TT Around time'!$A:$A,0),6)&gt;='Discount Scheme Target'!$I$4,_xlfn.XLOOKUP(Workings!$E410,'Discount Scheme Target'!$B:$B,'Discount Scheme Target'!$I:$I,0,0),0)</f>
        <v>0</v>
      </c>
      <c r="M410" s="72">
        <f t="shared" si="57"/>
        <v>0</v>
      </c>
      <c r="N410" s="62">
        <f t="shared" si="67"/>
        <v>0</v>
      </c>
      <c r="T410" s="61">
        <f t="shared" si="59"/>
        <v>0</v>
      </c>
      <c r="U410" s="61">
        <f t="shared" si="60"/>
        <v>0</v>
      </c>
      <c r="V410" s="61">
        <f t="shared" si="61"/>
        <v>0</v>
      </c>
      <c r="W410" s="61">
        <f t="shared" si="62"/>
        <v>0</v>
      </c>
      <c r="X410" s="61">
        <f t="shared" si="65"/>
        <v>0</v>
      </c>
      <c r="Y410" s="61">
        <f t="shared" si="66"/>
        <v>0</v>
      </c>
    </row>
    <row r="411" spans="1:25" x14ac:dyDescent="0.25">
      <c r="A411" s="51">
        <v>3300002021</v>
      </c>
      <c r="B411" s="51" t="s">
        <v>115</v>
      </c>
      <c r="C411" s="51" t="s">
        <v>151</v>
      </c>
      <c r="D411" s="51" t="s">
        <v>141</v>
      </c>
      <c r="E411" s="51" t="s">
        <v>130</v>
      </c>
      <c r="F411" s="52">
        <f>SUMIF('Customer Budget Per Category'!$A:$A,$A411,'Customer Budget Per Category'!$G:$G)</f>
        <v>493.99091325386047</v>
      </c>
      <c r="G411" s="52">
        <f>SUMIFS('Navision sales Dump'!$E:$E,'Navision sales Dump'!$K:$K,$E411,'Navision sales Dump'!$A:$A,$A411)</f>
        <v>504</v>
      </c>
      <c r="H411" s="62">
        <f>SUMIFS('Navision sales Dump'!$G:$G,'Navision sales Dump'!$K:$K,$E411,'Navision sales Dump'!$A:$A,$A411)</f>
        <v>3893561.2800000003</v>
      </c>
      <c r="I411" s="72">
        <f>IFERROR(IF(($G411/$F411)&gt;='Discount Scheme Target'!$F$4,_xlfn.XLOOKUP($E411,'Discount Scheme Target'!$B:$B,'Discount Scheme Target'!$F:$F,0,0),IF(($G411/$F411)&gt;='Discount Scheme Target'!$E$4,_xlfn.XLOOKUP($E411,'Discount Scheme Target'!$B:$B,'Discount Scheme Target'!$E:$E,0,0),IF(($G411/$F411)&gt;='Discount Scheme Target'!$D$4,_xlfn.XLOOKUP($E411,'Discount Scheme Target'!$B:$B,'Discount Scheme Target'!$D:$D,0,0),0))),0)</f>
        <v>1.4999999999999999E-2</v>
      </c>
      <c r="J411" s="72">
        <f>IF(SUMIF('Customer Num Distr.'!$A:$A,Workings!$A411,'Customer Num Distr.'!$E:$E)&gt;='Discount Scheme Target'!$G$4,_xlfn.XLOOKUP(Workings!$E411,'Discount Scheme Target'!$B:$B,'Discount Scheme Target'!$G:$G,0,0),0)</f>
        <v>0</v>
      </c>
      <c r="K411" s="72">
        <f>IF(SUMIF('Bouclage EG Cust Cons_Decons'!$A:$A,Workings!$A411,'Bouclage EG Cust Cons_Decons'!$F:$F)&gt;='Discount Scheme Target'!$H$4,_xlfn.XLOOKUP(Workings!$E411,'Discount Scheme Target'!$B:$B,'Discount Scheme Target'!$H:$H,0,0),0)</f>
        <v>0</v>
      </c>
      <c r="L411" s="72">
        <f>IF(INDEX('TT Around time'!$A$1:$F$46,MATCH($A411,'TT Around time'!$A:$A,0),6)&gt;='Discount Scheme Target'!$I$4,_xlfn.XLOOKUP(Workings!$E411,'Discount Scheme Target'!$B:$B,'Discount Scheme Target'!$I:$I,0,0),0)</f>
        <v>0</v>
      </c>
      <c r="M411" s="72">
        <f t="shared" si="57"/>
        <v>1.4999999999999999E-2</v>
      </c>
      <c r="N411" s="62">
        <f t="shared" si="67"/>
        <v>57243.568229674696</v>
      </c>
      <c r="T411" s="61">
        <f t="shared" si="59"/>
        <v>57243.568229674696</v>
      </c>
      <c r="U411" s="61">
        <f t="shared" si="60"/>
        <v>0</v>
      </c>
      <c r="V411" s="61">
        <f t="shared" si="61"/>
        <v>0</v>
      </c>
      <c r="W411" s="61">
        <f t="shared" si="62"/>
        <v>0</v>
      </c>
      <c r="X411" s="61">
        <f t="shared" si="65"/>
        <v>57243.568229674696</v>
      </c>
      <c r="Y411" s="61">
        <f t="shared" si="66"/>
        <v>0</v>
      </c>
    </row>
    <row r="412" spans="1:25" x14ac:dyDescent="0.25">
      <c r="A412" s="51">
        <v>3300002021</v>
      </c>
      <c r="B412" s="51" t="s">
        <v>115</v>
      </c>
      <c r="C412" s="51" t="s">
        <v>151</v>
      </c>
      <c r="D412" s="51" t="s">
        <v>141</v>
      </c>
      <c r="E412" s="51" t="s">
        <v>131</v>
      </c>
      <c r="F412" s="52">
        <f>SUMIF('Customer Budget Per Category'!$A:$A,$A412,'Customer Budget Per Category'!$H:$H)</f>
        <v>156.15951905360328</v>
      </c>
      <c r="G412" s="52">
        <f>SUMIFS('Navision sales Dump'!$E:$E,'Navision sales Dump'!$K:$K,$E412,'Navision sales Dump'!$A:$A,$A412)</f>
        <v>160</v>
      </c>
      <c r="H412" s="62">
        <f>SUMIFS('Navision sales Dump'!$G:$G,'Navision sales Dump'!$K:$K,$E412,'Navision sales Dump'!$A:$A,$A412)</f>
        <v>6786802.9000000004</v>
      </c>
      <c r="I412" s="72">
        <f>IFERROR(IF(($G412/$F412)&gt;='Discount Scheme Target'!$F$4,_xlfn.XLOOKUP($E412,'Discount Scheme Target'!$B:$B,'Discount Scheme Target'!$F:$F,0,0),IF(($G412/$F412)&gt;='Discount Scheme Target'!$E$4,_xlfn.XLOOKUP($E412,'Discount Scheme Target'!$B:$B,'Discount Scheme Target'!$E:$E,0,0),IF(($G412/$F412)&gt;='Discount Scheme Target'!$D$4,_xlfn.XLOOKUP($E412,'Discount Scheme Target'!$B:$B,'Discount Scheme Target'!$D:$D,0,0),0))),0)</f>
        <v>0.01</v>
      </c>
      <c r="J412" s="72">
        <f>IF(SUMIF('Customer Num Distr.'!$A:$A,Workings!$A412,'Customer Num Distr.'!$E:$E)&gt;='Discount Scheme Target'!$G$4,_xlfn.XLOOKUP(Workings!$E412,'Discount Scheme Target'!$B:$B,'Discount Scheme Target'!$G:$G,0,0),0)</f>
        <v>0</v>
      </c>
      <c r="K412" s="72">
        <f>IF(SUMIF('Bouclage EG Cust Cons_Decons'!$A:$A,Workings!$A412,'Bouclage EG Cust Cons_Decons'!$F:$F)&gt;='Discount Scheme Target'!$H$4,_xlfn.XLOOKUP(Workings!$E412,'Discount Scheme Target'!$B:$B,'Discount Scheme Target'!$H:$H,0,0),0)</f>
        <v>0</v>
      </c>
      <c r="L412" s="72">
        <f>IF(INDEX('TT Around time'!$A$1:$F$46,MATCH($A412,'TT Around time'!$A:$A,0),6)&gt;='Discount Scheme Target'!$I$4,_xlfn.XLOOKUP(Workings!$E412,'Discount Scheme Target'!$B:$B,'Discount Scheme Target'!$I:$I,0,0),0)</f>
        <v>0</v>
      </c>
      <c r="M412" s="72">
        <f t="shared" si="57"/>
        <v>0.01</v>
      </c>
      <c r="N412" s="62">
        <f t="shared" si="67"/>
        <v>66238.992298475001</v>
      </c>
      <c r="T412" s="61">
        <f t="shared" si="59"/>
        <v>66238.992298475001</v>
      </c>
      <c r="U412" s="61">
        <f t="shared" si="60"/>
        <v>0</v>
      </c>
      <c r="V412" s="61">
        <f t="shared" si="61"/>
        <v>0</v>
      </c>
      <c r="W412" s="61">
        <f t="shared" si="62"/>
        <v>0</v>
      </c>
      <c r="X412" s="61">
        <f t="shared" si="65"/>
        <v>66238.992298475001</v>
      </c>
      <c r="Y412" s="61">
        <f t="shared" si="66"/>
        <v>0</v>
      </c>
    </row>
    <row r="413" spans="1:25" x14ac:dyDescent="0.25">
      <c r="A413" s="51">
        <v>3300002021</v>
      </c>
      <c r="B413" s="51" t="s">
        <v>115</v>
      </c>
      <c r="C413" s="51" t="s">
        <v>151</v>
      </c>
      <c r="D413" s="51" t="s">
        <v>141</v>
      </c>
      <c r="E413" s="51" t="s">
        <v>514</v>
      </c>
      <c r="F413" s="52">
        <f>SUMIF('Customer Budget Per Category'!$A:$A,$A413,'Customer Budget Per Category'!$I:$I)</f>
        <v>9088.3471563426538</v>
      </c>
      <c r="G413" s="52">
        <f>SUMIFS('Navision sales Dump'!$E:$E,'Navision sales Dump'!$K:$K,$E413,'Navision sales Dump'!$A:$A,$A413)</f>
        <v>6401</v>
      </c>
      <c r="H413" s="62">
        <f>SUMIFS('Navision sales Dump'!$G:$G,'Navision sales Dump'!$K:$K,$E413,'Navision sales Dump'!$A:$A,$A413)</f>
        <v>25335350.029999997</v>
      </c>
      <c r="I413" s="72">
        <f>IFERROR(IF(($G413/$F413)&gt;='Discount Scheme Target'!$F$4,_xlfn.XLOOKUP($E413,'Discount Scheme Target'!$B:$B,'Discount Scheme Target'!$F:$F,0,0),IF(($G413/$F413)&gt;='Discount Scheme Target'!$E$4,_xlfn.XLOOKUP($E413,'Discount Scheme Target'!$B:$B,'Discount Scheme Target'!$E:$E,0,0),IF(($G413/$F413)&gt;='Discount Scheme Target'!$D$4,_xlfn.XLOOKUP($E413,'Discount Scheme Target'!$B:$B,'Discount Scheme Target'!$D:$D,0,0),0))),0)</f>
        <v>0</v>
      </c>
      <c r="J413" s="72">
        <f>IF(SUMIF('Customer Num Distr.'!$A:$A,Workings!$A413,'Customer Num Distr.'!$E:$E)&gt;='Discount Scheme Target'!$G$4,_xlfn.XLOOKUP(Workings!$E413,'Discount Scheme Target'!$B:$B,'Discount Scheme Target'!$G:$G,0,0),0)</f>
        <v>0</v>
      </c>
      <c r="K413" s="72">
        <f>IF(SUMIF('Bouclage EG Cust Cons_Decons'!$A:$A,Workings!$A413,'Bouclage EG Cust Cons_Decons'!$F:$F)&gt;='Discount Scheme Target'!$H$4,_xlfn.XLOOKUP(Workings!$E413,'Discount Scheme Target'!$B:$B,'Discount Scheme Target'!$H:$H,0,0),0)</f>
        <v>0</v>
      </c>
      <c r="L413" s="72">
        <f>IF(INDEX('TT Around time'!$A$1:$F$46,MATCH($A413,'TT Around time'!$A:$A,0),6)&gt;='Discount Scheme Target'!$I$4,_xlfn.XLOOKUP(Workings!$E413,'Discount Scheme Target'!$B:$B,'Discount Scheme Target'!$I:$I,0,0),0)</f>
        <v>0</v>
      </c>
      <c r="M413" s="72">
        <f t="shared" si="57"/>
        <v>0</v>
      </c>
      <c r="N413" s="62">
        <f t="shared" si="67"/>
        <v>0</v>
      </c>
      <c r="T413" s="61">
        <f t="shared" si="59"/>
        <v>0</v>
      </c>
      <c r="U413" s="61">
        <f t="shared" si="60"/>
        <v>0</v>
      </c>
      <c r="V413" s="61">
        <f t="shared" si="61"/>
        <v>0</v>
      </c>
      <c r="W413" s="61">
        <f t="shared" si="62"/>
        <v>0</v>
      </c>
      <c r="X413" s="61">
        <f t="shared" si="65"/>
        <v>0</v>
      </c>
      <c r="Y413" s="61">
        <f t="shared" si="66"/>
        <v>0</v>
      </c>
    </row>
    <row r="414" spans="1:25" x14ac:dyDescent="0.25">
      <c r="A414" s="51">
        <v>3300002021</v>
      </c>
      <c r="B414" s="51" t="s">
        <v>115</v>
      </c>
      <c r="C414" s="51" t="s">
        <v>151</v>
      </c>
      <c r="D414" s="51" t="s">
        <v>141</v>
      </c>
      <c r="E414" s="51" t="s">
        <v>515</v>
      </c>
      <c r="F414" s="52">
        <f>SUMIF('Customer Budget Per Category'!$A:$A,$A414,'Customer Budget Per Category'!$J:$J)</f>
        <v>1225.0258020516726</v>
      </c>
      <c r="G414" s="52">
        <f>SUMIFS('Navision sales Dump'!$E:$E,'Navision sales Dump'!$K:$K,$E414,'Navision sales Dump'!$A:$A,$A414)</f>
        <v>1439</v>
      </c>
      <c r="H414" s="62">
        <f>SUMIFS('Navision sales Dump'!$G:$G,'Navision sales Dump'!$K:$K,$E414,'Navision sales Dump'!$A:$A,$A414)</f>
        <v>4062153.0999999996</v>
      </c>
      <c r="I414" s="72">
        <f>IFERROR(IF(($G414/$F414)&gt;='Discount Scheme Target'!$F$4,_xlfn.XLOOKUP($E414,'Discount Scheme Target'!$B:$B,'Discount Scheme Target'!$F:$F,0,0),IF(($G414/$F414)&gt;='Discount Scheme Target'!$E$4,_xlfn.XLOOKUP($E414,'Discount Scheme Target'!$B:$B,'Discount Scheme Target'!$E:$E,0,0),IF(($G414/$F414)&gt;='Discount Scheme Target'!$D$4,_xlfn.XLOOKUP($E414,'Discount Scheme Target'!$B:$B,'Discount Scheme Target'!$D:$D,0,0),0))),0)</f>
        <v>0.03</v>
      </c>
      <c r="J414" s="72">
        <f>IF(SUMIF('Customer Num Distr.'!$A:$A,Workings!$A414,'Customer Num Distr.'!$E:$E)&gt;='Discount Scheme Target'!$G$4,_xlfn.XLOOKUP(Workings!$E414,'Discount Scheme Target'!$B:$B,'Discount Scheme Target'!$G:$G,0,0),0)</f>
        <v>0</v>
      </c>
      <c r="K414" s="72">
        <f>IF(SUMIF('Bouclage EG Cust Cons_Decons'!$A:$A,Workings!$A414,'Bouclage EG Cust Cons_Decons'!$F:$F)&gt;='Discount Scheme Target'!$H$4,_xlfn.XLOOKUP(Workings!$E414,'Discount Scheme Target'!$B:$B,'Discount Scheme Target'!$H:$H,0,0),0)</f>
        <v>0</v>
      </c>
      <c r="L414" s="72">
        <f>IF(INDEX('TT Around time'!$A$1:$F$46,MATCH($A414,'TT Around time'!$A:$A,0),6)&gt;='Discount Scheme Target'!$I$4,_xlfn.XLOOKUP(Workings!$E414,'Discount Scheme Target'!$B:$B,'Discount Scheme Target'!$I:$I,0,0),0)</f>
        <v>0</v>
      </c>
      <c r="M414" s="72">
        <f t="shared" si="57"/>
        <v>0.03</v>
      </c>
      <c r="N414" s="62">
        <f t="shared" si="67"/>
        <v>103743.76009834999</v>
      </c>
      <c r="T414" s="61">
        <f t="shared" si="59"/>
        <v>103743.76009834999</v>
      </c>
      <c r="U414" s="61">
        <f t="shared" si="60"/>
        <v>0</v>
      </c>
      <c r="V414" s="61">
        <f t="shared" si="61"/>
        <v>0</v>
      </c>
      <c r="W414" s="61">
        <f t="shared" si="62"/>
        <v>0</v>
      </c>
      <c r="X414" s="61">
        <f t="shared" si="65"/>
        <v>103743.76009834999</v>
      </c>
      <c r="Y414" s="61">
        <f t="shared" si="66"/>
        <v>0</v>
      </c>
    </row>
    <row r="415" spans="1:25" x14ac:dyDescent="0.25">
      <c r="A415" s="51">
        <v>3300002021</v>
      </c>
      <c r="B415" s="51" t="s">
        <v>115</v>
      </c>
      <c r="C415" s="51" t="s">
        <v>151</v>
      </c>
      <c r="D415" s="51" t="s">
        <v>141</v>
      </c>
      <c r="E415" s="51" t="s">
        <v>161</v>
      </c>
      <c r="F415" s="52">
        <f>SUMIF('Customer Budget Per Category'!$A:$A,$A415,'Customer Budget Per Category'!$K:$K)</f>
        <v>0</v>
      </c>
      <c r="G415" s="52">
        <f>SUMIFS('Navision sales Dump'!$E:$E,'Navision sales Dump'!$K:$K,$E415,'Navision sales Dump'!$A:$A,$A415)</f>
        <v>0</v>
      </c>
      <c r="H415" s="62">
        <f>SUMIFS('Navision sales Dump'!$G:$G,'Navision sales Dump'!$K:$K,$E415,'Navision sales Dump'!$A:$A,$A415)</f>
        <v>0</v>
      </c>
      <c r="I415" s="72">
        <f>IFERROR(IF(($G415/$F415)&gt;='Discount Scheme Target'!$F$4,_xlfn.XLOOKUP($E415,'Discount Scheme Target'!$B:$B,'Discount Scheme Target'!$F:$F,0,0),IF(($G415/$F415)&gt;='Discount Scheme Target'!$E$4,_xlfn.XLOOKUP($E415,'Discount Scheme Target'!$B:$B,'Discount Scheme Target'!$E:$E,0,0),IF(($G415/$F415)&gt;='Discount Scheme Target'!$D$4,_xlfn.XLOOKUP($E415,'Discount Scheme Target'!$B:$B,'Discount Scheme Target'!$D:$D,0,0),0))),0)</f>
        <v>0</v>
      </c>
      <c r="J415" s="72">
        <f>IF(SUMIF('Customer Num Distr.'!$A:$A,Workings!$A415,'Customer Num Distr.'!$E:$E)&gt;='Discount Scheme Target'!$G$4,_xlfn.XLOOKUP(Workings!$E415,'Discount Scheme Target'!$B:$B,'Discount Scheme Target'!$G:$G,0,0),0)</f>
        <v>0</v>
      </c>
      <c r="K415" s="72">
        <f>IF(SUMIF('Bouclage EG Cust Cons_Decons'!$A:$A,Workings!$A415,'Bouclage EG Cust Cons_Decons'!$F:$F)&gt;='Discount Scheme Target'!$H$4,_xlfn.XLOOKUP(Workings!$E415,'Discount Scheme Target'!$B:$B,'Discount Scheme Target'!$H:$H,0,0),0)</f>
        <v>0</v>
      </c>
      <c r="L415" s="72">
        <f>IF(INDEX('TT Around time'!$A$1:$F$46,MATCH($A415,'TT Around time'!$A:$A,0),6)&gt;='Discount Scheme Target'!$I$4,_xlfn.XLOOKUP(Workings!$E415,'Discount Scheme Target'!$B:$B,'Discount Scheme Target'!$I:$I,0,0),0)</f>
        <v>0</v>
      </c>
      <c r="M415" s="72">
        <f t="shared" si="57"/>
        <v>0</v>
      </c>
      <c r="N415" s="62">
        <f t="shared" si="67"/>
        <v>0</v>
      </c>
      <c r="T415" s="61">
        <f t="shared" si="59"/>
        <v>0</v>
      </c>
      <c r="U415" s="61">
        <f t="shared" si="60"/>
        <v>0</v>
      </c>
      <c r="V415" s="61">
        <f t="shared" si="61"/>
        <v>0</v>
      </c>
      <c r="W415" s="61">
        <f t="shared" si="62"/>
        <v>0</v>
      </c>
      <c r="X415" s="61">
        <f t="shared" si="65"/>
        <v>0</v>
      </c>
      <c r="Y415" s="61">
        <f t="shared" si="66"/>
        <v>0</v>
      </c>
    </row>
    <row r="416" spans="1:25" x14ac:dyDescent="0.25">
      <c r="A416" s="51">
        <v>3300002021</v>
      </c>
      <c r="B416" s="51" t="s">
        <v>115</v>
      </c>
      <c r="C416" s="51" t="s">
        <v>151</v>
      </c>
      <c r="D416" s="51" t="s">
        <v>141</v>
      </c>
      <c r="E416" s="51" t="s">
        <v>354</v>
      </c>
      <c r="F416" s="52">
        <f>SUMIF('Customer Budget Per Category'!$A:$A,$A416,'Customer Budget Per Category'!$L:$L)</f>
        <v>3736.7840853713383</v>
      </c>
      <c r="G416" s="52">
        <f>SUMIFS('Navision sales Dump'!$E:$E,'Navision sales Dump'!$K:$K,$E416,'Navision sales Dump'!$A:$A,$A416)</f>
        <v>2518</v>
      </c>
      <c r="H416" s="62">
        <f>SUMIFS('Navision sales Dump'!$G:$G,'Navision sales Dump'!$K:$K,$E416,'Navision sales Dump'!$A:$A,$A416)</f>
        <v>8780232.879999999</v>
      </c>
      <c r="I416" s="72">
        <f>IFERROR(IF(($G416/$F416)&gt;='Discount Scheme Target'!$F$4,_xlfn.XLOOKUP($E416,'Discount Scheme Target'!$B:$B,'Discount Scheme Target'!$F:$F,0,0),IF(($G416/$F416)&gt;='Discount Scheme Target'!$E$4,_xlfn.XLOOKUP($E416,'Discount Scheme Target'!$B:$B,'Discount Scheme Target'!$E:$E,0,0),IF(($G416/$F416)&gt;='Discount Scheme Target'!$D$4,_xlfn.XLOOKUP($E416,'Discount Scheme Target'!$B:$B,'Discount Scheme Target'!$D:$D,0,0),0))),0)</f>
        <v>0</v>
      </c>
      <c r="J416" s="72">
        <f>IF(SUMIF('Customer Num Distr.'!$A:$A,Workings!$A416,'Customer Num Distr.'!$E:$E)&gt;='Discount Scheme Target'!$G$4,_xlfn.XLOOKUP(Workings!$E416,'Discount Scheme Target'!$B:$B,'Discount Scheme Target'!$G:$G,0,0),0)</f>
        <v>0</v>
      </c>
      <c r="K416" s="72">
        <f>IF(SUMIF('Bouclage EG Cust Cons_Decons'!$A:$A,Workings!$A416,'Bouclage EG Cust Cons_Decons'!$F:$F)&gt;='Discount Scheme Target'!$H$4,_xlfn.XLOOKUP(Workings!$E416,'Discount Scheme Target'!$B:$B,'Discount Scheme Target'!$H:$H,0,0),0)</f>
        <v>0</v>
      </c>
      <c r="L416" s="72">
        <f>IF(INDEX('TT Around time'!$A$1:$F$46,MATCH($A416,'TT Around time'!$A:$A,0),6)&gt;='Discount Scheme Target'!$I$4,_xlfn.XLOOKUP(Workings!$E416,'Discount Scheme Target'!$B:$B,'Discount Scheme Target'!$I:$I,0,0),0)</f>
        <v>0</v>
      </c>
      <c r="M416" s="72">
        <f t="shared" si="57"/>
        <v>0</v>
      </c>
      <c r="N416" s="62">
        <f t="shared" si="67"/>
        <v>0</v>
      </c>
      <c r="T416" s="61">
        <f t="shared" si="59"/>
        <v>0</v>
      </c>
      <c r="U416" s="61">
        <f t="shared" si="60"/>
        <v>0</v>
      </c>
      <c r="V416" s="61">
        <f t="shared" si="61"/>
        <v>0</v>
      </c>
      <c r="W416" s="61">
        <f t="shared" si="62"/>
        <v>0</v>
      </c>
      <c r="X416" s="61">
        <f t="shared" si="65"/>
        <v>0</v>
      </c>
      <c r="Y416" s="61">
        <f t="shared" si="66"/>
        <v>0</v>
      </c>
    </row>
    <row r="417" spans="1:25" x14ac:dyDescent="0.25">
      <c r="A417" s="51">
        <v>3300002021</v>
      </c>
      <c r="B417" s="51" t="s">
        <v>115</v>
      </c>
      <c r="C417" s="51" t="s">
        <v>151</v>
      </c>
      <c r="D417" s="51" t="s">
        <v>141</v>
      </c>
      <c r="E417" s="51" t="s">
        <v>355</v>
      </c>
      <c r="F417" s="52">
        <f>SUMIF('Customer Budget Per Category'!$A:$A,$A417,'Customer Budget Per Category'!$M:$M)</f>
        <v>2243.975464222648</v>
      </c>
      <c r="G417" s="52">
        <f>SUMIFS('Navision sales Dump'!$E:$E,'Navision sales Dump'!$K:$K,$E417,'Navision sales Dump'!$A:$A,$A417)</f>
        <v>1150</v>
      </c>
      <c r="H417" s="62">
        <f>SUMIFS('Navision sales Dump'!$G:$G,'Navision sales Dump'!$K:$K,$E417,'Navision sales Dump'!$A:$A,$A417)</f>
        <v>2956787.14</v>
      </c>
      <c r="I417" s="72">
        <f>IFERROR(IF(($G417/$F417)&gt;='Discount Scheme Target'!$F$4,_xlfn.XLOOKUP($E417,'Discount Scheme Target'!$B:$B,'Discount Scheme Target'!$F:$F,0,0),IF(($G417/$F417)&gt;='Discount Scheme Target'!$E$4,_xlfn.XLOOKUP($E417,'Discount Scheme Target'!$B:$B,'Discount Scheme Target'!$E:$E,0,0),IF(($G417/$F417)&gt;='Discount Scheme Target'!$D$4,_xlfn.XLOOKUP($E417,'Discount Scheme Target'!$B:$B,'Discount Scheme Target'!$D:$D,0,0),0))),0)</f>
        <v>0</v>
      </c>
      <c r="J417" s="72">
        <f>IF(SUMIF('Customer Num Distr.'!$A:$A,Workings!$A417,'Customer Num Distr.'!$E:$E)&gt;='Discount Scheme Target'!$G$4,_xlfn.XLOOKUP(Workings!$E417,'Discount Scheme Target'!$B:$B,'Discount Scheme Target'!$G:$G,0,0),0)</f>
        <v>0</v>
      </c>
      <c r="K417" s="72">
        <f>IF(SUMIF('Bouclage EG Cust Cons_Decons'!$A:$A,Workings!$A417,'Bouclage EG Cust Cons_Decons'!$F:$F)&gt;='Discount Scheme Target'!$H$4,_xlfn.XLOOKUP(Workings!$E417,'Discount Scheme Target'!$B:$B,'Discount Scheme Target'!$H:$H,0,0),0)</f>
        <v>0</v>
      </c>
      <c r="L417" s="72">
        <f>IF(INDEX('TT Around time'!$A$1:$F$46,MATCH($A417,'TT Around time'!$A:$A,0),6)&gt;='Discount Scheme Target'!$I$4,_xlfn.XLOOKUP(Workings!$E417,'Discount Scheme Target'!$B:$B,'Discount Scheme Target'!$I:$I,0,0),0)</f>
        <v>0</v>
      </c>
      <c r="M417" s="72">
        <f t="shared" si="57"/>
        <v>0</v>
      </c>
      <c r="N417" s="62">
        <f t="shared" si="67"/>
        <v>0</v>
      </c>
      <c r="T417" s="61">
        <f t="shared" si="59"/>
        <v>0</v>
      </c>
      <c r="U417" s="61">
        <f t="shared" si="60"/>
        <v>0</v>
      </c>
      <c r="V417" s="61">
        <f t="shared" si="61"/>
        <v>0</v>
      </c>
      <c r="W417" s="61">
        <f t="shared" si="62"/>
        <v>0</v>
      </c>
      <c r="X417" s="61">
        <f t="shared" si="65"/>
        <v>0</v>
      </c>
      <c r="Y417" s="61">
        <f t="shared" si="66"/>
        <v>0</v>
      </c>
    </row>
    <row r="418" spans="1:25" x14ac:dyDescent="0.25">
      <c r="A418" s="51">
        <v>3300002021</v>
      </c>
      <c r="B418" s="51" t="s">
        <v>115</v>
      </c>
      <c r="C418" s="51" t="s">
        <v>151</v>
      </c>
      <c r="D418" s="51" t="s">
        <v>141</v>
      </c>
      <c r="E418" s="51" t="s">
        <v>132</v>
      </c>
      <c r="F418" s="52">
        <f>SUMIF('Customer Budget Per Category'!$A:$A,$A418,'Customer Budget Per Category'!$N:$N)</f>
        <v>990.15910003036333</v>
      </c>
      <c r="G418" s="52">
        <f>SUMIFS('Navision sales Dump'!$E:$E,'Navision sales Dump'!$K:$K,$E418,'Navision sales Dump'!$A:$A,$A418)</f>
        <v>144</v>
      </c>
      <c r="H418" s="62">
        <f>SUMIFS('Navision sales Dump'!$G:$G,'Navision sales Dump'!$K:$K,$E418,'Navision sales Dump'!$A:$A,$A418)</f>
        <v>314265.59999999998</v>
      </c>
      <c r="I418" s="72">
        <f>IFERROR(IF(($G418/$F418)&gt;='Discount Scheme Target'!$F$4,_xlfn.XLOOKUP($E418,'Discount Scheme Target'!$B:$B,'Discount Scheme Target'!$F:$F,0,0),IF(($G418/$F418)&gt;='Discount Scheme Target'!$E$4,_xlfn.XLOOKUP($E418,'Discount Scheme Target'!$B:$B,'Discount Scheme Target'!$E:$E,0,0),IF(($G418/$F418)&gt;='Discount Scheme Target'!$D$4,_xlfn.XLOOKUP($E418,'Discount Scheme Target'!$B:$B,'Discount Scheme Target'!$D:$D,0,0),0))),0)</f>
        <v>0</v>
      </c>
      <c r="J418" s="72">
        <f>IF(SUMIF('Customer Num Distr.'!$A:$A,Workings!$A418,'Customer Num Distr.'!$E:$E)&gt;='Discount Scheme Target'!$G$4,_xlfn.XLOOKUP(Workings!$E418,'Discount Scheme Target'!$B:$B,'Discount Scheme Target'!$G:$G,0,0),0)</f>
        <v>0</v>
      </c>
      <c r="K418" s="72">
        <f>IF(SUMIF('Bouclage EG Cust Cons_Decons'!$A:$A,Workings!$A418,'Bouclage EG Cust Cons_Decons'!$F:$F)&gt;='Discount Scheme Target'!$H$4,_xlfn.XLOOKUP(Workings!$E418,'Discount Scheme Target'!$B:$B,'Discount Scheme Target'!$H:$H,0,0),0)</f>
        <v>0</v>
      </c>
      <c r="L418" s="72">
        <f>IF(INDEX('TT Around time'!$A$1:$F$46,MATCH($A418,'TT Around time'!$A:$A,0),6)&gt;='Discount Scheme Target'!$I$4,_xlfn.XLOOKUP(Workings!$E418,'Discount Scheme Target'!$B:$B,'Discount Scheme Target'!$I:$I,0,0),0)</f>
        <v>0</v>
      </c>
      <c r="M418" s="72">
        <f t="shared" si="57"/>
        <v>0</v>
      </c>
      <c r="N418" s="62">
        <f t="shared" si="67"/>
        <v>0</v>
      </c>
      <c r="T418" s="61">
        <f t="shared" si="59"/>
        <v>0</v>
      </c>
      <c r="U418" s="61">
        <f t="shared" si="60"/>
        <v>0</v>
      </c>
      <c r="V418" s="61">
        <f t="shared" si="61"/>
        <v>0</v>
      </c>
      <c r="W418" s="61">
        <f t="shared" si="62"/>
        <v>0</v>
      </c>
      <c r="X418" s="61">
        <f t="shared" si="65"/>
        <v>0</v>
      </c>
      <c r="Y418" s="61">
        <f t="shared" si="66"/>
        <v>0</v>
      </c>
    </row>
    <row r="419" spans="1:25" x14ac:dyDescent="0.25">
      <c r="A419" s="51">
        <v>3300002021</v>
      </c>
      <c r="B419" s="51" t="s">
        <v>115</v>
      </c>
      <c r="C419" s="51" t="s">
        <v>151</v>
      </c>
      <c r="D419" s="51" t="s">
        <v>141</v>
      </c>
      <c r="E419" s="51" t="s">
        <v>133</v>
      </c>
      <c r="F419" s="52">
        <f>SUMIF('Customer Budget Per Category'!$A:$A,$A419,'Customer Budget Per Category'!$O:$O)</f>
        <v>213.37104005064145</v>
      </c>
      <c r="G419" s="52">
        <f>SUMIFS('Navision sales Dump'!$E:$E,'Navision sales Dump'!$K:$K,$E419,'Navision sales Dump'!$A:$A,$A419)</f>
        <v>215</v>
      </c>
      <c r="H419" s="62">
        <f>SUMIFS('Navision sales Dump'!$G:$G,'Navision sales Dump'!$K:$K,$E419,'Navision sales Dump'!$A:$A,$A419)</f>
        <v>2155886.7000000002</v>
      </c>
      <c r="I419" s="72">
        <f>IFERROR(IF(($G419/$F419)&gt;='Discount Scheme Target'!$F$4,_xlfn.XLOOKUP($E419,'Discount Scheme Target'!$B:$B,'Discount Scheme Target'!$F:$F,0,0),IF(($G419/$F419)&gt;='Discount Scheme Target'!$E$4,_xlfn.XLOOKUP($E419,'Discount Scheme Target'!$B:$B,'Discount Scheme Target'!$E:$E,0,0),IF(($G419/$F419)&gt;='Discount Scheme Target'!$D$4,_xlfn.XLOOKUP($E419,'Discount Scheme Target'!$B:$B,'Discount Scheme Target'!$D:$D,0,0),0))),0)</f>
        <v>0.01</v>
      </c>
      <c r="J419" s="72">
        <f>IF(SUMIF('Customer Num Distr.'!$A:$A,Workings!$A419,'Customer Num Distr.'!$E:$E)&gt;='Discount Scheme Target'!$G$4,_xlfn.XLOOKUP(Workings!$E419,'Discount Scheme Target'!$B:$B,'Discount Scheme Target'!$G:$G,0,0),0)</f>
        <v>0</v>
      </c>
      <c r="K419" s="72">
        <f>IF(SUMIF('Bouclage EG Cust Cons_Decons'!$A:$A,Workings!$A419,'Bouclage EG Cust Cons_Decons'!$F:$F)&gt;='Discount Scheme Target'!$H$4,_xlfn.XLOOKUP(Workings!$E419,'Discount Scheme Target'!$B:$B,'Discount Scheme Target'!$H:$H,0,0),0)</f>
        <v>0</v>
      </c>
      <c r="L419" s="72">
        <f>IF(INDEX('TT Around time'!$A$1:$F$46,MATCH($A419,'TT Around time'!$A:$A,0),6)&gt;='Discount Scheme Target'!$I$4,_xlfn.XLOOKUP(Workings!$E419,'Discount Scheme Target'!$B:$B,'Discount Scheme Target'!$I:$I,0,0),0)</f>
        <v>0</v>
      </c>
      <c r="M419" s="72">
        <f t="shared" si="57"/>
        <v>0.01</v>
      </c>
      <c r="N419" s="62">
        <f t="shared" si="67"/>
        <v>21395.524995830012</v>
      </c>
      <c r="T419" s="61">
        <f t="shared" si="59"/>
        <v>21395.524995830012</v>
      </c>
      <c r="U419" s="61">
        <f t="shared" si="60"/>
        <v>0</v>
      </c>
      <c r="V419" s="61">
        <f t="shared" si="61"/>
        <v>0</v>
      </c>
      <c r="W419" s="61">
        <f t="shared" si="62"/>
        <v>0</v>
      </c>
      <c r="X419" s="61">
        <f t="shared" si="65"/>
        <v>21395.524995830012</v>
      </c>
      <c r="Y419" s="61">
        <f t="shared" si="66"/>
        <v>0</v>
      </c>
    </row>
    <row r="420" spans="1:25" x14ac:dyDescent="0.25">
      <c r="A420" s="51">
        <v>3300002018</v>
      </c>
      <c r="B420" s="51" t="s">
        <v>114</v>
      </c>
      <c r="C420" s="51" t="s">
        <v>151</v>
      </c>
      <c r="D420" s="51" t="s">
        <v>141</v>
      </c>
      <c r="E420" s="51" t="s">
        <v>417</v>
      </c>
      <c r="F420" s="52">
        <f>SUMIF('Customer Budget Per Category'!$A:$A,$A420,'Customer Budget Per Category'!$E:$E)</f>
        <v>1049.188269862218</v>
      </c>
      <c r="G420" s="52">
        <f>SUMIFS('Navision sales Dump'!$E:$E,'Navision sales Dump'!$K:$K,$E420,'Navision sales Dump'!$A:$A,$A420)</f>
        <v>576</v>
      </c>
      <c r="H420" s="62">
        <f>SUMIFS('Navision sales Dump'!$G:$G,'Navision sales Dump'!$K:$K,$E420,'Navision sales Dump'!$A:$A,$A420)</f>
        <v>4171673.5200000005</v>
      </c>
      <c r="I420" s="72">
        <f>IFERROR(IF(($G420/$F420)&gt;='Discount Scheme Target'!$F$4,_xlfn.XLOOKUP($E420,'Discount Scheme Target'!$B:$B,'Discount Scheme Target'!$F:$F,0,0),IF(($G420/$F420)&gt;='Discount Scheme Target'!$E$4,_xlfn.XLOOKUP($E420,'Discount Scheme Target'!$B:$B,'Discount Scheme Target'!$E:$E,0,0),IF(($G420/$F420)&gt;='Discount Scheme Target'!$D$4,_xlfn.XLOOKUP($E420,'Discount Scheme Target'!$B:$B,'Discount Scheme Target'!$D:$D,0,0),0))),0)</f>
        <v>0</v>
      </c>
      <c r="J420" s="72">
        <f>IF(SUMIF('Customer Num Distr.'!$A:$A,Workings!$A420,'Customer Num Distr.'!$E:$E)&gt;='Discount Scheme Target'!$G$4,_xlfn.XLOOKUP(Workings!$E420,'Discount Scheme Target'!$B:$B,'Discount Scheme Target'!$G:$G,0,0),0)</f>
        <v>0</v>
      </c>
      <c r="K420" s="72">
        <f>IF(SUMIF('Bouclage EG Cust Cons_Decons'!$A:$A,Workings!$A420,'Bouclage EG Cust Cons_Decons'!$F:$F)&gt;='Discount Scheme Target'!$H$4,_xlfn.XLOOKUP(Workings!$E420,'Discount Scheme Target'!$B:$B,'Discount Scheme Target'!$H:$H,0,0),0)</f>
        <v>0</v>
      </c>
      <c r="L420" s="72">
        <f>IF(INDEX('TT Around time'!$A$1:$F$46,MATCH($A420,'TT Around time'!$A:$A,0),6)&gt;='Discount Scheme Target'!$I$4,_xlfn.XLOOKUP(Workings!$E420,'Discount Scheme Target'!$B:$B,'Discount Scheme Target'!$I:$I,0,0),0)</f>
        <v>0</v>
      </c>
      <c r="M420" s="72">
        <f t="shared" si="57"/>
        <v>0</v>
      </c>
      <c r="N420" s="62">
        <f t="shared" si="67"/>
        <v>0</v>
      </c>
      <c r="T420" s="61">
        <f t="shared" si="59"/>
        <v>0</v>
      </c>
      <c r="U420" s="61">
        <f t="shared" si="60"/>
        <v>0</v>
      </c>
      <c r="V420" s="61">
        <f t="shared" si="61"/>
        <v>0</v>
      </c>
      <c r="W420" s="61">
        <f t="shared" si="62"/>
        <v>0</v>
      </c>
      <c r="X420" s="61">
        <f t="shared" si="65"/>
        <v>0</v>
      </c>
      <c r="Y420" s="61">
        <f t="shared" si="66"/>
        <v>0</v>
      </c>
    </row>
    <row r="421" spans="1:25" x14ac:dyDescent="0.25">
      <c r="A421" s="51">
        <v>3300002018</v>
      </c>
      <c r="B421" s="51" t="s">
        <v>114</v>
      </c>
      <c r="C421" s="51" t="s">
        <v>151</v>
      </c>
      <c r="D421" s="51" t="s">
        <v>141</v>
      </c>
      <c r="E421" s="51" t="s">
        <v>418</v>
      </c>
      <c r="F421" s="52">
        <f>SUMIF('Customer Budget Per Category'!$A:$A,$A421,'Customer Budget Per Category'!$F:$F)</f>
        <v>0</v>
      </c>
      <c r="G421" s="52">
        <f>SUMIFS('Navision sales Dump'!$E:$E,'Navision sales Dump'!$K:$K,$E421,'Navision sales Dump'!$A:$A,$A421)</f>
        <v>0</v>
      </c>
      <c r="H421" s="62">
        <f>SUMIFS('Navision sales Dump'!$G:$G,'Navision sales Dump'!$K:$K,$E421,'Navision sales Dump'!$A:$A,$A421)</f>
        <v>0</v>
      </c>
      <c r="I421" s="72">
        <f>IFERROR(IF(($G421/$F421)&gt;='Discount Scheme Target'!$F$4,_xlfn.XLOOKUP($E421,'Discount Scheme Target'!$B:$B,'Discount Scheme Target'!$F:$F,0,0),IF(($G421/$F421)&gt;='Discount Scheme Target'!$E$4,_xlfn.XLOOKUP($E421,'Discount Scheme Target'!$B:$B,'Discount Scheme Target'!$E:$E,0,0),IF(($G421/$F421)&gt;='Discount Scheme Target'!$D$4,_xlfn.XLOOKUP($E421,'Discount Scheme Target'!$B:$B,'Discount Scheme Target'!$D:$D,0,0),0))),0)</f>
        <v>0</v>
      </c>
      <c r="J421" s="72">
        <f>IF(SUMIF('Customer Num Distr.'!$A:$A,Workings!$A421,'Customer Num Distr.'!$E:$E)&gt;='Discount Scheme Target'!$G$4,_xlfn.XLOOKUP(Workings!$E421,'Discount Scheme Target'!$B:$B,'Discount Scheme Target'!$G:$G,0,0),0)</f>
        <v>0</v>
      </c>
      <c r="K421" s="72">
        <f>IF(SUMIF('Bouclage EG Cust Cons_Decons'!$A:$A,Workings!$A421,'Bouclage EG Cust Cons_Decons'!$F:$F)&gt;='Discount Scheme Target'!$H$4,_xlfn.XLOOKUP(Workings!$E421,'Discount Scheme Target'!$B:$B,'Discount Scheme Target'!$H:$H,0,0),0)</f>
        <v>0</v>
      </c>
      <c r="L421" s="72">
        <f>IF(INDEX('TT Around time'!$A$1:$F$46,MATCH($A421,'TT Around time'!$A:$A,0),6)&gt;='Discount Scheme Target'!$I$4,_xlfn.XLOOKUP(Workings!$E421,'Discount Scheme Target'!$B:$B,'Discount Scheme Target'!$I:$I,0,0),0)</f>
        <v>0</v>
      </c>
      <c r="M421" s="72">
        <f t="shared" si="57"/>
        <v>0</v>
      </c>
      <c r="N421" s="62">
        <f t="shared" si="67"/>
        <v>0</v>
      </c>
      <c r="T421" s="61">
        <f t="shared" si="59"/>
        <v>0</v>
      </c>
      <c r="U421" s="61">
        <f t="shared" si="60"/>
        <v>0</v>
      </c>
      <c r="V421" s="61">
        <f t="shared" si="61"/>
        <v>0</v>
      </c>
      <c r="W421" s="61">
        <f t="shared" si="62"/>
        <v>0</v>
      </c>
      <c r="X421" s="61">
        <f t="shared" si="65"/>
        <v>0</v>
      </c>
      <c r="Y421" s="61">
        <f t="shared" si="66"/>
        <v>0</v>
      </c>
    </row>
    <row r="422" spans="1:25" x14ac:dyDescent="0.25">
      <c r="A422" s="51">
        <v>3300002018</v>
      </c>
      <c r="B422" s="51" t="s">
        <v>114</v>
      </c>
      <c r="C422" s="51" t="s">
        <v>151</v>
      </c>
      <c r="D422" s="51" t="s">
        <v>141</v>
      </c>
      <c r="E422" s="51" t="s">
        <v>130</v>
      </c>
      <c r="F422" s="52">
        <f>SUMIF('Customer Budget Per Category'!$A:$A,$A422,'Customer Budget Per Category'!$G:$G)</f>
        <v>26.434680420065717</v>
      </c>
      <c r="G422" s="52">
        <f>SUMIFS('Navision sales Dump'!$E:$E,'Navision sales Dump'!$K:$K,$E422,'Navision sales Dump'!$A:$A,$A422)</f>
        <v>0</v>
      </c>
      <c r="H422" s="62">
        <f>SUMIFS('Navision sales Dump'!$G:$G,'Navision sales Dump'!$K:$K,$E422,'Navision sales Dump'!$A:$A,$A422)</f>
        <v>0</v>
      </c>
      <c r="I422" s="72">
        <f>IFERROR(IF(($G422/$F422)&gt;='Discount Scheme Target'!$F$4,_xlfn.XLOOKUP($E422,'Discount Scheme Target'!$B:$B,'Discount Scheme Target'!$F:$F,0,0),IF(($G422/$F422)&gt;='Discount Scheme Target'!$E$4,_xlfn.XLOOKUP($E422,'Discount Scheme Target'!$B:$B,'Discount Scheme Target'!$E:$E,0,0),IF(($G422/$F422)&gt;='Discount Scheme Target'!$D$4,_xlfn.XLOOKUP($E422,'Discount Scheme Target'!$B:$B,'Discount Scheme Target'!$D:$D,0,0),0))),0)</f>
        <v>0</v>
      </c>
      <c r="J422" s="72">
        <f>IF(SUMIF('Customer Num Distr.'!$A:$A,Workings!$A422,'Customer Num Distr.'!$E:$E)&gt;='Discount Scheme Target'!$G$4,_xlfn.XLOOKUP(Workings!$E422,'Discount Scheme Target'!$B:$B,'Discount Scheme Target'!$G:$G,0,0),0)</f>
        <v>0</v>
      </c>
      <c r="K422" s="72">
        <f>IF(SUMIF('Bouclage EG Cust Cons_Decons'!$A:$A,Workings!$A422,'Bouclage EG Cust Cons_Decons'!$F:$F)&gt;='Discount Scheme Target'!$H$4,_xlfn.XLOOKUP(Workings!$E422,'Discount Scheme Target'!$B:$B,'Discount Scheme Target'!$H:$H,0,0),0)</f>
        <v>0</v>
      </c>
      <c r="L422" s="72">
        <f>IF(INDEX('TT Around time'!$A$1:$F$46,MATCH($A422,'TT Around time'!$A:$A,0),6)&gt;='Discount Scheme Target'!$I$4,_xlfn.XLOOKUP(Workings!$E422,'Discount Scheme Target'!$B:$B,'Discount Scheme Target'!$I:$I,0,0),0)</f>
        <v>0</v>
      </c>
      <c r="M422" s="72">
        <f t="shared" si="57"/>
        <v>0</v>
      </c>
      <c r="N422" s="62">
        <f t="shared" si="67"/>
        <v>0</v>
      </c>
      <c r="T422" s="61">
        <f t="shared" si="59"/>
        <v>0</v>
      </c>
      <c r="U422" s="61">
        <f t="shared" si="60"/>
        <v>0</v>
      </c>
      <c r="V422" s="61">
        <f t="shared" si="61"/>
        <v>0</v>
      </c>
      <c r="W422" s="61">
        <f t="shared" si="62"/>
        <v>0</v>
      </c>
      <c r="X422" s="61">
        <f t="shared" si="65"/>
        <v>0</v>
      </c>
      <c r="Y422" s="61">
        <f t="shared" si="66"/>
        <v>0</v>
      </c>
    </row>
    <row r="423" spans="1:25" x14ac:dyDescent="0.25">
      <c r="A423" s="51">
        <v>3300002018</v>
      </c>
      <c r="B423" s="51" t="s">
        <v>114</v>
      </c>
      <c r="C423" s="51" t="s">
        <v>151</v>
      </c>
      <c r="D423" s="51" t="s">
        <v>141</v>
      </c>
      <c r="E423" s="51" t="s">
        <v>131</v>
      </c>
      <c r="F423" s="52">
        <f>SUMIF('Customer Budget Per Category'!$A:$A,$A423,'Customer Budget Per Category'!$H:$H)</f>
        <v>27.716624593929584</v>
      </c>
      <c r="G423" s="52">
        <f>SUMIFS('Navision sales Dump'!$E:$E,'Navision sales Dump'!$K:$K,$E423,'Navision sales Dump'!$A:$A,$A423)</f>
        <v>19</v>
      </c>
      <c r="H423" s="62">
        <f>SUMIFS('Navision sales Dump'!$G:$G,'Navision sales Dump'!$K:$K,$E423,'Navision sales Dump'!$A:$A,$A423)</f>
        <v>807139.47</v>
      </c>
      <c r="I423" s="72">
        <f>IFERROR(IF(($G423/$F423)&gt;='Discount Scheme Target'!$F$4,_xlfn.XLOOKUP($E423,'Discount Scheme Target'!$B:$B,'Discount Scheme Target'!$F:$F,0,0),IF(($G423/$F423)&gt;='Discount Scheme Target'!$E$4,_xlfn.XLOOKUP($E423,'Discount Scheme Target'!$B:$B,'Discount Scheme Target'!$E:$E,0,0),IF(($G423/$F423)&gt;='Discount Scheme Target'!$D$4,_xlfn.XLOOKUP($E423,'Discount Scheme Target'!$B:$B,'Discount Scheme Target'!$D:$D,0,0),0))),0)</f>
        <v>0</v>
      </c>
      <c r="J423" s="72">
        <f>IF(SUMIF('Customer Num Distr.'!$A:$A,Workings!$A423,'Customer Num Distr.'!$E:$E)&gt;='Discount Scheme Target'!$G$4,_xlfn.XLOOKUP(Workings!$E423,'Discount Scheme Target'!$B:$B,'Discount Scheme Target'!$G:$G,0,0),0)</f>
        <v>0</v>
      </c>
      <c r="K423" s="72">
        <f>IF(SUMIF('Bouclage EG Cust Cons_Decons'!$A:$A,Workings!$A423,'Bouclage EG Cust Cons_Decons'!$F:$F)&gt;='Discount Scheme Target'!$H$4,_xlfn.XLOOKUP(Workings!$E423,'Discount Scheme Target'!$B:$B,'Discount Scheme Target'!$H:$H,0,0),0)</f>
        <v>0</v>
      </c>
      <c r="L423" s="72">
        <f>IF(INDEX('TT Around time'!$A$1:$F$46,MATCH($A423,'TT Around time'!$A:$A,0),6)&gt;='Discount Scheme Target'!$I$4,_xlfn.XLOOKUP(Workings!$E423,'Discount Scheme Target'!$B:$B,'Discount Scheme Target'!$I:$I,0,0),0)</f>
        <v>0</v>
      </c>
      <c r="M423" s="72">
        <f t="shared" si="57"/>
        <v>0</v>
      </c>
      <c r="N423" s="62">
        <f t="shared" si="67"/>
        <v>0</v>
      </c>
      <c r="T423" s="61">
        <f t="shared" si="59"/>
        <v>0</v>
      </c>
      <c r="U423" s="61">
        <f t="shared" si="60"/>
        <v>0</v>
      </c>
      <c r="V423" s="61">
        <f t="shared" si="61"/>
        <v>0</v>
      </c>
      <c r="W423" s="61">
        <f t="shared" si="62"/>
        <v>0</v>
      </c>
      <c r="X423" s="61">
        <f t="shared" si="65"/>
        <v>0</v>
      </c>
      <c r="Y423" s="61">
        <f t="shared" si="66"/>
        <v>0</v>
      </c>
    </row>
    <row r="424" spans="1:25" x14ac:dyDescent="0.25">
      <c r="A424" s="51">
        <v>3300002018</v>
      </c>
      <c r="B424" s="51" t="s">
        <v>114</v>
      </c>
      <c r="C424" s="51" t="s">
        <v>151</v>
      </c>
      <c r="D424" s="51" t="s">
        <v>141</v>
      </c>
      <c r="E424" s="51" t="s">
        <v>514</v>
      </c>
      <c r="F424" s="52">
        <f>SUMIF('Customer Budget Per Category'!$A:$A,$A424,'Customer Budget Per Category'!$I:$I)</f>
        <v>351.05935012311778</v>
      </c>
      <c r="G424" s="52">
        <f>SUMIFS('Navision sales Dump'!$E:$E,'Navision sales Dump'!$K:$K,$E424,'Navision sales Dump'!$A:$A,$A424)</f>
        <v>574</v>
      </c>
      <c r="H424" s="62">
        <f>SUMIFS('Navision sales Dump'!$G:$G,'Navision sales Dump'!$K:$K,$E424,'Navision sales Dump'!$A:$A,$A424)</f>
        <v>2271909.2200000002</v>
      </c>
      <c r="I424" s="72">
        <f>IFERROR(IF(($G424/$F424)&gt;='Discount Scheme Target'!$F$4,_xlfn.XLOOKUP($E424,'Discount Scheme Target'!$B:$B,'Discount Scheme Target'!$F:$F,0,0),IF(($G424/$F424)&gt;='Discount Scheme Target'!$E$4,_xlfn.XLOOKUP($E424,'Discount Scheme Target'!$B:$B,'Discount Scheme Target'!$E:$E,0,0),IF(($G424/$F424)&gt;='Discount Scheme Target'!$D$4,_xlfn.XLOOKUP($E424,'Discount Scheme Target'!$B:$B,'Discount Scheme Target'!$D:$D,0,0),0))),0)</f>
        <v>0.04</v>
      </c>
      <c r="J424" s="72">
        <f>IF(SUMIF('Customer Num Distr.'!$A:$A,Workings!$A424,'Customer Num Distr.'!$E:$E)&gt;='Discount Scheme Target'!$G$4,_xlfn.XLOOKUP(Workings!$E424,'Discount Scheme Target'!$B:$B,'Discount Scheme Target'!$G:$G,0,0),0)</f>
        <v>0</v>
      </c>
      <c r="K424" s="72">
        <f>IF(SUMIF('Bouclage EG Cust Cons_Decons'!$A:$A,Workings!$A424,'Bouclage EG Cust Cons_Decons'!$F:$F)&gt;='Discount Scheme Target'!$H$4,_xlfn.XLOOKUP(Workings!$E424,'Discount Scheme Target'!$B:$B,'Discount Scheme Target'!$H:$H,0,0),0)</f>
        <v>0</v>
      </c>
      <c r="L424" s="72">
        <f>IF(INDEX('TT Around time'!$A$1:$F$46,MATCH($A424,'TT Around time'!$A:$A,0),6)&gt;='Discount Scheme Target'!$I$4,_xlfn.XLOOKUP(Workings!$E424,'Discount Scheme Target'!$B:$B,'Discount Scheme Target'!$I:$I,0,0),0)</f>
        <v>0</v>
      </c>
      <c r="M424" s="72">
        <f t="shared" si="57"/>
        <v>0.04</v>
      </c>
      <c r="N424" s="62">
        <f t="shared" si="67"/>
        <v>55580.137582712159</v>
      </c>
      <c r="T424" s="61">
        <f t="shared" si="59"/>
        <v>55580.137582712159</v>
      </c>
      <c r="U424" s="61">
        <f t="shared" si="60"/>
        <v>0</v>
      </c>
      <c r="V424" s="61">
        <f t="shared" si="61"/>
        <v>0</v>
      </c>
      <c r="W424" s="61">
        <f t="shared" si="62"/>
        <v>0</v>
      </c>
      <c r="X424" s="61">
        <f t="shared" si="65"/>
        <v>55580.137582712159</v>
      </c>
      <c r="Y424" s="61">
        <f t="shared" si="66"/>
        <v>0</v>
      </c>
    </row>
    <row r="425" spans="1:25" x14ac:dyDescent="0.25">
      <c r="A425" s="51">
        <v>3300002018</v>
      </c>
      <c r="B425" s="51" t="s">
        <v>114</v>
      </c>
      <c r="C425" s="51" t="s">
        <v>151</v>
      </c>
      <c r="D425" s="51" t="s">
        <v>141</v>
      </c>
      <c r="E425" s="51" t="s">
        <v>515</v>
      </c>
      <c r="F425" s="52">
        <f>SUMIF('Customer Budget Per Category'!$A:$A,$A425,'Customer Budget Per Category'!$J:$J)</f>
        <v>47.319579077938229</v>
      </c>
      <c r="G425" s="52">
        <f>SUMIFS('Navision sales Dump'!$E:$E,'Navision sales Dump'!$K:$K,$E425,'Navision sales Dump'!$A:$A,$A425)</f>
        <v>0</v>
      </c>
      <c r="H425" s="62">
        <f>SUMIFS('Navision sales Dump'!$G:$G,'Navision sales Dump'!$K:$K,$E425,'Navision sales Dump'!$A:$A,$A425)</f>
        <v>0</v>
      </c>
      <c r="I425" s="72">
        <f>IFERROR(IF(($G425/$F425)&gt;='Discount Scheme Target'!$F$4,_xlfn.XLOOKUP($E425,'Discount Scheme Target'!$B:$B,'Discount Scheme Target'!$F:$F,0,0),IF(($G425/$F425)&gt;='Discount Scheme Target'!$E$4,_xlfn.XLOOKUP($E425,'Discount Scheme Target'!$B:$B,'Discount Scheme Target'!$E:$E,0,0),IF(($G425/$F425)&gt;='Discount Scheme Target'!$D$4,_xlfn.XLOOKUP($E425,'Discount Scheme Target'!$B:$B,'Discount Scheme Target'!$D:$D,0,0),0))),0)</f>
        <v>0</v>
      </c>
      <c r="J425" s="72">
        <f>IF(SUMIF('Customer Num Distr.'!$A:$A,Workings!$A425,'Customer Num Distr.'!$E:$E)&gt;='Discount Scheme Target'!$G$4,_xlfn.XLOOKUP(Workings!$E425,'Discount Scheme Target'!$B:$B,'Discount Scheme Target'!$G:$G,0,0),0)</f>
        <v>0</v>
      </c>
      <c r="K425" s="72">
        <f>IF(SUMIF('Bouclage EG Cust Cons_Decons'!$A:$A,Workings!$A425,'Bouclage EG Cust Cons_Decons'!$F:$F)&gt;='Discount Scheme Target'!$H$4,_xlfn.XLOOKUP(Workings!$E425,'Discount Scheme Target'!$B:$B,'Discount Scheme Target'!$H:$H,0,0),0)</f>
        <v>0</v>
      </c>
      <c r="L425" s="72">
        <f>IF(INDEX('TT Around time'!$A$1:$F$46,MATCH($A425,'TT Around time'!$A:$A,0),6)&gt;='Discount Scheme Target'!$I$4,_xlfn.XLOOKUP(Workings!$E425,'Discount Scheme Target'!$B:$B,'Discount Scheme Target'!$I:$I,0,0),0)</f>
        <v>0</v>
      </c>
      <c r="M425" s="72">
        <f t="shared" si="57"/>
        <v>0</v>
      </c>
      <c r="N425" s="62">
        <f t="shared" si="67"/>
        <v>0</v>
      </c>
      <c r="T425" s="61">
        <f t="shared" si="59"/>
        <v>0</v>
      </c>
      <c r="U425" s="61">
        <f t="shared" si="60"/>
        <v>0</v>
      </c>
      <c r="V425" s="61">
        <f t="shared" si="61"/>
        <v>0</v>
      </c>
      <c r="W425" s="61">
        <f t="shared" si="62"/>
        <v>0</v>
      </c>
      <c r="X425" s="61">
        <f t="shared" si="65"/>
        <v>0</v>
      </c>
      <c r="Y425" s="61">
        <f t="shared" si="66"/>
        <v>0</v>
      </c>
    </row>
    <row r="426" spans="1:25" x14ac:dyDescent="0.25">
      <c r="A426" s="51">
        <v>3300002018</v>
      </c>
      <c r="B426" s="51" t="s">
        <v>114</v>
      </c>
      <c r="C426" s="51" t="s">
        <v>151</v>
      </c>
      <c r="D426" s="51" t="s">
        <v>141</v>
      </c>
      <c r="E426" s="51" t="s">
        <v>161</v>
      </c>
      <c r="F426" s="52">
        <f>SUMIF('Customer Budget Per Category'!$A:$A,$A426,'Customer Budget Per Category'!$K:$K)</f>
        <v>0</v>
      </c>
      <c r="G426" s="52">
        <f>SUMIFS('Navision sales Dump'!$E:$E,'Navision sales Dump'!$K:$K,$E426,'Navision sales Dump'!$A:$A,$A426)</f>
        <v>0</v>
      </c>
      <c r="H426" s="62">
        <f>SUMIFS('Navision sales Dump'!$G:$G,'Navision sales Dump'!$K:$K,$E426,'Navision sales Dump'!$A:$A,$A426)</f>
        <v>0</v>
      </c>
      <c r="I426" s="72">
        <f>IFERROR(IF(($G426/$F426)&gt;='Discount Scheme Target'!$F$4,_xlfn.XLOOKUP($E426,'Discount Scheme Target'!$B:$B,'Discount Scheme Target'!$F:$F,0,0),IF(($G426/$F426)&gt;='Discount Scheme Target'!$E$4,_xlfn.XLOOKUP($E426,'Discount Scheme Target'!$B:$B,'Discount Scheme Target'!$E:$E,0,0),IF(($G426/$F426)&gt;='Discount Scheme Target'!$D$4,_xlfn.XLOOKUP($E426,'Discount Scheme Target'!$B:$B,'Discount Scheme Target'!$D:$D,0,0),0))),0)</f>
        <v>0</v>
      </c>
      <c r="J426" s="72">
        <f>IF(SUMIF('Customer Num Distr.'!$A:$A,Workings!$A426,'Customer Num Distr.'!$E:$E)&gt;='Discount Scheme Target'!$G$4,_xlfn.XLOOKUP(Workings!$E426,'Discount Scheme Target'!$B:$B,'Discount Scheme Target'!$G:$G,0,0),0)</f>
        <v>0</v>
      </c>
      <c r="K426" s="72">
        <f>IF(SUMIF('Bouclage EG Cust Cons_Decons'!$A:$A,Workings!$A426,'Bouclage EG Cust Cons_Decons'!$F:$F)&gt;='Discount Scheme Target'!$H$4,_xlfn.XLOOKUP(Workings!$E426,'Discount Scheme Target'!$B:$B,'Discount Scheme Target'!$H:$H,0,0),0)</f>
        <v>0</v>
      </c>
      <c r="L426" s="72">
        <f>IF(INDEX('TT Around time'!$A$1:$F$46,MATCH($A426,'TT Around time'!$A:$A,0),6)&gt;='Discount Scheme Target'!$I$4,_xlfn.XLOOKUP(Workings!$E426,'Discount Scheme Target'!$B:$B,'Discount Scheme Target'!$I:$I,0,0),0)</f>
        <v>0</v>
      </c>
      <c r="M426" s="72">
        <f t="shared" si="57"/>
        <v>0</v>
      </c>
      <c r="N426" s="62">
        <f t="shared" si="67"/>
        <v>0</v>
      </c>
      <c r="T426" s="61">
        <f t="shared" si="59"/>
        <v>0</v>
      </c>
      <c r="U426" s="61">
        <f t="shared" si="60"/>
        <v>0</v>
      </c>
      <c r="V426" s="61">
        <f t="shared" si="61"/>
        <v>0</v>
      </c>
      <c r="W426" s="61">
        <f t="shared" si="62"/>
        <v>0</v>
      </c>
      <c r="X426" s="61">
        <f t="shared" si="65"/>
        <v>0</v>
      </c>
      <c r="Y426" s="61">
        <f t="shared" si="66"/>
        <v>0</v>
      </c>
    </row>
    <row r="427" spans="1:25" x14ac:dyDescent="0.25">
      <c r="A427" s="51">
        <v>3300002018</v>
      </c>
      <c r="B427" s="51" t="s">
        <v>114</v>
      </c>
      <c r="C427" s="51" t="s">
        <v>151</v>
      </c>
      <c r="D427" s="51" t="s">
        <v>141</v>
      </c>
      <c r="E427" s="51" t="s">
        <v>354</v>
      </c>
      <c r="F427" s="52">
        <f>SUMIF('Customer Budget Per Category'!$A:$A,$A427,'Customer Budget Per Category'!$L:$L)</f>
        <v>144.34230669163617</v>
      </c>
      <c r="G427" s="52">
        <f>SUMIFS('Navision sales Dump'!$E:$E,'Navision sales Dump'!$K:$K,$E427,'Navision sales Dump'!$A:$A,$A427)</f>
        <v>287</v>
      </c>
      <c r="H427" s="62">
        <f>SUMIFS('Navision sales Dump'!$G:$G,'Navision sales Dump'!$K:$K,$E427,'Navision sales Dump'!$A:$A,$A427)</f>
        <v>1041621.7999999999</v>
      </c>
      <c r="I427" s="72">
        <f>IFERROR(IF(($G427/$F427)&gt;='Discount Scheme Target'!$F$4,_xlfn.XLOOKUP($E427,'Discount Scheme Target'!$B:$B,'Discount Scheme Target'!$F:$F,0,0),IF(($G427/$F427)&gt;='Discount Scheme Target'!$E$4,_xlfn.XLOOKUP($E427,'Discount Scheme Target'!$B:$B,'Discount Scheme Target'!$E:$E,0,0),IF(($G427/$F427)&gt;='Discount Scheme Target'!$D$4,_xlfn.XLOOKUP($E427,'Discount Scheme Target'!$B:$B,'Discount Scheme Target'!$D:$D,0,0),0))),0)</f>
        <v>0.04</v>
      </c>
      <c r="J427" s="72">
        <f>IF(SUMIF('Customer Num Distr.'!$A:$A,Workings!$A427,'Customer Num Distr.'!$E:$E)&gt;='Discount Scheme Target'!$G$4,_xlfn.XLOOKUP(Workings!$E427,'Discount Scheme Target'!$B:$B,'Discount Scheme Target'!$G:$G,0,0),0)</f>
        <v>0</v>
      </c>
      <c r="K427" s="72">
        <f>IF(SUMIF('Bouclage EG Cust Cons_Decons'!$A:$A,Workings!$A427,'Bouclage EG Cust Cons_Decons'!$F:$F)&gt;='Discount Scheme Target'!$H$4,_xlfn.XLOOKUP(Workings!$E427,'Discount Scheme Target'!$B:$B,'Discount Scheme Target'!$H:$H,0,0),0)</f>
        <v>0</v>
      </c>
      <c r="L427" s="72">
        <f>IF(INDEX('TT Around time'!$A$1:$F$46,MATCH($A427,'TT Around time'!$A:$A,0),6)&gt;='Discount Scheme Target'!$I$4,_xlfn.XLOOKUP(Workings!$E427,'Discount Scheme Target'!$B:$B,'Discount Scheme Target'!$I:$I,0,0),0)</f>
        <v>0</v>
      </c>
      <c r="M427" s="72">
        <f t="shared" si="57"/>
        <v>0.04</v>
      </c>
      <c r="N427" s="62">
        <f t="shared" si="67"/>
        <v>20954.716837950396</v>
      </c>
      <c r="T427" s="61">
        <f t="shared" si="59"/>
        <v>20954.716837950396</v>
      </c>
      <c r="U427" s="61">
        <f t="shared" si="60"/>
        <v>0</v>
      </c>
      <c r="V427" s="61">
        <f t="shared" si="61"/>
        <v>0</v>
      </c>
      <c r="W427" s="61">
        <f t="shared" si="62"/>
        <v>0</v>
      </c>
      <c r="X427" s="61">
        <f t="shared" si="65"/>
        <v>20954.716837950396</v>
      </c>
      <c r="Y427" s="61">
        <f t="shared" si="66"/>
        <v>0</v>
      </c>
    </row>
    <row r="428" spans="1:25" x14ac:dyDescent="0.25">
      <c r="A428" s="51">
        <v>3300002018</v>
      </c>
      <c r="B428" s="51" t="s">
        <v>114</v>
      </c>
      <c r="C428" s="51" t="s">
        <v>151</v>
      </c>
      <c r="D428" s="51" t="s">
        <v>141</v>
      </c>
      <c r="E428" s="51" t="s">
        <v>355</v>
      </c>
      <c r="F428" s="52">
        <f>SUMIF('Customer Budget Per Category'!$A:$A,$A428,'Customer Budget Per Category'!$M:$M)</f>
        <v>86.678969741208604</v>
      </c>
      <c r="G428" s="52">
        <f>SUMIFS('Navision sales Dump'!$E:$E,'Navision sales Dump'!$K:$K,$E428,'Navision sales Dump'!$A:$A,$A428)</f>
        <v>0</v>
      </c>
      <c r="H428" s="62">
        <f>SUMIFS('Navision sales Dump'!$G:$G,'Navision sales Dump'!$K:$K,$E428,'Navision sales Dump'!$A:$A,$A428)</f>
        <v>0</v>
      </c>
      <c r="I428" s="72">
        <f>IFERROR(IF(($G428/$F428)&gt;='Discount Scheme Target'!$F$4,_xlfn.XLOOKUP($E428,'Discount Scheme Target'!$B:$B,'Discount Scheme Target'!$F:$F,0,0),IF(($G428/$F428)&gt;='Discount Scheme Target'!$E$4,_xlfn.XLOOKUP($E428,'Discount Scheme Target'!$B:$B,'Discount Scheme Target'!$E:$E,0,0),IF(($G428/$F428)&gt;='Discount Scheme Target'!$D$4,_xlfn.XLOOKUP($E428,'Discount Scheme Target'!$B:$B,'Discount Scheme Target'!$D:$D,0,0),0))),0)</f>
        <v>0</v>
      </c>
      <c r="J428" s="72">
        <f>IF(SUMIF('Customer Num Distr.'!$A:$A,Workings!$A428,'Customer Num Distr.'!$E:$E)&gt;='Discount Scheme Target'!$G$4,_xlfn.XLOOKUP(Workings!$E428,'Discount Scheme Target'!$B:$B,'Discount Scheme Target'!$G:$G,0,0),0)</f>
        <v>0</v>
      </c>
      <c r="K428" s="72">
        <f>IF(SUMIF('Bouclage EG Cust Cons_Decons'!$A:$A,Workings!$A428,'Bouclage EG Cust Cons_Decons'!$F:$F)&gt;='Discount Scheme Target'!$H$4,_xlfn.XLOOKUP(Workings!$E428,'Discount Scheme Target'!$B:$B,'Discount Scheme Target'!$H:$H,0,0),0)</f>
        <v>0</v>
      </c>
      <c r="L428" s="72">
        <f>IF(INDEX('TT Around time'!$A$1:$F$46,MATCH($A428,'TT Around time'!$A:$A,0),6)&gt;='Discount Scheme Target'!$I$4,_xlfn.XLOOKUP(Workings!$E428,'Discount Scheme Target'!$B:$B,'Discount Scheme Target'!$I:$I,0,0),0)</f>
        <v>0</v>
      </c>
      <c r="M428" s="72">
        <f t="shared" si="57"/>
        <v>0</v>
      </c>
      <c r="N428" s="62">
        <f t="shared" si="67"/>
        <v>0</v>
      </c>
      <c r="T428" s="61">
        <f t="shared" si="59"/>
        <v>0</v>
      </c>
      <c r="U428" s="61">
        <f t="shared" si="60"/>
        <v>0</v>
      </c>
      <c r="V428" s="61">
        <f t="shared" si="61"/>
        <v>0</v>
      </c>
      <c r="W428" s="61">
        <f t="shared" si="62"/>
        <v>0</v>
      </c>
      <c r="X428" s="61">
        <f t="shared" si="65"/>
        <v>0</v>
      </c>
      <c r="Y428" s="61">
        <f t="shared" si="66"/>
        <v>0</v>
      </c>
    </row>
    <row r="429" spans="1:25" x14ac:dyDescent="0.25">
      <c r="A429" s="51">
        <v>3300002018</v>
      </c>
      <c r="B429" s="51" t="s">
        <v>114</v>
      </c>
      <c r="C429" s="51" t="s">
        <v>151</v>
      </c>
      <c r="D429" s="51" t="s">
        <v>141</v>
      </c>
      <c r="E429" s="51" t="s">
        <v>132</v>
      </c>
      <c r="F429" s="52">
        <f>SUMIF('Customer Budget Per Category'!$A:$A,$A429,'Customer Budget Per Category'!$N:$N)</f>
        <v>25.732948362371026</v>
      </c>
      <c r="G429" s="52">
        <f>SUMIFS('Navision sales Dump'!$E:$E,'Navision sales Dump'!$K:$K,$E429,'Navision sales Dump'!$A:$A,$A429)</f>
        <v>0</v>
      </c>
      <c r="H429" s="62">
        <f>SUMIFS('Navision sales Dump'!$G:$G,'Navision sales Dump'!$K:$K,$E429,'Navision sales Dump'!$A:$A,$A429)</f>
        <v>0</v>
      </c>
      <c r="I429" s="72">
        <f>IFERROR(IF(($G429/$F429)&gt;='Discount Scheme Target'!$F$4,_xlfn.XLOOKUP($E429,'Discount Scheme Target'!$B:$B,'Discount Scheme Target'!$F:$F,0,0),IF(($G429/$F429)&gt;='Discount Scheme Target'!$E$4,_xlfn.XLOOKUP($E429,'Discount Scheme Target'!$B:$B,'Discount Scheme Target'!$E:$E,0,0),IF(($G429/$F429)&gt;='Discount Scheme Target'!$D$4,_xlfn.XLOOKUP($E429,'Discount Scheme Target'!$B:$B,'Discount Scheme Target'!$D:$D,0,0),0))),0)</f>
        <v>0</v>
      </c>
      <c r="J429" s="72">
        <f>IF(SUMIF('Customer Num Distr.'!$A:$A,Workings!$A429,'Customer Num Distr.'!$E:$E)&gt;='Discount Scheme Target'!$G$4,_xlfn.XLOOKUP(Workings!$E429,'Discount Scheme Target'!$B:$B,'Discount Scheme Target'!$G:$G,0,0),0)</f>
        <v>0</v>
      </c>
      <c r="K429" s="72">
        <f>IF(SUMIF('Bouclage EG Cust Cons_Decons'!$A:$A,Workings!$A429,'Bouclage EG Cust Cons_Decons'!$F:$F)&gt;='Discount Scheme Target'!$H$4,_xlfn.XLOOKUP(Workings!$E429,'Discount Scheme Target'!$B:$B,'Discount Scheme Target'!$H:$H,0,0),0)</f>
        <v>0</v>
      </c>
      <c r="L429" s="72">
        <f>IF(INDEX('TT Around time'!$A$1:$F$46,MATCH($A429,'TT Around time'!$A:$A,0),6)&gt;='Discount Scheme Target'!$I$4,_xlfn.XLOOKUP(Workings!$E429,'Discount Scheme Target'!$B:$B,'Discount Scheme Target'!$I:$I,0,0),0)</f>
        <v>0</v>
      </c>
      <c r="M429" s="72">
        <f t="shared" ref="M429:M492" si="68">SUM($I429:$L429)</f>
        <v>0</v>
      </c>
      <c r="N429" s="62">
        <f t="shared" si="67"/>
        <v>0</v>
      </c>
      <c r="T429" s="61">
        <f t="shared" ref="T429:T492" si="69">IFERROR(($H429/$G429)*$F429*$I429,)</f>
        <v>0</v>
      </c>
      <c r="U429" s="61">
        <f t="shared" ref="U429:U492" si="70">IFERROR(($H429/$G429)*$F429*$J429,)</f>
        <v>0</v>
      </c>
      <c r="V429" s="61">
        <f t="shared" ref="V429:V492" si="71">IFERROR(($H429/$G429)*$F429*$K429,)</f>
        <v>0</v>
      </c>
      <c r="W429" s="61">
        <f t="shared" ref="W429:W492" si="72">IFERROR(($H429/$G429)*$F429*$L429,)</f>
        <v>0</v>
      </c>
      <c r="X429" s="61">
        <f t="shared" ref="X429:X485" si="73">SUM(T429:W429)</f>
        <v>0</v>
      </c>
      <c r="Y429" s="61">
        <f t="shared" ref="Y429:Y485" si="74">N429-X429</f>
        <v>0</v>
      </c>
    </row>
    <row r="430" spans="1:25" x14ac:dyDescent="0.25">
      <c r="A430" s="51">
        <v>3300002018</v>
      </c>
      <c r="B430" s="51" t="s">
        <v>114</v>
      </c>
      <c r="C430" s="51" t="s">
        <v>151</v>
      </c>
      <c r="D430" s="51" t="s">
        <v>141</v>
      </c>
      <c r="E430" s="51" t="s">
        <v>133</v>
      </c>
      <c r="F430" s="52">
        <f>SUMIF('Customer Budget Per Category'!$A:$A,$A430,'Customer Budget Per Category'!$O:$O)</f>
        <v>33.535723387134219</v>
      </c>
      <c r="G430" s="52">
        <f>SUMIFS('Navision sales Dump'!$E:$E,'Navision sales Dump'!$K:$K,$E430,'Navision sales Dump'!$A:$A,$A430)</f>
        <v>0</v>
      </c>
      <c r="H430" s="62">
        <f>SUMIFS('Navision sales Dump'!$G:$G,'Navision sales Dump'!$K:$K,$E430,'Navision sales Dump'!$A:$A,$A430)</f>
        <v>0</v>
      </c>
      <c r="I430" s="72">
        <f>IFERROR(IF(($G430/$F430)&gt;='Discount Scheme Target'!$F$4,_xlfn.XLOOKUP($E430,'Discount Scheme Target'!$B:$B,'Discount Scheme Target'!$F:$F,0,0),IF(($G430/$F430)&gt;='Discount Scheme Target'!$E$4,_xlfn.XLOOKUP($E430,'Discount Scheme Target'!$B:$B,'Discount Scheme Target'!$E:$E,0,0),IF(($G430/$F430)&gt;='Discount Scheme Target'!$D$4,_xlfn.XLOOKUP($E430,'Discount Scheme Target'!$B:$B,'Discount Scheme Target'!$D:$D,0,0),0))),0)</f>
        <v>0</v>
      </c>
      <c r="J430" s="72">
        <f>IF(SUMIF('Customer Num Distr.'!$A:$A,Workings!$A430,'Customer Num Distr.'!$E:$E)&gt;='Discount Scheme Target'!$G$4,_xlfn.XLOOKUP(Workings!$E430,'Discount Scheme Target'!$B:$B,'Discount Scheme Target'!$G:$G,0,0),0)</f>
        <v>0</v>
      </c>
      <c r="K430" s="72">
        <f>IF(SUMIF('Bouclage EG Cust Cons_Decons'!$A:$A,Workings!$A430,'Bouclage EG Cust Cons_Decons'!$F:$F)&gt;='Discount Scheme Target'!$H$4,_xlfn.XLOOKUP(Workings!$E430,'Discount Scheme Target'!$B:$B,'Discount Scheme Target'!$H:$H,0,0),0)</f>
        <v>0</v>
      </c>
      <c r="L430" s="72">
        <f>IF(INDEX('TT Around time'!$A$1:$F$46,MATCH($A430,'TT Around time'!$A:$A,0),6)&gt;='Discount Scheme Target'!$I$4,_xlfn.XLOOKUP(Workings!$E430,'Discount Scheme Target'!$B:$B,'Discount Scheme Target'!$I:$I,0,0),0)</f>
        <v>0</v>
      </c>
      <c r="M430" s="72">
        <f t="shared" si="68"/>
        <v>0</v>
      </c>
      <c r="N430" s="62">
        <f t="shared" si="67"/>
        <v>0</v>
      </c>
      <c r="T430" s="61">
        <f t="shared" si="69"/>
        <v>0</v>
      </c>
      <c r="U430" s="61">
        <f t="shared" si="70"/>
        <v>0</v>
      </c>
      <c r="V430" s="61">
        <f t="shared" si="71"/>
        <v>0</v>
      </c>
      <c r="W430" s="61">
        <f t="shared" si="72"/>
        <v>0</v>
      </c>
      <c r="X430" s="61">
        <f t="shared" si="73"/>
        <v>0</v>
      </c>
      <c r="Y430" s="61">
        <f t="shared" si="74"/>
        <v>0</v>
      </c>
    </row>
    <row r="431" spans="1:25" x14ac:dyDescent="0.25">
      <c r="A431" s="51">
        <v>3300000846</v>
      </c>
      <c r="B431" s="51" t="s">
        <v>112</v>
      </c>
      <c r="C431" s="51" t="s">
        <v>151</v>
      </c>
      <c r="D431" s="51" t="s">
        <v>141</v>
      </c>
      <c r="E431" s="51" t="s">
        <v>417</v>
      </c>
      <c r="F431" s="52">
        <f>SUMIF('Customer Budget Per Category'!$A:$A,$A431,'Customer Budget Per Category'!$E:$E)</f>
        <v>11800</v>
      </c>
      <c r="G431" s="52">
        <f>SUMIFS('Navision sales Dump'!$E:$E,'Navision sales Dump'!$K:$K,$E431,'Navision sales Dump'!$A:$A,$A431)</f>
        <v>11674</v>
      </c>
      <c r="H431" s="62">
        <f>SUMIFS('Navision sales Dump'!$G:$G,'Navision sales Dump'!$K:$K,$E431,'Navision sales Dump'!$A:$A,$A431)</f>
        <v>84678538.11999999</v>
      </c>
      <c r="I431" s="72">
        <f>IFERROR(IF(($G431/$F431)&gt;='Discount Scheme Target'!$F$4,_xlfn.XLOOKUP($E431,'Discount Scheme Target'!$B:$B,'Discount Scheme Target'!$F:$F,0,0),IF(($G431/$F431)&gt;='Discount Scheme Target'!$E$4,_xlfn.XLOOKUP($E431,'Discount Scheme Target'!$B:$B,'Discount Scheme Target'!$E:$E,0,0),IF(($G431/$F431)&gt;='Discount Scheme Target'!$D$4,_xlfn.XLOOKUP($E431,'Discount Scheme Target'!$B:$B,'Discount Scheme Target'!$D:$D,0,0),0))),0)</f>
        <v>0</v>
      </c>
      <c r="J431" s="72">
        <f>IF(SUMIF('Customer Num Distr.'!$A:$A,Workings!$A431,'Customer Num Distr.'!$E:$E)&gt;='Discount Scheme Target'!$G$4,_xlfn.XLOOKUP(Workings!$E431,'Discount Scheme Target'!$B:$B,'Discount Scheme Target'!$G:$G,0,0),0)</f>
        <v>0</v>
      </c>
      <c r="K431" s="72">
        <f>IF(SUMIF('Bouclage EG Cust Cons_Decons'!$A:$A,Workings!$A431,'Bouclage EG Cust Cons_Decons'!$F:$F)&gt;='Discount Scheme Target'!$H$4,_xlfn.XLOOKUP(Workings!$E431,'Discount Scheme Target'!$B:$B,'Discount Scheme Target'!$H:$H,0,0),0)</f>
        <v>0</v>
      </c>
      <c r="L431" s="72">
        <f>IF(INDEX('TT Around time'!$A$1:$F$46,MATCH($A431,'TT Around time'!$A:$A,0),6)&gt;='Discount Scheme Target'!$I$4,_xlfn.XLOOKUP(Workings!$E431,'Discount Scheme Target'!$B:$B,'Discount Scheme Target'!$I:$I,0,0),0)</f>
        <v>0</v>
      </c>
      <c r="M431" s="72">
        <f t="shared" si="68"/>
        <v>0</v>
      </c>
      <c r="N431" s="62">
        <f t="shared" si="67"/>
        <v>0</v>
      </c>
      <c r="T431" s="61">
        <f t="shared" si="69"/>
        <v>0</v>
      </c>
      <c r="U431" s="61">
        <f t="shared" si="70"/>
        <v>0</v>
      </c>
      <c r="V431" s="61">
        <f t="shared" si="71"/>
        <v>0</v>
      </c>
      <c r="W431" s="61">
        <f t="shared" si="72"/>
        <v>0</v>
      </c>
      <c r="X431" s="61">
        <f t="shared" si="73"/>
        <v>0</v>
      </c>
      <c r="Y431" s="61">
        <f t="shared" si="74"/>
        <v>0</v>
      </c>
    </row>
    <row r="432" spans="1:25" x14ac:dyDescent="0.25">
      <c r="A432" s="51">
        <v>3300000846</v>
      </c>
      <c r="B432" s="51" t="s">
        <v>112</v>
      </c>
      <c r="C432" s="51" t="s">
        <v>151</v>
      </c>
      <c r="D432" s="51" t="s">
        <v>141</v>
      </c>
      <c r="E432" s="51" t="s">
        <v>418</v>
      </c>
      <c r="F432" s="52">
        <f>SUMIF('Customer Budget Per Category'!$A:$A,$A432,'Customer Budget Per Category'!$F:$F)</f>
        <v>0</v>
      </c>
      <c r="G432" s="52">
        <f>SUMIFS('Navision sales Dump'!$E:$E,'Navision sales Dump'!$K:$K,$E432,'Navision sales Dump'!$A:$A,$A432)</f>
        <v>0</v>
      </c>
      <c r="H432" s="62">
        <f>SUMIFS('Navision sales Dump'!$G:$G,'Navision sales Dump'!$K:$K,$E432,'Navision sales Dump'!$A:$A,$A432)</f>
        <v>0</v>
      </c>
      <c r="I432" s="72">
        <f>IFERROR(IF(($G432/$F432)&gt;='Discount Scheme Target'!$F$4,_xlfn.XLOOKUP($E432,'Discount Scheme Target'!$B:$B,'Discount Scheme Target'!$F:$F,0,0),IF(($G432/$F432)&gt;='Discount Scheme Target'!$E$4,_xlfn.XLOOKUP($E432,'Discount Scheme Target'!$B:$B,'Discount Scheme Target'!$E:$E,0,0),IF(($G432/$F432)&gt;='Discount Scheme Target'!$D$4,_xlfn.XLOOKUP($E432,'Discount Scheme Target'!$B:$B,'Discount Scheme Target'!$D:$D,0,0),0))),0)</f>
        <v>0</v>
      </c>
      <c r="J432" s="72">
        <f>IF(SUMIF('Customer Num Distr.'!$A:$A,Workings!$A432,'Customer Num Distr.'!$E:$E)&gt;='Discount Scheme Target'!$G$4,_xlfn.XLOOKUP(Workings!$E432,'Discount Scheme Target'!$B:$B,'Discount Scheme Target'!$G:$G,0,0),0)</f>
        <v>0</v>
      </c>
      <c r="K432" s="72">
        <f>IF(SUMIF('Bouclage EG Cust Cons_Decons'!$A:$A,Workings!$A432,'Bouclage EG Cust Cons_Decons'!$F:$F)&gt;='Discount Scheme Target'!$H$4,_xlfn.XLOOKUP(Workings!$E432,'Discount Scheme Target'!$B:$B,'Discount Scheme Target'!$H:$H,0,0),0)</f>
        <v>0</v>
      </c>
      <c r="L432" s="72">
        <f>IF(INDEX('TT Around time'!$A$1:$F$46,MATCH($A432,'TT Around time'!$A:$A,0),6)&gt;='Discount Scheme Target'!$I$4,_xlfn.XLOOKUP(Workings!$E432,'Discount Scheme Target'!$B:$B,'Discount Scheme Target'!$I:$I,0,0),0)</f>
        <v>0</v>
      </c>
      <c r="M432" s="72">
        <f t="shared" si="68"/>
        <v>0</v>
      </c>
      <c r="N432" s="62">
        <f t="shared" si="67"/>
        <v>0</v>
      </c>
      <c r="T432" s="61">
        <f t="shared" si="69"/>
        <v>0</v>
      </c>
      <c r="U432" s="61">
        <f t="shared" si="70"/>
        <v>0</v>
      </c>
      <c r="V432" s="61">
        <f t="shared" si="71"/>
        <v>0</v>
      </c>
      <c r="W432" s="61">
        <f t="shared" si="72"/>
        <v>0</v>
      </c>
      <c r="X432" s="61">
        <f t="shared" si="73"/>
        <v>0</v>
      </c>
      <c r="Y432" s="61">
        <f t="shared" si="74"/>
        <v>0</v>
      </c>
    </row>
    <row r="433" spans="1:25" x14ac:dyDescent="0.25">
      <c r="A433" s="51">
        <v>3300000846</v>
      </c>
      <c r="B433" s="51" t="s">
        <v>112</v>
      </c>
      <c r="C433" s="51" t="s">
        <v>151</v>
      </c>
      <c r="D433" s="51" t="s">
        <v>141</v>
      </c>
      <c r="E433" s="51" t="s">
        <v>130</v>
      </c>
      <c r="F433" s="52">
        <f>SUMIF('Customer Budget Per Category'!$A:$A,$A433,'Customer Budget Per Category'!$G:$G)</f>
        <v>311.52042156192124</v>
      </c>
      <c r="G433" s="52">
        <f>SUMIFS('Navision sales Dump'!$E:$E,'Navision sales Dump'!$K:$K,$E433,'Navision sales Dump'!$A:$A,$A433)</f>
        <v>168</v>
      </c>
      <c r="H433" s="62">
        <f>SUMIFS('Navision sales Dump'!$G:$G,'Navision sales Dump'!$K:$K,$E433,'Navision sales Dump'!$A:$A,$A433)</f>
        <v>1297853.76</v>
      </c>
      <c r="I433" s="72">
        <f>IFERROR(IF(($G433/$F433)&gt;='Discount Scheme Target'!$F$4,_xlfn.XLOOKUP($E433,'Discount Scheme Target'!$B:$B,'Discount Scheme Target'!$F:$F,0,0),IF(($G433/$F433)&gt;='Discount Scheme Target'!$E$4,_xlfn.XLOOKUP($E433,'Discount Scheme Target'!$B:$B,'Discount Scheme Target'!$E:$E,0,0),IF(($G433/$F433)&gt;='Discount Scheme Target'!$D$4,_xlfn.XLOOKUP($E433,'Discount Scheme Target'!$B:$B,'Discount Scheme Target'!$D:$D,0,0),0))),0)</f>
        <v>0</v>
      </c>
      <c r="J433" s="72">
        <f>IF(SUMIF('Customer Num Distr.'!$A:$A,Workings!$A433,'Customer Num Distr.'!$E:$E)&gt;='Discount Scheme Target'!$G$4,_xlfn.XLOOKUP(Workings!$E433,'Discount Scheme Target'!$B:$B,'Discount Scheme Target'!$G:$G,0,0),0)</f>
        <v>0</v>
      </c>
      <c r="K433" s="72">
        <f>IF(SUMIF('Bouclage EG Cust Cons_Decons'!$A:$A,Workings!$A433,'Bouclage EG Cust Cons_Decons'!$F:$F)&gt;='Discount Scheme Target'!$H$4,_xlfn.XLOOKUP(Workings!$E433,'Discount Scheme Target'!$B:$B,'Discount Scheme Target'!$H:$H,0,0),0)</f>
        <v>0</v>
      </c>
      <c r="L433" s="72">
        <f>IF(INDEX('TT Around time'!$A$1:$F$46,MATCH($A433,'TT Around time'!$A:$A,0),6)&gt;='Discount Scheme Target'!$I$4,_xlfn.XLOOKUP(Workings!$E433,'Discount Scheme Target'!$B:$B,'Discount Scheme Target'!$I:$I,0,0),0)</f>
        <v>0</v>
      </c>
      <c r="M433" s="72">
        <f t="shared" si="68"/>
        <v>0</v>
      </c>
      <c r="N433" s="62">
        <f t="shared" si="67"/>
        <v>0</v>
      </c>
      <c r="T433" s="61">
        <f t="shared" si="69"/>
        <v>0</v>
      </c>
      <c r="U433" s="61">
        <f t="shared" si="70"/>
        <v>0</v>
      </c>
      <c r="V433" s="61">
        <f t="shared" si="71"/>
        <v>0</v>
      </c>
      <c r="W433" s="61">
        <f t="shared" si="72"/>
        <v>0</v>
      </c>
      <c r="X433" s="61">
        <f t="shared" si="73"/>
        <v>0</v>
      </c>
      <c r="Y433" s="61">
        <f t="shared" si="74"/>
        <v>0</v>
      </c>
    </row>
    <row r="434" spans="1:25" x14ac:dyDescent="0.25">
      <c r="A434" s="51">
        <v>3300000846</v>
      </c>
      <c r="B434" s="51" t="s">
        <v>112</v>
      </c>
      <c r="C434" s="51" t="s">
        <v>151</v>
      </c>
      <c r="D434" s="51" t="s">
        <v>141</v>
      </c>
      <c r="E434" s="51" t="s">
        <v>131</v>
      </c>
      <c r="F434" s="52">
        <f>SUMIF('Customer Budget Per Category'!$A:$A,$A434,'Customer Budget Per Category'!$H:$H)</f>
        <v>96.670178461754418</v>
      </c>
      <c r="G434" s="52">
        <f>SUMIFS('Navision sales Dump'!$E:$E,'Navision sales Dump'!$K:$K,$E434,'Navision sales Dump'!$A:$A,$A434)</f>
        <v>55</v>
      </c>
      <c r="H434" s="62">
        <f>SUMIFS('Navision sales Dump'!$G:$G,'Navision sales Dump'!$K:$K,$E434,'Navision sales Dump'!$A:$A,$A434)</f>
        <v>2194201.5499999998</v>
      </c>
      <c r="I434" s="72">
        <f>IFERROR(IF(($G434/$F434)&gt;='Discount Scheme Target'!$F$4,_xlfn.XLOOKUP($E434,'Discount Scheme Target'!$B:$B,'Discount Scheme Target'!$F:$F,0,0),IF(($G434/$F434)&gt;='Discount Scheme Target'!$E$4,_xlfn.XLOOKUP($E434,'Discount Scheme Target'!$B:$B,'Discount Scheme Target'!$E:$E,0,0),IF(($G434/$F434)&gt;='Discount Scheme Target'!$D$4,_xlfn.XLOOKUP($E434,'Discount Scheme Target'!$B:$B,'Discount Scheme Target'!$D:$D,0,0),0))),0)</f>
        <v>0</v>
      </c>
      <c r="J434" s="72">
        <f>IF(SUMIF('Customer Num Distr.'!$A:$A,Workings!$A434,'Customer Num Distr.'!$E:$E)&gt;='Discount Scheme Target'!$G$4,_xlfn.XLOOKUP(Workings!$E434,'Discount Scheme Target'!$B:$B,'Discount Scheme Target'!$G:$G,0,0),0)</f>
        <v>0</v>
      </c>
      <c r="K434" s="72">
        <f>IF(SUMIF('Bouclage EG Cust Cons_Decons'!$A:$A,Workings!$A434,'Bouclage EG Cust Cons_Decons'!$F:$F)&gt;='Discount Scheme Target'!$H$4,_xlfn.XLOOKUP(Workings!$E434,'Discount Scheme Target'!$B:$B,'Discount Scheme Target'!$H:$H,0,0),0)</f>
        <v>0</v>
      </c>
      <c r="L434" s="72">
        <f>IF(INDEX('TT Around time'!$A$1:$F$46,MATCH($A434,'TT Around time'!$A:$A,0),6)&gt;='Discount Scheme Target'!$I$4,_xlfn.XLOOKUP(Workings!$E434,'Discount Scheme Target'!$B:$B,'Discount Scheme Target'!$I:$I,0,0),0)</f>
        <v>0</v>
      </c>
      <c r="M434" s="72">
        <f t="shared" si="68"/>
        <v>0</v>
      </c>
      <c r="N434" s="62">
        <f t="shared" si="67"/>
        <v>0</v>
      </c>
      <c r="T434" s="61">
        <f t="shared" si="69"/>
        <v>0</v>
      </c>
      <c r="U434" s="61">
        <f t="shared" si="70"/>
        <v>0</v>
      </c>
      <c r="V434" s="61">
        <f t="shared" si="71"/>
        <v>0</v>
      </c>
      <c r="W434" s="61">
        <f t="shared" si="72"/>
        <v>0</v>
      </c>
      <c r="X434" s="61">
        <f t="shared" si="73"/>
        <v>0</v>
      </c>
      <c r="Y434" s="61">
        <f t="shared" si="74"/>
        <v>0</v>
      </c>
    </row>
    <row r="435" spans="1:25" x14ac:dyDescent="0.25">
      <c r="A435" s="51">
        <v>3300000846</v>
      </c>
      <c r="B435" s="51" t="s">
        <v>112</v>
      </c>
      <c r="C435" s="51" t="s">
        <v>151</v>
      </c>
      <c r="D435" s="51" t="s">
        <v>141</v>
      </c>
      <c r="E435" s="51" t="s">
        <v>514</v>
      </c>
      <c r="F435" s="52">
        <f>SUMIF('Customer Budget Per Category'!$A:$A,$A435,'Customer Budget Per Category'!$I:$I)</f>
        <v>4795.3258680955723</v>
      </c>
      <c r="G435" s="52">
        <f>SUMIFS('Navision sales Dump'!$E:$E,'Navision sales Dump'!$K:$K,$E435,'Navision sales Dump'!$A:$A,$A435)</f>
        <v>3271</v>
      </c>
      <c r="H435" s="62">
        <f>SUMIFS('Navision sales Dump'!$G:$G,'Navision sales Dump'!$K:$K,$E435,'Navision sales Dump'!$A:$A,$A435)</f>
        <v>12946716.130000001</v>
      </c>
      <c r="I435" s="72">
        <f>IFERROR(IF(($G435/$F435)&gt;='Discount Scheme Target'!$F$4,_xlfn.XLOOKUP($E435,'Discount Scheme Target'!$B:$B,'Discount Scheme Target'!$F:$F,0,0),IF(($G435/$F435)&gt;='Discount Scheme Target'!$E$4,_xlfn.XLOOKUP($E435,'Discount Scheme Target'!$B:$B,'Discount Scheme Target'!$E:$E,0,0),IF(($G435/$F435)&gt;='Discount Scheme Target'!$D$4,_xlfn.XLOOKUP($E435,'Discount Scheme Target'!$B:$B,'Discount Scheme Target'!$D:$D,0,0),0))),0)</f>
        <v>0</v>
      </c>
      <c r="J435" s="72">
        <f>IF(SUMIF('Customer Num Distr.'!$A:$A,Workings!$A435,'Customer Num Distr.'!$E:$E)&gt;='Discount Scheme Target'!$G$4,_xlfn.XLOOKUP(Workings!$E435,'Discount Scheme Target'!$B:$B,'Discount Scheme Target'!$G:$G,0,0),0)</f>
        <v>0</v>
      </c>
      <c r="K435" s="72">
        <f>IF(SUMIF('Bouclage EG Cust Cons_Decons'!$A:$A,Workings!$A435,'Bouclage EG Cust Cons_Decons'!$F:$F)&gt;='Discount Scheme Target'!$H$4,_xlfn.XLOOKUP(Workings!$E435,'Discount Scheme Target'!$B:$B,'Discount Scheme Target'!$H:$H,0,0),0)</f>
        <v>0</v>
      </c>
      <c r="L435" s="72">
        <f>IF(INDEX('TT Around time'!$A$1:$F$46,MATCH($A435,'TT Around time'!$A:$A,0),6)&gt;='Discount Scheme Target'!$I$4,_xlfn.XLOOKUP(Workings!$E435,'Discount Scheme Target'!$B:$B,'Discount Scheme Target'!$I:$I,0,0),0)</f>
        <v>0</v>
      </c>
      <c r="M435" s="72">
        <f t="shared" si="68"/>
        <v>0</v>
      </c>
      <c r="N435" s="62">
        <f t="shared" si="67"/>
        <v>0</v>
      </c>
      <c r="T435" s="61">
        <f t="shared" si="69"/>
        <v>0</v>
      </c>
      <c r="U435" s="61">
        <f t="shared" si="70"/>
        <v>0</v>
      </c>
      <c r="V435" s="61">
        <f t="shared" si="71"/>
        <v>0</v>
      </c>
      <c r="W435" s="61">
        <f t="shared" si="72"/>
        <v>0</v>
      </c>
      <c r="X435" s="61">
        <f t="shared" si="73"/>
        <v>0</v>
      </c>
      <c r="Y435" s="61">
        <f t="shared" si="74"/>
        <v>0</v>
      </c>
    </row>
    <row r="436" spans="1:25" x14ac:dyDescent="0.25">
      <c r="A436" s="51">
        <v>3300000846</v>
      </c>
      <c r="B436" s="51" t="s">
        <v>112</v>
      </c>
      <c r="C436" s="51" t="s">
        <v>151</v>
      </c>
      <c r="D436" s="51" t="s">
        <v>141</v>
      </c>
      <c r="E436" s="51" t="s">
        <v>515</v>
      </c>
      <c r="F436" s="52">
        <f>SUMIF('Customer Budget Per Category'!$A:$A,$A436,'Customer Budget Per Category'!$J:$J)</f>
        <v>646.36592513559924</v>
      </c>
      <c r="G436" s="52">
        <f>SUMIFS('Navision sales Dump'!$E:$E,'Navision sales Dump'!$K:$K,$E436,'Navision sales Dump'!$A:$A,$A436)</f>
        <v>0</v>
      </c>
      <c r="H436" s="62">
        <f>SUMIFS('Navision sales Dump'!$G:$G,'Navision sales Dump'!$K:$K,$E436,'Navision sales Dump'!$A:$A,$A436)</f>
        <v>0</v>
      </c>
      <c r="I436" s="72">
        <f>IFERROR(IF(($G436/$F436)&gt;='Discount Scheme Target'!$F$4,_xlfn.XLOOKUP($E436,'Discount Scheme Target'!$B:$B,'Discount Scheme Target'!$F:$F,0,0),IF(($G436/$F436)&gt;='Discount Scheme Target'!$E$4,_xlfn.XLOOKUP($E436,'Discount Scheme Target'!$B:$B,'Discount Scheme Target'!$E:$E,0,0),IF(($G436/$F436)&gt;='Discount Scheme Target'!$D$4,_xlfn.XLOOKUP($E436,'Discount Scheme Target'!$B:$B,'Discount Scheme Target'!$D:$D,0,0),0))),0)</f>
        <v>0</v>
      </c>
      <c r="J436" s="72">
        <f>IF(SUMIF('Customer Num Distr.'!$A:$A,Workings!$A436,'Customer Num Distr.'!$E:$E)&gt;='Discount Scheme Target'!$G$4,_xlfn.XLOOKUP(Workings!$E436,'Discount Scheme Target'!$B:$B,'Discount Scheme Target'!$G:$G,0,0),0)</f>
        <v>0</v>
      </c>
      <c r="K436" s="72">
        <f>IF(SUMIF('Bouclage EG Cust Cons_Decons'!$A:$A,Workings!$A436,'Bouclage EG Cust Cons_Decons'!$F:$F)&gt;='Discount Scheme Target'!$H$4,_xlfn.XLOOKUP(Workings!$E436,'Discount Scheme Target'!$B:$B,'Discount Scheme Target'!$H:$H,0,0),0)</f>
        <v>0</v>
      </c>
      <c r="L436" s="72">
        <f>IF(INDEX('TT Around time'!$A$1:$F$46,MATCH($A436,'TT Around time'!$A:$A,0),6)&gt;='Discount Scheme Target'!$I$4,_xlfn.XLOOKUP(Workings!$E436,'Discount Scheme Target'!$B:$B,'Discount Scheme Target'!$I:$I,0,0),0)</f>
        <v>0</v>
      </c>
      <c r="M436" s="72">
        <f t="shared" si="68"/>
        <v>0</v>
      </c>
      <c r="N436" s="62">
        <f t="shared" si="67"/>
        <v>0</v>
      </c>
      <c r="T436" s="61">
        <f t="shared" si="69"/>
        <v>0</v>
      </c>
      <c r="U436" s="61">
        <f t="shared" si="70"/>
        <v>0</v>
      </c>
      <c r="V436" s="61">
        <f t="shared" si="71"/>
        <v>0</v>
      </c>
      <c r="W436" s="61">
        <f t="shared" si="72"/>
        <v>0</v>
      </c>
      <c r="X436" s="61">
        <f t="shared" si="73"/>
        <v>0</v>
      </c>
      <c r="Y436" s="61">
        <f t="shared" si="74"/>
        <v>0</v>
      </c>
    </row>
    <row r="437" spans="1:25" x14ac:dyDescent="0.25">
      <c r="A437" s="51">
        <v>3300000846</v>
      </c>
      <c r="B437" s="51" t="s">
        <v>112</v>
      </c>
      <c r="C437" s="51" t="s">
        <v>151</v>
      </c>
      <c r="D437" s="51" t="s">
        <v>141</v>
      </c>
      <c r="E437" s="51" t="s">
        <v>161</v>
      </c>
      <c r="F437" s="52">
        <f>SUMIF('Customer Budget Per Category'!$A:$A,$A437,'Customer Budget Per Category'!$K:$K)</f>
        <v>0</v>
      </c>
      <c r="G437" s="52">
        <f>SUMIFS('Navision sales Dump'!$E:$E,'Navision sales Dump'!$K:$K,$E437,'Navision sales Dump'!$A:$A,$A437)</f>
        <v>0</v>
      </c>
      <c r="H437" s="62">
        <f>SUMIFS('Navision sales Dump'!$G:$G,'Navision sales Dump'!$K:$K,$E437,'Navision sales Dump'!$A:$A,$A437)</f>
        <v>0</v>
      </c>
      <c r="I437" s="72">
        <f>IFERROR(IF(($G437/$F437)&gt;='Discount Scheme Target'!$F$4,_xlfn.XLOOKUP($E437,'Discount Scheme Target'!$B:$B,'Discount Scheme Target'!$F:$F,0,0),IF(($G437/$F437)&gt;='Discount Scheme Target'!$E$4,_xlfn.XLOOKUP($E437,'Discount Scheme Target'!$B:$B,'Discount Scheme Target'!$E:$E,0,0),IF(($G437/$F437)&gt;='Discount Scheme Target'!$D$4,_xlfn.XLOOKUP($E437,'Discount Scheme Target'!$B:$B,'Discount Scheme Target'!$D:$D,0,0),0))),0)</f>
        <v>0</v>
      </c>
      <c r="J437" s="72">
        <f>IF(SUMIF('Customer Num Distr.'!$A:$A,Workings!$A437,'Customer Num Distr.'!$E:$E)&gt;='Discount Scheme Target'!$G$4,_xlfn.XLOOKUP(Workings!$E437,'Discount Scheme Target'!$B:$B,'Discount Scheme Target'!$G:$G,0,0),0)</f>
        <v>0</v>
      </c>
      <c r="K437" s="72">
        <f>IF(SUMIF('Bouclage EG Cust Cons_Decons'!$A:$A,Workings!$A437,'Bouclage EG Cust Cons_Decons'!$F:$F)&gt;='Discount Scheme Target'!$H$4,_xlfn.XLOOKUP(Workings!$E437,'Discount Scheme Target'!$B:$B,'Discount Scheme Target'!$H:$H,0,0),0)</f>
        <v>0</v>
      </c>
      <c r="L437" s="72">
        <f>IF(INDEX('TT Around time'!$A$1:$F$46,MATCH($A437,'TT Around time'!$A:$A,0),6)&gt;='Discount Scheme Target'!$I$4,_xlfn.XLOOKUP(Workings!$E437,'Discount Scheme Target'!$B:$B,'Discount Scheme Target'!$I:$I,0,0),0)</f>
        <v>0</v>
      </c>
      <c r="M437" s="72">
        <f t="shared" si="68"/>
        <v>0</v>
      </c>
      <c r="N437" s="62">
        <f t="shared" si="67"/>
        <v>0</v>
      </c>
      <c r="T437" s="61">
        <f t="shared" si="69"/>
        <v>0</v>
      </c>
      <c r="U437" s="61">
        <f t="shared" si="70"/>
        <v>0</v>
      </c>
      <c r="V437" s="61">
        <f t="shared" si="71"/>
        <v>0</v>
      </c>
      <c r="W437" s="61">
        <f t="shared" si="72"/>
        <v>0</v>
      </c>
      <c r="X437" s="61">
        <f t="shared" si="73"/>
        <v>0</v>
      </c>
      <c r="Y437" s="61">
        <f t="shared" si="74"/>
        <v>0</v>
      </c>
    </row>
    <row r="438" spans="1:25" x14ac:dyDescent="0.25">
      <c r="A438" s="51">
        <v>3300000846</v>
      </c>
      <c r="B438" s="51" t="s">
        <v>112</v>
      </c>
      <c r="C438" s="51" t="s">
        <v>151</v>
      </c>
      <c r="D438" s="51" t="s">
        <v>141</v>
      </c>
      <c r="E438" s="51" t="s">
        <v>354</v>
      </c>
      <c r="F438" s="52">
        <f>SUMIF('Customer Budget Per Category'!$A:$A,$A438,'Customer Budget Per Category'!$L:$L)</f>
        <v>1971.6563506889697</v>
      </c>
      <c r="G438" s="52">
        <f>SUMIFS('Navision sales Dump'!$E:$E,'Navision sales Dump'!$K:$K,$E438,'Navision sales Dump'!$A:$A,$A438)</f>
        <v>839</v>
      </c>
      <c r="H438" s="62">
        <f>SUMIFS('Navision sales Dump'!$G:$G,'Navision sales Dump'!$K:$K,$E438,'Navision sales Dump'!$A:$A,$A438)</f>
        <v>2988973.16</v>
      </c>
      <c r="I438" s="72">
        <f>IFERROR(IF(($G438/$F438)&gt;='Discount Scheme Target'!$F$4,_xlfn.XLOOKUP($E438,'Discount Scheme Target'!$B:$B,'Discount Scheme Target'!$F:$F,0,0),IF(($G438/$F438)&gt;='Discount Scheme Target'!$E$4,_xlfn.XLOOKUP($E438,'Discount Scheme Target'!$B:$B,'Discount Scheme Target'!$E:$E,0,0),IF(($G438/$F438)&gt;='Discount Scheme Target'!$D$4,_xlfn.XLOOKUP($E438,'Discount Scheme Target'!$B:$B,'Discount Scheme Target'!$D:$D,0,0),0))),0)</f>
        <v>0</v>
      </c>
      <c r="J438" s="72">
        <f>IF(SUMIF('Customer Num Distr.'!$A:$A,Workings!$A438,'Customer Num Distr.'!$E:$E)&gt;='Discount Scheme Target'!$G$4,_xlfn.XLOOKUP(Workings!$E438,'Discount Scheme Target'!$B:$B,'Discount Scheme Target'!$G:$G,0,0),0)</f>
        <v>0</v>
      </c>
      <c r="K438" s="72">
        <f>IF(SUMIF('Bouclage EG Cust Cons_Decons'!$A:$A,Workings!$A438,'Bouclage EG Cust Cons_Decons'!$F:$F)&gt;='Discount Scheme Target'!$H$4,_xlfn.XLOOKUP(Workings!$E438,'Discount Scheme Target'!$B:$B,'Discount Scheme Target'!$H:$H,0,0),0)</f>
        <v>0</v>
      </c>
      <c r="L438" s="72">
        <f>IF(INDEX('TT Around time'!$A$1:$F$46,MATCH($A438,'TT Around time'!$A:$A,0),6)&gt;='Discount Scheme Target'!$I$4,_xlfn.XLOOKUP(Workings!$E438,'Discount Scheme Target'!$B:$B,'Discount Scheme Target'!$I:$I,0,0),0)</f>
        <v>0</v>
      </c>
      <c r="M438" s="72">
        <f t="shared" si="68"/>
        <v>0</v>
      </c>
      <c r="N438" s="62">
        <f t="shared" si="67"/>
        <v>0</v>
      </c>
      <c r="T438" s="61">
        <f t="shared" si="69"/>
        <v>0</v>
      </c>
      <c r="U438" s="61">
        <f t="shared" si="70"/>
        <v>0</v>
      </c>
      <c r="V438" s="61">
        <f t="shared" si="71"/>
        <v>0</v>
      </c>
      <c r="W438" s="61">
        <f t="shared" si="72"/>
        <v>0</v>
      </c>
      <c r="X438" s="61">
        <f t="shared" si="73"/>
        <v>0</v>
      </c>
      <c r="Y438" s="61">
        <f t="shared" si="74"/>
        <v>0</v>
      </c>
    </row>
    <row r="439" spans="1:25" x14ac:dyDescent="0.25">
      <c r="A439" s="51">
        <v>3300000846</v>
      </c>
      <c r="B439" s="51" t="s">
        <v>112</v>
      </c>
      <c r="C439" s="51" t="s">
        <v>151</v>
      </c>
      <c r="D439" s="51" t="s">
        <v>141</v>
      </c>
      <c r="E439" s="51" t="s">
        <v>355</v>
      </c>
      <c r="F439" s="52">
        <f>SUMIF('Customer Budget Per Category'!$A:$A,$A439,'Customer Budget Per Category'!$M:$M)</f>
        <v>874.07459961632321</v>
      </c>
      <c r="G439" s="52">
        <f>SUMIFS('Navision sales Dump'!$E:$E,'Navision sales Dump'!$K:$K,$E439,'Navision sales Dump'!$A:$A,$A439)</f>
        <v>144</v>
      </c>
      <c r="H439" s="62">
        <f>SUMIFS('Navision sales Dump'!$G:$G,'Navision sales Dump'!$K:$K,$E439,'Navision sales Dump'!$A:$A,$A439)</f>
        <v>406497.6</v>
      </c>
      <c r="I439" s="72">
        <f>IFERROR(IF(($G439/$F439)&gt;='Discount Scheme Target'!$F$4,_xlfn.XLOOKUP($E439,'Discount Scheme Target'!$B:$B,'Discount Scheme Target'!$F:$F,0,0),IF(($G439/$F439)&gt;='Discount Scheme Target'!$E$4,_xlfn.XLOOKUP($E439,'Discount Scheme Target'!$B:$B,'Discount Scheme Target'!$E:$E,0,0),IF(($G439/$F439)&gt;='Discount Scheme Target'!$D$4,_xlfn.XLOOKUP($E439,'Discount Scheme Target'!$B:$B,'Discount Scheme Target'!$D:$D,0,0),0))),0)</f>
        <v>0</v>
      </c>
      <c r="J439" s="72">
        <f>IF(SUMIF('Customer Num Distr.'!$A:$A,Workings!$A439,'Customer Num Distr.'!$E:$E)&gt;='Discount Scheme Target'!$G$4,_xlfn.XLOOKUP(Workings!$E439,'Discount Scheme Target'!$B:$B,'Discount Scheme Target'!$G:$G,0,0),0)</f>
        <v>0</v>
      </c>
      <c r="K439" s="72">
        <f>IF(SUMIF('Bouclage EG Cust Cons_Decons'!$A:$A,Workings!$A439,'Bouclage EG Cust Cons_Decons'!$F:$F)&gt;='Discount Scheme Target'!$H$4,_xlfn.XLOOKUP(Workings!$E439,'Discount Scheme Target'!$B:$B,'Discount Scheme Target'!$H:$H,0,0),0)</f>
        <v>0</v>
      </c>
      <c r="L439" s="72">
        <f>IF(INDEX('TT Around time'!$A$1:$F$46,MATCH($A439,'TT Around time'!$A:$A,0),6)&gt;='Discount Scheme Target'!$I$4,_xlfn.XLOOKUP(Workings!$E439,'Discount Scheme Target'!$B:$B,'Discount Scheme Target'!$I:$I,0,0),0)</f>
        <v>0</v>
      </c>
      <c r="M439" s="72">
        <f t="shared" si="68"/>
        <v>0</v>
      </c>
      <c r="N439" s="62">
        <f t="shared" si="67"/>
        <v>0</v>
      </c>
      <c r="T439" s="61">
        <f t="shared" si="69"/>
        <v>0</v>
      </c>
      <c r="U439" s="61">
        <f t="shared" si="70"/>
        <v>0</v>
      </c>
      <c r="V439" s="61">
        <f t="shared" si="71"/>
        <v>0</v>
      </c>
      <c r="W439" s="61">
        <f t="shared" si="72"/>
        <v>0</v>
      </c>
      <c r="X439" s="61">
        <f t="shared" si="73"/>
        <v>0</v>
      </c>
      <c r="Y439" s="61">
        <f t="shared" si="74"/>
        <v>0</v>
      </c>
    </row>
    <row r="440" spans="1:25" x14ac:dyDescent="0.25">
      <c r="A440" s="51">
        <v>3300000846</v>
      </c>
      <c r="B440" s="51" t="s">
        <v>112</v>
      </c>
      <c r="C440" s="51" t="s">
        <v>151</v>
      </c>
      <c r="D440" s="51" t="s">
        <v>141</v>
      </c>
      <c r="E440" s="51" t="s">
        <v>132</v>
      </c>
      <c r="F440" s="52">
        <f>SUMIF('Customer Budget Per Category'!$A:$A,$A440,'Customer Budget Per Category'!$N:$N)</f>
        <v>407.25187843056756</v>
      </c>
      <c r="G440" s="52">
        <f>SUMIFS('Navision sales Dump'!$E:$E,'Navision sales Dump'!$K:$K,$E440,'Navision sales Dump'!$A:$A,$A440)</f>
        <v>144</v>
      </c>
      <c r="H440" s="62">
        <f>SUMIFS('Navision sales Dump'!$G:$G,'Navision sales Dump'!$K:$K,$E440,'Navision sales Dump'!$A:$A,$A440)</f>
        <v>314265.59999999998</v>
      </c>
      <c r="I440" s="72">
        <f>IFERROR(IF(($G440/$F440)&gt;='Discount Scheme Target'!$F$4,_xlfn.XLOOKUP($E440,'Discount Scheme Target'!$B:$B,'Discount Scheme Target'!$F:$F,0,0),IF(($G440/$F440)&gt;='Discount Scheme Target'!$E$4,_xlfn.XLOOKUP($E440,'Discount Scheme Target'!$B:$B,'Discount Scheme Target'!$E:$E,0,0),IF(($G440/$F440)&gt;='Discount Scheme Target'!$D$4,_xlfn.XLOOKUP($E440,'Discount Scheme Target'!$B:$B,'Discount Scheme Target'!$D:$D,0,0),0))),0)</f>
        <v>0</v>
      </c>
      <c r="J440" s="72">
        <f>IF(SUMIF('Customer Num Distr.'!$A:$A,Workings!$A440,'Customer Num Distr.'!$E:$E)&gt;='Discount Scheme Target'!$G$4,_xlfn.XLOOKUP(Workings!$E440,'Discount Scheme Target'!$B:$B,'Discount Scheme Target'!$G:$G,0,0),0)</f>
        <v>0</v>
      </c>
      <c r="K440" s="72">
        <f>IF(SUMIF('Bouclage EG Cust Cons_Decons'!$A:$A,Workings!$A440,'Bouclage EG Cust Cons_Decons'!$F:$F)&gt;='Discount Scheme Target'!$H$4,_xlfn.XLOOKUP(Workings!$E440,'Discount Scheme Target'!$B:$B,'Discount Scheme Target'!$H:$H,0,0),0)</f>
        <v>0</v>
      </c>
      <c r="L440" s="72">
        <f>IF(INDEX('TT Around time'!$A$1:$F$46,MATCH($A440,'TT Around time'!$A:$A,0),6)&gt;='Discount Scheme Target'!$I$4,_xlfn.XLOOKUP(Workings!$E440,'Discount Scheme Target'!$B:$B,'Discount Scheme Target'!$I:$I,0,0),0)</f>
        <v>0</v>
      </c>
      <c r="M440" s="72">
        <f t="shared" si="68"/>
        <v>0</v>
      </c>
      <c r="N440" s="62">
        <f t="shared" si="67"/>
        <v>0</v>
      </c>
      <c r="T440" s="61">
        <f t="shared" si="69"/>
        <v>0</v>
      </c>
      <c r="U440" s="61">
        <f t="shared" si="70"/>
        <v>0</v>
      </c>
      <c r="V440" s="61">
        <f t="shared" si="71"/>
        <v>0</v>
      </c>
      <c r="W440" s="61">
        <f t="shared" si="72"/>
        <v>0</v>
      </c>
      <c r="X440" s="61">
        <f t="shared" si="73"/>
        <v>0</v>
      </c>
      <c r="Y440" s="61">
        <f t="shared" si="74"/>
        <v>0</v>
      </c>
    </row>
    <row r="441" spans="1:25" x14ac:dyDescent="0.25">
      <c r="A441" s="51">
        <v>3300000846</v>
      </c>
      <c r="B441" s="51" t="s">
        <v>112</v>
      </c>
      <c r="C441" s="51" t="s">
        <v>151</v>
      </c>
      <c r="D441" s="51" t="s">
        <v>141</v>
      </c>
      <c r="E441" s="51" t="s">
        <v>133</v>
      </c>
      <c r="F441" s="52">
        <f>SUMIF('Customer Budget Per Category'!$A:$A,$A441,'Customer Budget Per Category'!$O:$O)</f>
        <v>279.46529809023224</v>
      </c>
      <c r="G441" s="52">
        <f>SUMIFS('Navision sales Dump'!$E:$E,'Navision sales Dump'!$K:$K,$E441,'Navision sales Dump'!$A:$A,$A441)</f>
        <v>-17</v>
      </c>
      <c r="H441" s="62">
        <f>SUMIFS('Navision sales Dump'!$G:$G,'Navision sales Dump'!$K:$K,$E441,'Navision sales Dump'!$A:$A,$A441)</f>
        <v>-170465.46</v>
      </c>
      <c r="I441" s="72">
        <f>IFERROR(IF(($G441/$F441)&gt;='Discount Scheme Target'!$F$4,_xlfn.XLOOKUP($E441,'Discount Scheme Target'!$B:$B,'Discount Scheme Target'!$F:$F,0,0),IF(($G441/$F441)&gt;='Discount Scheme Target'!$E$4,_xlfn.XLOOKUP($E441,'Discount Scheme Target'!$B:$B,'Discount Scheme Target'!$E:$E,0,0),IF(($G441/$F441)&gt;='Discount Scheme Target'!$D$4,_xlfn.XLOOKUP($E441,'Discount Scheme Target'!$B:$B,'Discount Scheme Target'!$D:$D,0,0),0))),0)</f>
        <v>0</v>
      </c>
      <c r="J441" s="72">
        <f>IF(SUMIF('Customer Num Distr.'!$A:$A,Workings!$A441,'Customer Num Distr.'!$E:$E)&gt;='Discount Scheme Target'!$G$4,_xlfn.XLOOKUP(Workings!$E441,'Discount Scheme Target'!$B:$B,'Discount Scheme Target'!$G:$G,0,0),0)</f>
        <v>0</v>
      </c>
      <c r="K441" s="72">
        <f>IF(SUMIF('Bouclage EG Cust Cons_Decons'!$A:$A,Workings!$A441,'Bouclage EG Cust Cons_Decons'!$F:$F)&gt;='Discount Scheme Target'!$H$4,_xlfn.XLOOKUP(Workings!$E441,'Discount Scheme Target'!$B:$B,'Discount Scheme Target'!$H:$H,0,0),0)</f>
        <v>0</v>
      </c>
      <c r="L441" s="72">
        <f>IF(INDEX('TT Around time'!$A$1:$F$46,MATCH($A441,'TT Around time'!$A:$A,0),6)&gt;='Discount Scheme Target'!$I$4,_xlfn.XLOOKUP(Workings!$E441,'Discount Scheme Target'!$B:$B,'Discount Scheme Target'!$I:$I,0,0),0)</f>
        <v>0</v>
      </c>
      <c r="M441" s="72">
        <f t="shared" si="68"/>
        <v>0</v>
      </c>
      <c r="N441" s="62">
        <f t="shared" ref="N441:N485" si="75">IFERROR((H441/G441)*F441*M441,)</f>
        <v>0</v>
      </c>
      <c r="T441" s="61">
        <f t="shared" si="69"/>
        <v>0</v>
      </c>
      <c r="U441" s="61">
        <f t="shared" si="70"/>
        <v>0</v>
      </c>
      <c r="V441" s="61">
        <f t="shared" si="71"/>
        <v>0</v>
      </c>
      <c r="W441" s="61">
        <f t="shared" si="72"/>
        <v>0</v>
      </c>
      <c r="X441" s="61">
        <f t="shared" si="73"/>
        <v>0</v>
      </c>
      <c r="Y441" s="61">
        <f t="shared" si="74"/>
        <v>0</v>
      </c>
    </row>
    <row r="442" spans="1:25" x14ac:dyDescent="0.25">
      <c r="A442" s="51">
        <v>3050101021</v>
      </c>
      <c r="B442" s="51" t="s">
        <v>108</v>
      </c>
      <c r="C442" s="51" t="s">
        <v>151</v>
      </c>
      <c r="D442" s="51" t="s">
        <v>141</v>
      </c>
      <c r="E442" s="51" t="s">
        <v>417</v>
      </c>
      <c r="F442" s="52">
        <f>SUMIF('Customer Budget Per Category'!$A:$A,$A442,'Customer Budget Per Category'!$E:$E)</f>
        <v>7535.2865619600543</v>
      </c>
      <c r="G442" s="52">
        <f>SUMIFS('Navision sales Dump'!$E:$E,'Navision sales Dump'!$K:$K,$E442,'Navision sales Dump'!$A:$A,$A442)</f>
        <v>9126</v>
      </c>
      <c r="H442" s="62">
        <f>SUMIFS('Navision sales Dump'!$G:$G,'Navision sales Dump'!$K:$K,$E442,'Navision sales Dump'!$A:$A,$A442)</f>
        <v>65603434.200000003</v>
      </c>
      <c r="I442" s="72">
        <f>IFERROR(IF(($G442/$F442)&gt;='Discount Scheme Target'!$F$4,_xlfn.XLOOKUP($E442,'Discount Scheme Target'!$B:$B,'Discount Scheme Target'!$F:$F,0,0),IF(($G442/$F442)&gt;='Discount Scheme Target'!$E$4,_xlfn.XLOOKUP($E442,'Discount Scheme Target'!$B:$B,'Discount Scheme Target'!$E:$E,0,0),IF(($G442/$F442)&gt;='Discount Scheme Target'!$D$4,_xlfn.XLOOKUP($E442,'Discount Scheme Target'!$B:$B,'Discount Scheme Target'!$D:$D,0,0),0))),0)</f>
        <v>4.5000000000000005E-2</v>
      </c>
      <c r="J442" s="72">
        <f>IF(SUMIF('Customer Num Distr.'!$A:$A,Workings!$A442,'Customer Num Distr.'!$E:$E)&gt;='Discount Scheme Target'!$G$4,_xlfn.XLOOKUP(Workings!$E442,'Discount Scheme Target'!$B:$B,'Discount Scheme Target'!$G:$G,0,0),0)</f>
        <v>0</v>
      </c>
      <c r="K442" s="72">
        <f>IF(SUMIF('Bouclage EG Cust Cons_Decons'!$A:$A,Workings!$A442,'Bouclage EG Cust Cons_Decons'!$F:$F)&gt;='Discount Scheme Target'!$H$4,_xlfn.XLOOKUP(Workings!$E442,'Discount Scheme Target'!$B:$B,'Discount Scheme Target'!$H:$H,0,0),0)</f>
        <v>0</v>
      </c>
      <c r="L442" s="72">
        <f>IF(INDEX('TT Around time'!$A$1:$F$46,MATCH($A442,'TT Around time'!$A:$A,0),6)&gt;='Discount Scheme Target'!$I$4,_xlfn.XLOOKUP(Workings!$E442,'Discount Scheme Target'!$B:$B,'Discount Scheme Target'!$I:$I,0,0),0)</f>
        <v>0</v>
      </c>
      <c r="M442" s="72">
        <f t="shared" si="68"/>
        <v>4.5000000000000005E-2</v>
      </c>
      <c r="N442" s="62">
        <f t="shared" si="75"/>
        <v>2437577.2985487706</v>
      </c>
      <c r="T442" s="61">
        <f t="shared" si="69"/>
        <v>2437577.2985487706</v>
      </c>
      <c r="U442" s="61">
        <f t="shared" si="70"/>
        <v>0</v>
      </c>
      <c r="V442" s="61">
        <f t="shared" si="71"/>
        <v>0</v>
      </c>
      <c r="W442" s="61">
        <f t="shared" si="72"/>
        <v>0</v>
      </c>
      <c r="X442" s="61">
        <f t="shared" si="73"/>
        <v>2437577.2985487706</v>
      </c>
      <c r="Y442" s="61">
        <f t="shared" si="74"/>
        <v>0</v>
      </c>
    </row>
    <row r="443" spans="1:25" x14ac:dyDescent="0.25">
      <c r="A443" s="51">
        <v>3050101021</v>
      </c>
      <c r="B443" s="51" t="s">
        <v>108</v>
      </c>
      <c r="C443" s="51" t="s">
        <v>151</v>
      </c>
      <c r="D443" s="51" t="s">
        <v>141</v>
      </c>
      <c r="E443" s="51" t="s">
        <v>418</v>
      </c>
      <c r="F443" s="52">
        <f>SUMIF('Customer Budget Per Category'!$A:$A,$A443,'Customer Budget Per Category'!$F:$F)</f>
        <v>0</v>
      </c>
      <c r="G443" s="52">
        <f>SUMIFS('Navision sales Dump'!$E:$E,'Navision sales Dump'!$K:$K,$E443,'Navision sales Dump'!$A:$A,$A443)</f>
        <v>0</v>
      </c>
      <c r="H443" s="62">
        <f>SUMIFS('Navision sales Dump'!$G:$G,'Navision sales Dump'!$K:$K,$E443,'Navision sales Dump'!$A:$A,$A443)</f>
        <v>0</v>
      </c>
      <c r="I443" s="72">
        <f>IFERROR(IF(($G443/$F443)&gt;='Discount Scheme Target'!$F$4,_xlfn.XLOOKUP($E443,'Discount Scheme Target'!$B:$B,'Discount Scheme Target'!$F:$F,0,0),IF(($G443/$F443)&gt;='Discount Scheme Target'!$E$4,_xlfn.XLOOKUP($E443,'Discount Scheme Target'!$B:$B,'Discount Scheme Target'!$E:$E,0,0),IF(($G443/$F443)&gt;='Discount Scheme Target'!$D$4,_xlfn.XLOOKUP($E443,'Discount Scheme Target'!$B:$B,'Discount Scheme Target'!$D:$D,0,0),0))),0)</f>
        <v>0</v>
      </c>
      <c r="J443" s="72">
        <f>IF(SUMIF('Customer Num Distr.'!$A:$A,Workings!$A443,'Customer Num Distr.'!$E:$E)&gt;='Discount Scheme Target'!$G$4,_xlfn.XLOOKUP(Workings!$E443,'Discount Scheme Target'!$B:$B,'Discount Scheme Target'!$G:$G,0,0),0)</f>
        <v>0</v>
      </c>
      <c r="K443" s="72">
        <f>IF(SUMIF('Bouclage EG Cust Cons_Decons'!$A:$A,Workings!$A443,'Bouclage EG Cust Cons_Decons'!$F:$F)&gt;='Discount Scheme Target'!$H$4,_xlfn.XLOOKUP(Workings!$E443,'Discount Scheme Target'!$B:$B,'Discount Scheme Target'!$H:$H,0,0),0)</f>
        <v>0</v>
      </c>
      <c r="L443" s="72">
        <f>IF(INDEX('TT Around time'!$A$1:$F$46,MATCH($A443,'TT Around time'!$A:$A,0),6)&gt;='Discount Scheme Target'!$I$4,_xlfn.XLOOKUP(Workings!$E443,'Discount Scheme Target'!$B:$B,'Discount Scheme Target'!$I:$I,0,0),0)</f>
        <v>0</v>
      </c>
      <c r="M443" s="72">
        <f t="shared" si="68"/>
        <v>0</v>
      </c>
      <c r="N443" s="62">
        <f t="shared" si="75"/>
        <v>0</v>
      </c>
      <c r="T443" s="61">
        <f t="shared" si="69"/>
        <v>0</v>
      </c>
      <c r="U443" s="61">
        <f t="shared" si="70"/>
        <v>0</v>
      </c>
      <c r="V443" s="61">
        <f t="shared" si="71"/>
        <v>0</v>
      </c>
      <c r="W443" s="61">
        <f t="shared" si="72"/>
        <v>0</v>
      </c>
      <c r="X443" s="61">
        <f t="shared" si="73"/>
        <v>0</v>
      </c>
      <c r="Y443" s="61">
        <f t="shared" si="74"/>
        <v>0</v>
      </c>
    </row>
    <row r="444" spans="1:25" x14ac:dyDescent="0.25">
      <c r="A444" s="51">
        <v>3050101021</v>
      </c>
      <c r="B444" s="51" t="s">
        <v>108</v>
      </c>
      <c r="C444" s="51" t="s">
        <v>151</v>
      </c>
      <c r="D444" s="51" t="s">
        <v>141</v>
      </c>
      <c r="E444" s="51" t="s">
        <v>130</v>
      </c>
      <c r="F444" s="52">
        <f>SUMIF('Customer Budget Per Category'!$A:$A,$A444,'Customer Budget Per Category'!$G:$G)</f>
        <v>189.8542881776483</v>
      </c>
      <c r="G444" s="52">
        <f>SUMIFS('Navision sales Dump'!$E:$E,'Navision sales Dump'!$K:$K,$E444,'Navision sales Dump'!$A:$A,$A444)</f>
        <v>335</v>
      </c>
      <c r="H444" s="62">
        <f>SUMIFS('Navision sales Dump'!$G:$G,'Navision sales Dump'!$K:$K,$E444,'Navision sales Dump'!$A:$A,$A444)</f>
        <v>2587982.2000000002</v>
      </c>
      <c r="I444" s="72">
        <f>IFERROR(IF(($G444/$F444)&gt;='Discount Scheme Target'!$F$4,_xlfn.XLOOKUP($E444,'Discount Scheme Target'!$B:$B,'Discount Scheme Target'!$F:$F,0,0),IF(($G444/$F444)&gt;='Discount Scheme Target'!$E$4,_xlfn.XLOOKUP($E444,'Discount Scheme Target'!$B:$B,'Discount Scheme Target'!$E:$E,0,0),IF(($G444/$F444)&gt;='Discount Scheme Target'!$D$4,_xlfn.XLOOKUP($E444,'Discount Scheme Target'!$B:$B,'Discount Scheme Target'!$D:$D,0,0),0))),0)</f>
        <v>4.5000000000000005E-2</v>
      </c>
      <c r="J444" s="72">
        <f>IF(SUMIF('Customer Num Distr.'!$A:$A,Workings!$A444,'Customer Num Distr.'!$E:$E)&gt;='Discount Scheme Target'!$G$4,_xlfn.XLOOKUP(Workings!$E444,'Discount Scheme Target'!$B:$B,'Discount Scheme Target'!$G:$G,0,0),0)</f>
        <v>0</v>
      </c>
      <c r="K444" s="72">
        <f>IF(SUMIF('Bouclage EG Cust Cons_Decons'!$A:$A,Workings!$A444,'Bouclage EG Cust Cons_Decons'!$F:$F)&gt;='Discount Scheme Target'!$H$4,_xlfn.XLOOKUP(Workings!$E444,'Discount Scheme Target'!$B:$B,'Discount Scheme Target'!$H:$H,0,0),0)</f>
        <v>0</v>
      </c>
      <c r="L444" s="72">
        <f>IF(INDEX('TT Around time'!$A$1:$F$46,MATCH($A444,'TT Around time'!$A:$A,0),6)&gt;='Discount Scheme Target'!$I$4,_xlfn.XLOOKUP(Workings!$E444,'Discount Scheme Target'!$B:$B,'Discount Scheme Target'!$I:$I,0,0),0)</f>
        <v>0</v>
      </c>
      <c r="M444" s="72">
        <f t="shared" si="68"/>
        <v>4.5000000000000005E-2</v>
      </c>
      <c r="N444" s="62">
        <f t="shared" si="75"/>
        <v>66000.830829504761</v>
      </c>
      <c r="T444" s="61">
        <f t="shared" si="69"/>
        <v>66000.830829504761</v>
      </c>
      <c r="U444" s="61">
        <f t="shared" si="70"/>
        <v>0</v>
      </c>
      <c r="V444" s="61">
        <f t="shared" si="71"/>
        <v>0</v>
      </c>
      <c r="W444" s="61">
        <f t="shared" si="72"/>
        <v>0</v>
      </c>
      <c r="X444" s="61">
        <f t="shared" si="73"/>
        <v>66000.830829504761</v>
      </c>
      <c r="Y444" s="61">
        <f t="shared" si="74"/>
        <v>0</v>
      </c>
    </row>
    <row r="445" spans="1:25" x14ac:dyDescent="0.25">
      <c r="A445" s="51">
        <v>3050101021</v>
      </c>
      <c r="B445" s="51" t="s">
        <v>108</v>
      </c>
      <c r="C445" s="51" t="s">
        <v>151</v>
      </c>
      <c r="D445" s="51" t="s">
        <v>141</v>
      </c>
      <c r="E445" s="51" t="s">
        <v>131</v>
      </c>
      <c r="F445" s="52">
        <f>SUMIF('Customer Budget Per Category'!$A:$A,$A445,'Customer Budget Per Category'!$H:$H)</f>
        <v>12.844289445967368</v>
      </c>
      <c r="G445" s="52">
        <f>SUMIFS('Navision sales Dump'!$E:$E,'Navision sales Dump'!$K:$K,$E445,'Navision sales Dump'!$A:$A,$A445)</f>
        <v>45</v>
      </c>
      <c r="H445" s="62">
        <f>SUMIFS('Navision sales Dump'!$G:$G,'Navision sales Dump'!$K:$K,$E445,'Navision sales Dump'!$A:$A,$A445)</f>
        <v>1733827.6</v>
      </c>
      <c r="I445" s="72">
        <f>IFERROR(IF(($G445/$F445)&gt;='Discount Scheme Target'!$F$4,_xlfn.XLOOKUP($E445,'Discount Scheme Target'!$B:$B,'Discount Scheme Target'!$F:$F,0,0),IF(($G445/$F445)&gt;='Discount Scheme Target'!$E$4,_xlfn.XLOOKUP($E445,'Discount Scheme Target'!$B:$B,'Discount Scheme Target'!$E:$E,0,0),IF(($G445/$F445)&gt;='Discount Scheme Target'!$D$4,_xlfn.XLOOKUP($E445,'Discount Scheme Target'!$B:$B,'Discount Scheme Target'!$D:$D,0,0),0))),0)</f>
        <v>0.04</v>
      </c>
      <c r="J445" s="72">
        <f>IF(SUMIF('Customer Num Distr.'!$A:$A,Workings!$A445,'Customer Num Distr.'!$E:$E)&gt;='Discount Scheme Target'!$G$4,_xlfn.XLOOKUP(Workings!$E445,'Discount Scheme Target'!$B:$B,'Discount Scheme Target'!$G:$G,0,0),0)</f>
        <v>0</v>
      </c>
      <c r="K445" s="72">
        <f>IF(SUMIF('Bouclage EG Cust Cons_Decons'!$A:$A,Workings!$A445,'Bouclage EG Cust Cons_Decons'!$F:$F)&gt;='Discount Scheme Target'!$H$4,_xlfn.XLOOKUP(Workings!$E445,'Discount Scheme Target'!$B:$B,'Discount Scheme Target'!$H:$H,0,0),0)</f>
        <v>0</v>
      </c>
      <c r="L445" s="72">
        <f>IF(INDEX('TT Around time'!$A$1:$F$46,MATCH($A445,'TT Around time'!$A:$A,0),6)&gt;='Discount Scheme Target'!$I$4,_xlfn.XLOOKUP(Workings!$E445,'Discount Scheme Target'!$B:$B,'Discount Scheme Target'!$I:$I,0,0),0)</f>
        <v>0</v>
      </c>
      <c r="M445" s="72">
        <f t="shared" si="68"/>
        <v>0.04</v>
      </c>
      <c r="N445" s="62">
        <f t="shared" si="75"/>
        <v>19795.363150050609</v>
      </c>
      <c r="T445" s="61">
        <f t="shared" si="69"/>
        <v>19795.363150050609</v>
      </c>
      <c r="U445" s="61">
        <f t="shared" si="70"/>
        <v>0</v>
      </c>
      <c r="V445" s="61">
        <f t="shared" si="71"/>
        <v>0</v>
      </c>
      <c r="W445" s="61">
        <f t="shared" si="72"/>
        <v>0</v>
      </c>
      <c r="X445" s="61">
        <f t="shared" si="73"/>
        <v>19795.363150050609</v>
      </c>
      <c r="Y445" s="61">
        <f t="shared" si="74"/>
        <v>0</v>
      </c>
    </row>
    <row r="446" spans="1:25" x14ac:dyDescent="0.25">
      <c r="A446" s="51">
        <v>3050101021</v>
      </c>
      <c r="B446" s="51" t="s">
        <v>108</v>
      </c>
      <c r="C446" s="51" t="s">
        <v>151</v>
      </c>
      <c r="D446" s="51" t="s">
        <v>141</v>
      </c>
      <c r="E446" s="51" t="s">
        <v>514</v>
      </c>
      <c r="F446" s="52">
        <f>SUMIF('Customer Budget Per Category'!$A:$A,$A446,'Customer Budget Per Category'!$I:$I)</f>
        <v>1540.571128695623</v>
      </c>
      <c r="G446" s="52">
        <f>SUMIFS('Navision sales Dump'!$E:$E,'Navision sales Dump'!$K:$K,$E446,'Navision sales Dump'!$A:$A,$A446)</f>
        <v>1884</v>
      </c>
      <c r="H446" s="62">
        <f>SUMIFS('Navision sales Dump'!$G:$G,'Navision sales Dump'!$K:$K,$E446,'Navision sales Dump'!$A:$A,$A446)</f>
        <v>7456928.5199999996</v>
      </c>
      <c r="I446" s="72">
        <f>IFERROR(IF(($G446/$F446)&gt;='Discount Scheme Target'!$F$4,_xlfn.XLOOKUP($E446,'Discount Scheme Target'!$B:$B,'Discount Scheme Target'!$F:$F,0,0),IF(($G446/$F446)&gt;='Discount Scheme Target'!$E$4,_xlfn.XLOOKUP($E446,'Discount Scheme Target'!$B:$B,'Discount Scheme Target'!$E:$E,0,0),IF(($G446/$F446)&gt;='Discount Scheme Target'!$D$4,_xlfn.XLOOKUP($E446,'Discount Scheme Target'!$B:$B,'Discount Scheme Target'!$D:$D,0,0),0))),0)</f>
        <v>0.04</v>
      </c>
      <c r="J446" s="72">
        <f>IF(SUMIF('Customer Num Distr.'!$A:$A,Workings!$A446,'Customer Num Distr.'!$E:$E)&gt;='Discount Scheme Target'!$G$4,_xlfn.XLOOKUP(Workings!$E446,'Discount Scheme Target'!$B:$B,'Discount Scheme Target'!$G:$G,0,0),0)</f>
        <v>0</v>
      </c>
      <c r="K446" s="72">
        <f>IF(SUMIF('Bouclage EG Cust Cons_Decons'!$A:$A,Workings!$A446,'Bouclage EG Cust Cons_Decons'!$F:$F)&gt;='Discount Scheme Target'!$H$4,_xlfn.XLOOKUP(Workings!$E446,'Discount Scheme Target'!$B:$B,'Discount Scheme Target'!$H:$H,0,0),0)</f>
        <v>0</v>
      </c>
      <c r="L446" s="72">
        <f>IF(INDEX('TT Around time'!$A$1:$F$46,MATCH($A446,'TT Around time'!$A:$A,0),6)&gt;='Discount Scheme Target'!$I$4,_xlfn.XLOOKUP(Workings!$E446,'Discount Scheme Target'!$B:$B,'Discount Scheme Target'!$I:$I,0,0),0)</f>
        <v>0</v>
      </c>
      <c r="M446" s="72">
        <f t="shared" si="68"/>
        <v>0.04</v>
      </c>
      <c r="N446" s="62">
        <f t="shared" si="75"/>
        <v>243905.06978044542</v>
      </c>
      <c r="T446" s="61">
        <f t="shared" si="69"/>
        <v>243905.06978044542</v>
      </c>
      <c r="U446" s="61">
        <f t="shared" si="70"/>
        <v>0</v>
      </c>
      <c r="V446" s="61">
        <f t="shared" si="71"/>
        <v>0</v>
      </c>
      <c r="W446" s="61">
        <f t="shared" si="72"/>
        <v>0</v>
      </c>
      <c r="X446" s="61">
        <f t="shared" si="73"/>
        <v>243905.06978044542</v>
      </c>
      <c r="Y446" s="61">
        <f t="shared" si="74"/>
        <v>0</v>
      </c>
    </row>
    <row r="447" spans="1:25" x14ac:dyDescent="0.25">
      <c r="A447" s="51">
        <v>3050101021</v>
      </c>
      <c r="B447" s="51" t="s">
        <v>108</v>
      </c>
      <c r="C447" s="51" t="s">
        <v>151</v>
      </c>
      <c r="D447" s="51" t="s">
        <v>141</v>
      </c>
      <c r="E447" s="51" t="s">
        <v>515</v>
      </c>
      <c r="F447" s="52">
        <f>SUMIF('Customer Budget Per Category'!$A:$A,$A447,'Customer Budget Per Category'!$J:$J)</f>
        <v>207.65485187600072</v>
      </c>
      <c r="G447" s="52">
        <f>SUMIFS('Navision sales Dump'!$E:$E,'Navision sales Dump'!$K:$K,$E447,'Navision sales Dump'!$A:$A,$A447)</f>
        <v>0</v>
      </c>
      <c r="H447" s="62">
        <f>SUMIFS('Navision sales Dump'!$G:$G,'Navision sales Dump'!$K:$K,$E447,'Navision sales Dump'!$A:$A,$A447)</f>
        <v>0</v>
      </c>
      <c r="I447" s="72">
        <f>IFERROR(IF(($G447/$F447)&gt;='Discount Scheme Target'!$F$4,_xlfn.XLOOKUP($E447,'Discount Scheme Target'!$B:$B,'Discount Scheme Target'!$F:$F,0,0),IF(($G447/$F447)&gt;='Discount Scheme Target'!$E$4,_xlfn.XLOOKUP($E447,'Discount Scheme Target'!$B:$B,'Discount Scheme Target'!$E:$E,0,0),IF(($G447/$F447)&gt;='Discount Scheme Target'!$D$4,_xlfn.XLOOKUP($E447,'Discount Scheme Target'!$B:$B,'Discount Scheme Target'!$D:$D,0,0),0))),0)</f>
        <v>0</v>
      </c>
      <c r="J447" s="72">
        <f>IF(SUMIF('Customer Num Distr.'!$A:$A,Workings!$A447,'Customer Num Distr.'!$E:$E)&gt;='Discount Scheme Target'!$G$4,_xlfn.XLOOKUP(Workings!$E447,'Discount Scheme Target'!$B:$B,'Discount Scheme Target'!$G:$G,0,0),0)</f>
        <v>0</v>
      </c>
      <c r="K447" s="72">
        <f>IF(SUMIF('Bouclage EG Cust Cons_Decons'!$A:$A,Workings!$A447,'Bouclage EG Cust Cons_Decons'!$F:$F)&gt;='Discount Scheme Target'!$H$4,_xlfn.XLOOKUP(Workings!$E447,'Discount Scheme Target'!$B:$B,'Discount Scheme Target'!$H:$H,0,0),0)</f>
        <v>0</v>
      </c>
      <c r="L447" s="72">
        <f>IF(INDEX('TT Around time'!$A$1:$F$46,MATCH($A447,'TT Around time'!$A:$A,0),6)&gt;='Discount Scheme Target'!$I$4,_xlfn.XLOOKUP(Workings!$E447,'Discount Scheme Target'!$B:$B,'Discount Scheme Target'!$I:$I,0,0),0)</f>
        <v>0</v>
      </c>
      <c r="M447" s="72">
        <f t="shared" si="68"/>
        <v>0</v>
      </c>
      <c r="N447" s="62">
        <f t="shared" si="75"/>
        <v>0</v>
      </c>
      <c r="T447" s="61">
        <f t="shared" si="69"/>
        <v>0</v>
      </c>
      <c r="U447" s="61">
        <f t="shared" si="70"/>
        <v>0</v>
      </c>
      <c r="V447" s="61">
        <f t="shared" si="71"/>
        <v>0</v>
      </c>
      <c r="W447" s="61">
        <f t="shared" si="72"/>
        <v>0</v>
      </c>
      <c r="X447" s="61">
        <f t="shared" si="73"/>
        <v>0</v>
      </c>
      <c r="Y447" s="61">
        <f t="shared" si="74"/>
        <v>0</v>
      </c>
    </row>
    <row r="448" spans="1:25" x14ac:dyDescent="0.25">
      <c r="A448" s="51">
        <v>3050101021</v>
      </c>
      <c r="B448" s="51" t="s">
        <v>108</v>
      </c>
      <c r="C448" s="51" t="s">
        <v>151</v>
      </c>
      <c r="D448" s="51" t="s">
        <v>141</v>
      </c>
      <c r="E448" s="51" t="s">
        <v>161</v>
      </c>
      <c r="F448" s="52">
        <f>SUMIF('Customer Budget Per Category'!$A:$A,$A448,'Customer Budget Per Category'!$K:$K)</f>
        <v>0</v>
      </c>
      <c r="G448" s="52">
        <f>SUMIFS('Navision sales Dump'!$E:$E,'Navision sales Dump'!$K:$K,$E448,'Navision sales Dump'!$A:$A,$A448)</f>
        <v>0</v>
      </c>
      <c r="H448" s="62">
        <f>SUMIFS('Navision sales Dump'!$G:$G,'Navision sales Dump'!$K:$K,$E448,'Navision sales Dump'!$A:$A,$A448)</f>
        <v>0</v>
      </c>
      <c r="I448" s="72">
        <f>IFERROR(IF(($G448/$F448)&gt;='Discount Scheme Target'!$F$4,_xlfn.XLOOKUP($E448,'Discount Scheme Target'!$B:$B,'Discount Scheme Target'!$F:$F,0,0),IF(($G448/$F448)&gt;='Discount Scheme Target'!$E$4,_xlfn.XLOOKUP($E448,'Discount Scheme Target'!$B:$B,'Discount Scheme Target'!$E:$E,0,0),IF(($G448/$F448)&gt;='Discount Scheme Target'!$D$4,_xlfn.XLOOKUP($E448,'Discount Scheme Target'!$B:$B,'Discount Scheme Target'!$D:$D,0,0),0))),0)</f>
        <v>0</v>
      </c>
      <c r="J448" s="72">
        <f>IF(SUMIF('Customer Num Distr.'!$A:$A,Workings!$A448,'Customer Num Distr.'!$E:$E)&gt;='Discount Scheme Target'!$G$4,_xlfn.XLOOKUP(Workings!$E448,'Discount Scheme Target'!$B:$B,'Discount Scheme Target'!$G:$G,0,0),0)</f>
        <v>0</v>
      </c>
      <c r="K448" s="72">
        <f>IF(SUMIF('Bouclage EG Cust Cons_Decons'!$A:$A,Workings!$A448,'Bouclage EG Cust Cons_Decons'!$F:$F)&gt;='Discount Scheme Target'!$H$4,_xlfn.XLOOKUP(Workings!$E448,'Discount Scheme Target'!$B:$B,'Discount Scheme Target'!$H:$H,0,0),0)</f>
        <v>0</v>
      </c>
      <c r="L448" s="72">
        <f>IF(INDEX('TT Around time'!$A$1:$F$46,MATCH($A448,'TT Around time'!$A:$A,0),6)&gt;='Discount Scheme Target'!$I$4,_xlfn.XLOOKUP(Workings!$E448,'Discount Scheme Target'!$B:$B,'Discount Scheme Target'!$I:$I,0,0),0)</f>
        <v>0</v>
      </c>
      <c r="M448" s="72">
        <f t="shared" si="68"/>
        <v>0</v>
      </c>
      <c r="N448" s="62">
        <f t="shared" si="75"/>
        <v>0</v>
      </c>
      <c r="T448" s="61">
        <f t="shared" si="69"/>
        <v>0</v>
      </c>
      <c r="U448" s="61">
        <f t="shared" si="70"/>
        <v>0</v>
      </c>
      <c r="V448" s="61">
        <f t="shared" si="71"/>
        <v>0</v>
      </c>
      <c r="W448" s="61">
        <f t="shared" si="72"/>
        <v>0</v>
      </c>
      <c r="X448" s="61">
        <f t="shared" si="73"/>
        <v>0</v>
      </c>
      <c r="Y448" s="61">
        <f t="shared" si="74"/>
        <v>0</v>
      </c>
    </row>
    <row r="449" spans="1:25" x14ac:dyDescent="0.25">
      <c r="A449" s="51">
        <v>3050101021</v>
      </c>
      <c r="B449" s="51" t="s">
        <v>108</v>
      </c>
      <c r="C449" s="51" t="s">
        <v>151</v>
      </c>
      <c r="D449" s="51" t="s">
        <v>141</v>
      </c>
      <c r="E449" s="51" t="s">
        <v>354</v>
      </c>
      <c r="F449" s="52">
        <f>SUMIF('Customer Budget Per Category'!$A:$A,$A449,'Customer Budget Per Category'!$L:$L)</f>
        <v>633.42449150116067</v>
      </c>
      <c r="G449" s="52">
        <f>SUMIFS('Navision sales Dump'!$E:$E,'Navision sales Dump'!$K:$K,$E449,'Navision sales Dump'!$A:$A,$A449)</f>
        <v>588</v>
      </c>
      <c r="H449" s="62">
        <f>SUMIFS('Navision sales Dump'!$G:$G,'Navision sales Dump'!$K:$K,$E449,'Navision sales Dump'!$A:$A,$A449)</f>
        <v>2050260.24</v>
      </c>
      <c r="I449" s="72">
        <f>IFERROR(IF(($G449/$F449)&gt;='Discount Scheme Target'!$F$4,_xlfn.XLOOKUP($E449,'Discount Scheme Target'!$B:$B,'Discount Scheme Target'!$F:$F,0,0),IF(($G449/$F449)&gt;='Discount Scheme Target'!$E$4,_xlfn.XLOOKUP($E449,'Discount Scheme Target'!$B:$B,'Discount Scheme Target'!$E:$E,0,0),IF(($G449/$F449)&gt;='Discount Scheme Target'!$D$4,_xlfn.XLOOKUP($E449,'Discount Scheme Target'!$B:$B,'Discount Scheme Target'!$D:$D,0,0),0))),0)</f>
        <v>0</v>
      </c>
      <c r="J449" s="72">
        <f>IF(SUMIF('Customer Num Distr.'!$A:$A,Workings!$A449,'Customer Num Distr.'!$E:$E)&gt;='Discount Scheme Target'!$G$4,_xlfn.XLOOKUP(Workings!$E449,'Discount Scheme Target'!$B:$B,'Discount Scheme Target'!$G:$G,0,0),0)</f>
        <v>0</v>
      </c>
      <c r="K449" s="72">
        <f>IF(SUMIF('Bouclage EG Cust Cons_Decons'!$A:$A,Workings!$A449,'Bouclage EG Cust Cons_Decons'!$F:$F)&gt;='Discount Scheme Target'!$H$4,_xlfn.XLOOKUP(Workings!$E449,'Discount Scheme Target'!$B:$B,'Discount Scheme Target'!$H:$H,0,0),0)</f>
        <v>0</v>
      </c>
      <c r="L449" s="72">
        <f>IF(INDEX('TT Around time'!$A$1:$F$46,MATCH($A449,'TT Around time'!$A:$A,0),6)&gt;='Discount Scheme Target'!$I$4,_xlfn.XLOOKUP(Workings!$E449,'Discount Scheme Target'!$B:$B,'Discount Scheme Target'!$I:$I,0,0),0)</f>
        <v>0</v>
      </c>
      <c r="M449" s="72">
        <f t="shared" si="68"/>
        <v>0</v>
      </c>
      <c r="N449" s="62">
        <f t="shared" si="75"/>
        <v>0</v>
      </c>
      <c r="T449" s="61">
        <f t="shared" si="69"/>
        <v>0</v>
      </c>
      <c r="U449" s="61">
        <f t="shared" si="70"/>
        <v>0</v>
      </c>
      <c r="V449" s="61">
        <f t="shared" si="71"/>
        <v>0</v>
      </c>
      <c r="W449" s="61">
        <f t="shared" si="72"/>
        <v>0</v>
      </c>
      <c r="X449" s="61">
        <f t="shared" si="73"/>
        <v>0</v>
      </c>
      <c r="Y449" s="61">
        <f t="shared" si="74"/>
        <v>0</v>
      </c>
    </row>
    <row r="450" spans="1:25" x14ac:dyDescent="0.25">
      <c r="A450" s="51">
        <v>3050101021</v>
      </c>
      <c r="B450" s="51" t="s">
        <v>108</v>
      </c>
      <c r="C450" s="51" t="s">
        <v>151</v>
      </c>
      <c r="D450" s="51" t="s">
        <v>141</v>
      </c>
      <c r="E450" s="51" t="s">
        <v>355</v>
      </c>
      <c r="F450" s="52">
        <f>SUMIF('Customer Budget Per Category'!$A:$A,$A450,'Customer Budget Per Category'!$M:$M)</f>
        <v>380.37761478666295</v>
      </c>
      <c r="G450" s="52">
        <f>SUMIFS('Navision sales Dump'!$E:$E,'Navision sales Dump'!$K:$K,$E450,'Navision sales Dump'!$A:$A,$A450)</f>
        <v>144</v>
      </c>
      <c r="H450" s="62">
        <f>SUMIFS('Navision sales Dump'!$G:$G,'Navision sales Dump'!$K:$K,$E450,'Navision sales Dump'!$A:$A,$A450)</f>
        <v>348426.72</v>
      </c>
      <c r="I450" s="72">
        <f>IFERROR(IF(($G450/$F450)&gt;='Discount Scheme Target'!$F$4,_xlfn.XLOOKUP($E450,'Discount Scheme Target'!$B:$B,'Discount Scheme Target'!$F:$F,0,0),IF(($G450/$F450)&gt;='Discount Scheme Target'!$E$4,_xlfn.XLOOKUP($E450,'Discount Scheme Target'!$B:$B,'Discount Scheme Target'!$E:$E,0,0),IF(($G450/$F450)&gt;='Discount Scheme Target'!$D$4,_xlfn.XLOOKUP($E450,'Discount Scheme Target'!$B:$B,'Discount Scheme Target'!$D:$D,0,0),0))),0)</f>
        <v>0</v>
      </c>
      <c r="J450" s="72">
        <f>IF(SUMIF('Customer Num Distr.'!$A:$A,Workings!$A450,'Customer Num Distr.'!$E:$E)&gt;='Discount Scheme Target'!$G$4,_xlfn.XLOOKUP(Workings!$E450,'Discount Scheme Target'!$B:$B,'Discount Scheme Target'!$G:$G,0,0),0)</f>
        <v>0</v>
      </c>
      <c r="K450" s="72">
        <f>IF(SUMIF('Bouclage EG Cust Cons_Decons'!$A:$A,Workings!$A450,'Bouclage EG Cust Cons_Decons'!$F:$F)&gt;='Discount Scheme Target'!$H$4,_xlfn.XLOOKUP(Workings!$E450,'Discount Scheme Target'!$B:$B,'Discount Scheme Target'!$H:$H,0,0),0)</f>
        <v>0</v>
      </c>
      <c r="L450" s="72">
        <f>IF(INDEX('TT Around time'!$A$1:$F$46,MATCH($A450,'TT Around time'!$A:$A,0),6)&gt;='Discount Scheme Target'!$I$4,_xlfn.XLOOKUP(Workings!$E450,'Discount Scheme Target'!$B:$B,'Discount Scheme Target'!$I:$I,0,0),0)</f>
        <v>0</v>
      </c>
      <c r="M450" s="72">
        <f t="shared" si="68"/>
        <v>0</v>
      </c>
      <c r="N450" s="62">
        <f t="shared" si="75"/>
        <v>0</v>
      </c>
      <c r="T450" s="61">
        <f t="shared" si="69"/>
        <v>0</v>
      </c>
      <c r="U450" s="61">
        <f t="shared" si="70"/>
        <v>0</v>
      </c>
      <c r="V450" s="61">
        <f t="shared" si="71"/>
        <v>0</v>
      </c>
      <c r="W450" s="61">
        <f t="shared" si="72"/>
        <v>0</v>
      </c>
      <c r="X450" s="61">
        <f t="shared" si="73"/>
        <v>0</v>
      </c>
      <c r="Y450" s="61">
        <f t="shared" si="74"/>
        <v>0</v>
      </c>
    </row>
    <row r="451" spans="1:25" x14ac:dyDescent="0.25">
      <c r="A451" s="51">
        <v>3050101021</v>
      </c>
      <c r="B451" s="51" t="s">
        <v>108</v>
      </c>
      <c r="C451" s="51" t="s">
        <v>151</v>
      </c>
      <c r="D451" s="51" t="s">
        <v>141</v>
      </c>
      <c r="E451" s="51" t="s">
        <v>132</v>
      </c>
      <c r="F451" s="52">
        <f>SUMIF('Customer Budget Per Category'!$A:$A,$A451,'Customer Budget Per Category'!$N:$N)</f>
        <v>226.74829861335627</v>
      </c>
      <c r="G451" s="52">
        <f>SUMIFS('Navision sales Dump'!$E:$E,'Navision sales Dump'!$K:$K,$E451,'Navision sales Dump'!$A:$A,$A451)</f>
        <v>0</v>
      </c>
      <c r="H451" s="62">
        <f>SUMIFS('Navision sales Dump'!$G:$G,'Navision sales Dump'!$K:$K,$E451,'Navision sales Dump'!$A:$A,$A451)</f>
        <v>0</v>
      </c>
      <c r="I451" s="72">
        <f>IFERROR(IF(($G451/$F451)&gt;='Discount Scheme Target'!$F$4,_xlfn.XLOOKUP($E451,'Discount Scheme Target'!$B:$B,'Discount Scheme Target'!$F:$F,0,0),IF(($G451/$F451)&gt;='Discount Scheme Target'!$E$4,_xlfn.XLOOKUP($E451,'Discount Scheme Target'!$B:$B,'Discount Scheme Target'!$E:$E,0,0),IF(($G451/$F451)&gt;='Discount Scheme Target'!$D$4,_xlfn.XLOOKUP($E451,'Discount Scheme Target'!$B:$B,'Discount Scheme Target'!$D:$D,0,0),0))),0)</f>
        <v>0</v>
      </c>
      <c r="J451" s="72">
        <f>IF(SUMIF('Customer Num Distr.'!$A:$A,Workings!$A451,'Customer Num Distr.'!$E:$E)&gt;='Discount Scheme Target'!$G$4,_xlfn.XLOOKUP(Workings!$E451,'Discount Scheme Target'!$B:$B,'Discount Scheme Target'!$G:$G,0,0),0)</f>
        <v>0</v>
      </c>
      <c r="K451" s="72">
        <f>IF(SUMIF('Bouclage EG Cust Cons_Decons'!$A:$A,Workings!$A451,'Bouclage EG Cust Cons_Decons'!$F:$F)&gt;='Discount Scheme Target'!$H$4,_xlfn.XLOOKUP(Workings!$E451,'Discount Scheme Target'!$B:$B,'Discount Scheme Target'!$H:$H,0,0),0)</f>
        <v>0</v>
      </c>
      <c r="L451" s="72">
        <f>IF(INDEX('TT Around time'!$A$1:$F$46,MATCH($A451,'TT Around time'!$A:$A,0),6)&gt;='Discount Scheme Target'!$I$4,_xlfn.XLOOKUP(Workings!$E451,'Discount Scheme Target'!$B:$B,'Discount Scheme Target'!$I:$I,0,0),0)</f>
        <v>0</v>
      </c>
      <c r="M451" s="72">
        <f t="shared" si="68"/>
        <v>0</v>
      </c>
      <c r="N451" s="62">
        <f t="shared" si="75"/>
        <v>0</v>
      </c>
      <c r="T451" s="61">
        <f t="shared" si="69"/>
        <v>0</v>
      </c>
      <c r="U451" s="61">
        <f t="shared" si="70"/>
        <v>0</v>
      </c>
      <c r="V451" s="61">
        <f t="shared" si="71"/>
        <v>0</v>
      </c>
      <c r="W451" s="61">
        <f t="shared" si="72"/>
        <v>0</v>
      </c>
      <c r="X451" s="61">
        <f t="shared" si="73"/>
        <v>0</v>
      </c>
      <c r="Y451" s="61">
        <f t="shared" si="74"/>
        <v>0</v>
      </c>
    </row>
    <row r="452" spans="1:25" x14ac:dyDescent="0.25">
      <c r="A452" s="51">
        <v>3050101021</v>
      </c>
      <c r="B452" s="51" t="s">
        <v>108</v>
      </c>
      <c r="C452" s="51" t="s">
        <v>151</v>
      </c>
      <c r="D452" s="51" t="s">
        <v>141</v>
      </c>
      <c r="E452" s="51" t="s">
        <v>133</v>
      </c>
      <c r="F452" s="52">
        <f>SUMIF('Customer Budget Per Category'!$A:$A,$A452,'Customer Budget Per Category'!$O:$O)</f>
        <v>231.11609047888624</v>
      </c>
      <c r="G452" s="52">
        <f>SUMIFS('Navision sales Dump'!$E:$E,'Navision sales Dump'!$K:$K,$E452,'Navision sales Dump'!$A:$A,$A452)</f>
        <v>0</v>
      </c>
      <c r="H452" s="62">
        <f>SUMIFS('Navision sales Dump'!$G:$G,'Navision sales Dump'!$K:$K,$E452,'Navision sales Dump'!$A:$A,$A452)</f>
        <v>0</v>
      </c>
      <c r="I452" s="72">
        <f>IFERROR(IF(($G452/$F452)&gt;='Discount Scheme Target'!$F$4,_xlfn.XLOOKUP($E452,'Discount Scheme Target'!$B:$B,'Discount Scheme Target'!$F:$F,0,0),IF(($G452/$F452)&gt;='Discount Scheme Target'!$E$4,_xlfn.XLOOKUP($E452,'Discount Scheme Target'!$B:$B,'Discount Scheme Target'!$E:$E,0,0),IF(($G452/$F452)&gt;='Discount Scheme Target'!$D$4,_xlfn.XLOOKUP($E452,'Discount Scheme Target'!$B:$B,'Discount Scheme Target'!$D:$D,0,0),0))),0)</f>
        <v>0</v>
      </c>
      <c r="J452" s="72">
        <f>IF(SUMIF('Customer Num Distr.'!$A:$A,Workings!$A452,'Customer Num Distr.'!$E:$E)&gt;='Discount Scheme Target'!$G$4,_xlfn.XLOOKUP(Workings!$E452,'Discount Scheme Target'!$B:$B,'Discount Scheme Target'!$G:$G,0,0),0)</f>
        <v>0</v>
      </c>
      <c r="K452" s="72">
        <f>IF(SUMIF('Bouclage EG Cust Cons_Decons'!$A:$A,Workings!$A452,'Bouclage EG Cust Cons_Decons'!$F:$F)&gt;='Discount Scheme Target'!$H$4,_xlfn.XLOOKUP(Workings!$E452,'Discount Scheme Target'!$B:$B,'Discount Scheme Target'!$H:$H,0,0),0)</f>
        <v>0</v>
      </c>
      <c r="L452" s="72">
        <f>IF(INDEX('TT Around time'!$A$1:$F$46,MATCH($A452,'TT Around time'!$A:$A,0),6)&gt;='Discount Scheme Target'!$I$4,_xlfn.XLOOKUP(Workings!$E452,'Discount Scheme Target'!$B:$B,'Discount Scheme Target'!$I:$I,0,0),0)</f>
        <v>0</v>
      </c>
      <c r="M452" s="72">
        <f t="shared" si="68"/>
        <v>0</v>
      </c>
      <c r="N452" s="62">
        <f t="shared" si="75"/>
        <v>0</v>
      </c>
      <c r="T452" s="61">
        <f t="shared" si="69"/>
        <v>0</v>
      </c>
      <c r="U452" s="61">
        <f t="shared" si="70"/>
        <v>0</v>
      </c>
      <c r="V452" s="61">
        <f t="shared" si="71"/>
        <v>0</v>
      </c>
      <c r="W452" s="61">
        <f t="shared" si="72"/>
        <v>0</v>
      </c>
      <c r="X452" s="61">
        <f t="shared" si="73"/>
        <v>0</v>
      </c>
      <c r="Y452" s="61">
        <f t="shared" si="74"/>
        <v>0</v>
      </c>
    </row>
    <row r="453" spans="1:25" x14ac:dyDescent="0.25">
      <c r="A453" s="51">
        <v>3300002027</v>
      </c>
      <c r="B453" s="51" t="s">
        <v>117</v>
      </c>
      <c r="C453" s="51" t="s">
        <v>151</v>
      </c>
      <c r="D453" s="51" t="s">
        <v>141</v>
      </c>
      <c r="E453" s="51" t="s">
        <v>417</v>
      </c>
      <c r="F453" s="52">
        <f>SUMIF('Customer Budget Per Category'!$A:$A,$A453,'Customer Budget Per Category'!$E:$E)</f>
        <v>9719.3483296315353</v>
      </c>
      <c r="G453" s="52">
        <f>SUMIFS('Navision sales Dump'!$E:$E,'Navision sales Dump'!$K:$K,$E453,'Navision sales Dump'!$A:$A,$A453)</f>
        <v>9704</v>
      </c>
      <c r="H453" s="62">
        <f>SUMIFS('Navision sales Dump'!$G:$G,'Navision sales Dump'!$K:$K,$E453,'Navision sales Dump'!$A:$A,$A453)</f>
        <v>70102148.100000009</v>
      </c>
      <c r="I453" s="72">
        <f>IFERROR(IF(($G453/$F453)&gt;='Discount Scheme Target'!$F$4,_xlfn.XLOOKUP($E453,'Discount Scheme Target'!$B:$B,'Discount Scheme Target'!$F:$F,0,0),IF(($G453/$F453)&gt;='Discount Scheme Target'!$E$4,_xlfn.XLOOKUP($E453,'Discount Scheme Target'!$B:$B,'Discount Scheme Target'!$E:$E,0,0),IF(($G453/$F453)&gt;='Discount Scheme Target'!$D$4,_xlfn.XLOOKUP($E453,'Discount Scheme Target'!$B:$B,'Discount Scheme Target'!$D:$D,0,0),0))),0)</f>
        <v>0</v>
      </c>
      <c r="J453" s="72">
        <f>IF(SUMIF('Customer Num Distr.'!$A:$A,Workings!$A453,'Customer Num Distr.'!$E:$E)&gt;='Discount Scheme Target'!$G$4,_xlfn.XLOOKUP(Workings!$E453,'Discount Scheme Target'!$B:$B,'Discount Scheme Target'!$G:$G,0,0),0)</f>
        <v>0</v>
      </c>
      <c r="K453" s="72">
        <f>IF(SUMIF('Bouclage EG Cust Cons_Decons'!$A:$A,Workings!$A453,'Bouclage EG Cust Cons_Decons'!$F:$F)&gt;='Discount Scheme Target'!$H$4,_xlfn.XLOOKUP(Workings!$E453,'Discount Scheme Target'!$B:$B,'Discount Scheme Target'!$H:$H,0,0),0)</f>
        <v>0</v>
      </c>
      <c r="L453" s="72">
        <f>IF(INDEX('TT Around time'!$A$1:$F$46,MATCH($A453,'TT Around time'!$A:$A,0),6)&gt;='Discount Scheme Target'!$I$4,_xlfn.XLOOKUP(Workings!$E453,'Discount Scheme Target'!$B:$B,'Discount Scheme Target'!$I:$I,0,0),0)</f>
        <v>0</v>
      </c>
      <c r="M453" s="72">
        <f t="shared" si="68"/>
        <v>0</v>
      </c>
      <c r="N453" s="62">
        <f t="shared" si="75"/>
        <v>0</v>
      </c>
      <c r="T453" s="61">
        <f t="shared" si="69"/>
        <v>0</v>
      </c>
      <c r="U453" s="61">
        <f t="shared" si="70"/>
        <v>0</v>
      </c>
      <c r="V453" s="61">
        <f t="shared" si="71"/>
        <v>0</v>
      </c>
      <c r="W453" s="61">
        <f t="shared" si="72"/>
        <v>0</v>
      </c>
      <c r="X453" s="61">
        <f t="shared" si="73"/>
        <v>0</v>
      </c>
      <c r="Y453" s="61">
        <f t="shared" si="74"/>
        <v>0</v>
      </c>
    </row>
    <row r="454" spans="1:25" x14ac:dyDescent="0.25">
      <c r="A454" s="51">
        <v>3300002027</v>
      </c>
      <c r="B454" s="51" t="s">
        <v>117</v>
      </c>
      <c r="C454" s="51" t="s">
        <v>151</v>
      </c>
      <c r="D454" s="51" t="s">
        <v>141</v>
      </c>
      <c r="E454" s="51" t="s">
        <v>418</v>
      </c>
      <c r="F454" s="52">
        <f>SUMIF('Customer Budget Per Category'!$A:$A,$A454,'Customer Budget Per Category'!$F:$F)</f>
        <v>0</v>
      </c>
      <c r="G454" s="52">
        <f>SUMIFS('Navision sales Dump'!$E:$E,'Navision sales Dump'!$K:$K,$E454,'Navision sales Dump'!$A:$A,$A454)</f>
        <v>0</v>
      </c>
      <c r="H454" s="62">
        <f>SUMIFS('Navision sales Dump'!$G:$G,'Navision sales Dump'!$K:$K,$E454,'Navision sales Dump'!$A:$A,$A454)</f>
        <v>0</v>
      </c>
      <c r="I454" s="72">
        <f>IFERROR(IF(($G454/$F454)&gt;='Discount Scheme Target'!$F$4,_xlfn.XLOOKUP($E454,'Discount Scheme Target'!$B:$B,'Discount Scheme Target'!$F:$F,0,0),IF(($G454/$F454)&gt;='Discount Scheme Target'!$E$4,_xlfn.XLOOKUP($E454,'Discount Scheme Target'!$B:$B,'Discount Scheme Target'!$E:$E,0,0),IF(($G454/$F454)&gt;='Discount Scheme Target'!$D$4,_xlfn.XLOOKUP($E454,'Discount Scheme Target'!$B:$B,'Discount Scheme Target'!$D:$D,0,0),0))),0)</f>
        <v>0</v>
      </c>
      <c r="J454" s="72">
        <f>IF(SUMIF('Customer Num Distr.'!$A:$A,Workings!$A454,'Customer Num Distr.'!$E:$E)&gt;='Discount Scheme Target'!$G$4,_xlfn.XLOOKUP(Workings!$E454,'Discount Scheme Target'!$B:$B,'Discount Scheme Target'!$G:$G,0,0),0)</f>
        <v>0</v>
      </c>
      <c r="K454" s="72">
        <f>IF(SUMIF('Bouclage EG Cust Cons_Decons'!$A:$A,Workings!$A454,'Bouclage EG Cust Cons_Decons'!$F:$F)&gt;='Discount Scheme Target'!$H$4,_xlfn.XLOOKUP(Workings!$E454,'Discount Scheme Target'!$B:$B,'Discount Scheme Target'!$H:$H,0,0),0)</f>
        <v>0</v>
      </c>
      <c r="L454" s="72">
        <f>IF(INDEX('TT Around time'!$A$1:$F$46,MATCH($A454,'TT Around time'!$A:$A,0),6)&gt;='Discount Scheme Target'!$I$4,_xlfn.XLOOKUP(Workings!$E454,'Discount Scheme Target'!$B:$B,'Discount Scheme Target'!$I:$I,0,0),0)</f>
        <v>0</v>
      </c>
      <c r="M454" s="72">
        <f t="shared" si="68"/>
        <v>0</v>
      </c>
      <c r="N454" s="62">
        <f t="shared" si="75"/>
        <v>0</v>
      </c>
      <c r="T454" s="61">
        <f t="shared" si="69"/>
        <v>0</v>
      </c>
      <c r="U454" s="61">
        <f t="shared" si="70"/>
        <v>0</v>
      </c>
      <c r="V454" s="61">
        <f t="shared" si="71"/>
        <v>0</v>
      </c>
      <c r="W454" s="61">
        <f t="shared" si="72"/>
        <v>0</v>
      </c>
      <c r="X454" s="61">
        <f t="shared" si="73"/>
        <v>0</v>
      </c>
      <c r="Y454" s="61">
        <f t="shared" si="74"/>
        <v>0</v>
      </c>
    </row>
    <row r="455" spans="1:25" x14ac:dyDescent="0.25">
      <c r="A455" s="51">
        <v>3300002027</v>
      </c>
      <c r="B455" s="51" t="s">
        <v>117</v>
      </c>
      <c r="C455" s="51" t="s">
        <v>151</v>
      </c>
      <c r="D455" s="51" t="s">
        <v>141</v>
      </c>
      <c r="E455" s="51" t="s">
        <v>130</v>
      </c>
      <c r="F455" s="52">
        <f>SUMIF('Customer Budget Per Category'!$A:$A,$A455,'Customer Budget Per Category'!$G:$G)</f>
        <v>244.88251952993107</v>
      </c>
      <c r="G455" s="52">
        <f>SUMIFS('Navision sales Dump'!$E:$E,'Navision sales Dump'!$K:$K,$E455,'Navision sales Dump'!$A:$A,$A455)</f>
        <v>251</v>
      </c>
      <c r="H455" s="62">
        <f>SUMIFS('Navision sales Dump'!$G:$G,'Navision sales Dump'!$K:$K,$E455,'Navision sales Dump'!$A:$A,$A455)</f>
        <v>1939055.32</v>
      </c>
      <c r="I455" s="72">
        <f>IFERROR(IF(($G455/$F455)&gt;='Discount Scheme Target'!$F$4,_xlfn.XLOOKUP($E455,'Discount Scheme Target'!$B:$B,'Discount Scheme Target'!$F:$F,0,0),IF(($G455/$F455)&gt;='Discount Scheme Target'!$E$4,_xlfn.XLOOKUP($E455,'Discount Scheme Target'!$B:$B,'Discount Scheme Target'!$E:$E,0,0),IF(($G455/$F455)&gt;='Discount Scheme Target'!$D$4,_xlfn.XLOOKUP($E455,'Discount Scheme Target'!$B:$B,'Discount Scheme Target'!$D:$D,0,0),0))),0)</f>
        <v>1.4999999999999999E-2</v>
      </c>
      <c r="J455" s="72">
        <f>IF(SUMIF('Customer Num Distr.'!$A:$A,Workings!$A455,'Customer Num Distr.'!$E:$E)&gt;='Discount Scheme Target'!$G$4,_xlfn.XLOOKUP(Workings!$E455,'Discount Scheme Target'!$B:$B,'Discount Scheme Target'!$G:$G,0,0),0)</f>
        <v>0</v>
      </c>
      <c r="K455" s="72">
        <f>IF(SUMIF('Bouclage EG Cust Cons_Decons'!$A:$A,Workings!$A455,'Bouclage EG Cust Cons_Decons'!$F:$F)&gt;='Discount Scheme Target'!$H$4,_xlfn.XLOOKUP(Workings!$E455,'Discount Scheme Target'!$B:$B,'Discount Scheme Target'!$H:$H,0,0),0)</f>
        <v>0</v>
      </c>
      <c r="L455" s="72">
        <f>IF(INDEX('TT Around time'!$A$1:$F$46,MATCH($A455,'TT Around time'!$A:$A,0),6)&gt;='Discount Scheme Target'!$I$4,_xlfn.XLOOKUP(Workings!$E455,'Discount Scheme Target'!$B:$B,'Discount Scheme Target'!$I:$I,0,0),0)</f>
        <v>0</v>
      </c>
      <c r="M455" s="72">
        <f t="shared" si="68"/>
        <v>1.4999999999999999E-2</v>
      </c>
      <c r="N455" s="62">
        <f t="shared" si="75"/>
        <v>28376.937386624508</v>
      </c>
      <c r="T455" s="61">
        <f t="shared" si="69"/>
        <v>28376.937386624508</v>
      </c>
      <c r="U455" s="61">
        <f t="shared" si="70"/>
        <v>0</v>
      </c>
      <c r="V455" s="61">
        <f t="shared" si="71"/>
        <v>0</v>
      </c>
      <c r="W455" s="61">
        <f t="shared" si="72"/>
        <v>0</v>
      </c>
      <c r="X455" s="61">
        <f t="shared" si="73"/>
        <v>28376.937386624508</v>
      </c>
      <c r="Y455" s="61">
        <f t="shared" si="74"/>
        <v>0</v>
      </c>
    </row>
    <row r="456" spans="1:25" x14ac:dyDescent="0.25">
      <c r="A456" s="51">
        <v>3300002027</v>
      </c>
      <c r="B456" s="51" t="s">
        <v>117</v>
      </c>
      <c r="C456" s="51" t="s">
        <v>151</v>
      </c>
      <c r="D456" s="51" t="s">
        <v>141</v>
      </c>
      <c r="E456" s="51" t="s">
        <v>131</v>
      </c>
      <c r="F456" s="52">
        <f>SUMIF('Customer Budget Per Category'!$A:$A,$A456,'Customer Budget Per Category'!$H:$H)</f>
        <v>126.752856374678</v>
      </c>
      <c r="G456" s="52">
        <f>SUMIFS('Navision sales Dump'!$E:$E,'Navision sales Dump'!$K:$K,$E456,'Navision sales Dump'!$A:$A,$A456)</f>
        <v>45</v>
      </c>
      <c r="H456" s="62">
        <f>SUMIFS('Navision sales Dump'!$G:$G,'Navision sales Dump'!$K:$K,$E456,'Navision sales Dump'!$A:$A,$A456)</f>
        <v>1830357.65</v>
      </c>
      <c r="I456" s="72">
        <f>IFERROR(IF(($G456/$F456)&gt;='Discount Scheme Target'!$F$4,_xlfn.XLOOKUP($E456,'Discount Scheme Target'!$B:$B,'Discount Scheme Target'!$F:$F,0,0),IF(($G456/$F456)&gt;='Discount Scheme Target'!$E$4,_xlfn.XLOOKUP($E456,'Discount Scheme Target'!$B:$B,'Discount Scheme Target'!$E:$E,0,0),IF(($G456/$F456)&gt;='Discount Scheme Target'!$D$4,_xlfn.XLOOKUP($E456,'Discount Scheme Target'!$B:$B,'Discount Scheme Target'!$D:$D,0,0),0))),0)</f>
        <v>0</v>
      </c>
      <c r="J456" s="72">
        <f>IF(SUMIF('Customer Num Distr.'!$A:$A,Workings!$A456,'Customer Num Distr.'!$E:$E)&gt;='Discount Scheme Target'!$G$4,_xlfn.XLOOKUP(Workings!$E456,'Discount Scheme Target'!$B:$B,'Discount Scheme Target'!$G:$G,0,0),0)</f>
        <v>0</v>
      </c>
      <c r="K456" s="72">
        <f>IF(SUMIF('Bouclage EG Cust Cons_Decons'!$A:$A,Workings!$A456,'Bouclage EG Cust Cons_Decons'!$F:$F)&gt;='Discount Scheme Target'!$H$4,_xlfn.XLOOKUP(Workings!$E456,'Discount Scheme Target'!$B:$B,'Discount Scheme Target'!$H:$H,0,0),0)</f>
        <v>0</v>
      </c>
      <c r="L456" s="72">
        <f>IF(INDEX('TT Around time'!$A$1:$F$46,MATCH($A456,'TT Around time'!$A:$A,0),6)&gt;='Discount Scheme Target'!$I$4,_xlfn.XLOOKUP(Workings!$E456,'Discount Scheme Target'!$B:$B,'Discount Scheme Target'!$I:$I,0,0),0)</f>
        <v>0</v>
      </c>
      <c r="M456" s="72">
        <f t="shared" si="68"/>
        <v>0</v>
      </c>
      <c r="N456" s="62">
        <f t="shared" si="75"/>
        <v>0</v>
      </c>
      <c r="T456" s="61">
        <f t="shared" si="69"/>
        <v>0</v>
      </c>
      <c r="U456" s="61">
        <f t="shared" si="70"/>
        <v>0</v>
      </c>
      <c r="V456" s="61">
        <f t="shared" si="71"/>
        <v>0</v>
      </c>
      <c r="W456" s="61">
        <f t="shared" si="72"/>
        <v>0</v>
      </c>
      <c r="X456" s="61">
        <f t="shared" si="73"/>
        <v>0</v>
      </c>
      <c r="Y456" s="61">
        <f t="shared" si="74"/>
        <v>0</v>
      </c>
    </row>
    <row r="457" spans="1:25" x14ac:dyDescent="0.25">
      <c r="A457" s="51">
        <v>3300002027</v>
      </c>
      <c r="B457" s="51" t="s">
        <v>117</v>
      </c>
      <c r="C457" s="51" t="s">
        <v>151</v>
      </c>
      <c r="D457" s="51" t="s">
        <v>141</v>
      </c>
      <c r="E457" s="51" t="s">
        <v>514</v>
      </c>
      <c r="F457" s="52">
        <f>SUMIF('Customer Budget Per Category'!$A:$A,$A457,'Customer Budget Per Category'!$I:$I)</f>
        <v>4621.5493595701246</v>
      </c>
      <c r="G457" s="52">
        <f>SUMIFS('Navision sales Dump'!$E:$E,'Navision sales Dump'!$K:$K,$E457,'Navision sales Dump'!$A:$A,$A457)</f>
        <v>2852</v>
      </c>
      <c r="H457" s="62">
        <f>SUMIFS('Navision sales Dump'!$G:$G,'Navision sales Dump'!$K:$K,$E457,'Navision sales Dump'!$A:$A,$A457)</f>
        <v>11288301.559999999</v>
      </c>
      <c r="I457" s="72">
        <f>IFERROR(IF(($G457/$F457)&gt;='Discount Scheme Target'!$F$4,_xlfn.XLOOKUP($E457,'Discount Scheme Target'!$B:$B,'Discount Scheme Target'!$F:$F,0,0),IF(($G457/$F457)&gt;='Discount Scheme Target'!$E$4,_xlfn.XLOOKUP($E457,'Discount Scheme Target'!$B:$B,'Discount Scheme Target'!$E:$E,0,0),IF(($G457/$F457)&gt;='Discount Scheme Target'!$D$4,_xlfn.XLOOKUP($E457,'Discount Scheme Target'!$B:$B,'Discount Scheme Target'!$D:$D,0,0),0))),0)</f>
        <v>0</v>
      </c>
      <c r="J457" s="72">
        <f>IF(SUMIF('Customer Num Distr.'!$A:$A,Workings!$A457,'Customer Num Distr.'!$E:$E)&gt;='Discount Scheme Target'!$G$4,_xlfn.XLOOKUP(Workings!$E457,'Discount Scheme Target'!$B:$B,'Discount Scheme Target'!$G:$G,0,0),0)</f>
        <v>0</v>
      </c>
      <c r="K457" s="72">
        <f>IF(SUMIF('Bouclage EG Cust Cons_Decons'!$A:$A,Workings!$A457,'Bouclage EG Cust Cons_Decons'!$F:$F)&gt;='Discount Scheme Target'!$H$4,_xlfn.XLOOKUP(Workings!$E457,'Discount Scheme Target'!$B:$B,'Discount Scheme Target'!$H:$H,0,0),0)</f>
        <v>0</v>
      </c>
      <c r="L457" s="72">
        <f>IF(INDEX('TT Around time'!$A$1:$F$46,MATCH($A457,'TT Around time'!$A:$A,0),6)&gt;='Discount Scheme Target'!$I$4,_xlfn.XLOOKUP(Workings!$E457,'Discount Scheme Target'!$B:$B,'Discount Scheme Target'!$I:$I,0,0),0)</f>
        <v>0</v>
      </c>
      <c r="M457" s="72">
        <f t="shared" si="68"/>
        <v>0</v>
      </c>
      <c r="N457" s="62">
        <f t="shared" si="75"/>
        <v>0</v>
      </c>
      <c r="T457" s="61">
        <f t="shared" si="69"/>
        <v>0</v>
      </c>
      <c r="U457" s="61">
        <f t="shared" si="70"/>
        <v>0</v>
      </c>
      <c r="V457" s="61">
        <f t="shared" si="71"/>
        <v>0</v>
      </c>
      <c r="W457" s="61">
        <f t="shared" si="72"/>
        <v>0</v>
      </c>
      <c r="X457" s="61">
        <f t="shared" si="73"/>
        <v>0</v>
      </c>
      <c r="Y457" s="61">
        <f t="shared" si="74"/>
        <v>0</v>
      </c>
    </row>
    <row r="458" spans="1:25" x14ac:dyDescent="0.25">
      <c r="A458" s="51">
        <v>3300002027</v>
      </c>
      <c r="B458" s="51" t="s">
        <v>117</v>
      </c>
      <c r="C458" s="51" t="s">
        <v>151</v>
      </c>
      <c r="D458" s="51" t="s">
        <v>141</v>
      </c>
      <c r="E458" s="51" t="s">
        <v>515</v>
      </c>
      <c r="F458" s="52">
        <f>SUMIF('Customer Budget Per Category'!$A:$A,$A458,'Customer Budget Per Category'!$J:$J)</f>
        <v>622.94244635865152</v>
      </c>
      <c r="G458" s="52">
        <f>SUMIFS('Navision sales Dump'!$E:$E,'Navision sales Dump'!$K:$K,$E458,'Navision sales Dump'!$A:$A,$A458)</f>
        <v>431</v>
      </c>
      <c r="H458" s="62">
        <f>SUMIFS('Navision sales Dump'!$G:$G,'Navision sales Dump'!$K:$K,$E458,'Navision sales Dump'!$A:$A,$A458)</f>
        <v>1216669.8999999999</v>
      </c>
      <c r="I458" s="72">
        <f>IFERROR(IF(($G458/$F458)&gt;='Discount Scheme Target'!$F$4,_xlfn.XLOOKUP($E458,'Discount Scheme Target'!$B:$B,'Discount Scheme Target'!$F:$F,0,0),IF(($G458/$F458)&gt;='Discount Scheme Target'!$E$4,_xlfn.XLOOKUP($E458,'Discount Scheme Target'!$B:$B,'Discount Scheme Target'!$E:$E,0,0),IF(($G458/$F458)&gt;='Discount Scheme Target'!$D$4,_xlfn.XLOOKUP($E458,'Discount Scheme Target'!$B:$B,'Discount Scheme Target'!$D:$D,0,0),0))),0)</f>
        <v>0</v>
      </c>
      <c r="J458" s="72">
        <f>IF(SUMIF('Customer Num Distr.'!$A:$A,Workings!$A458,'Customer Num Distr.'!$E:$E)&gt;='Discount Scheme Target'!$G$4,_xlfn.XLOOKUP(Workings!$E458,'Discount Scheme Target'!$B:$B,'Discount Scheme Target'!$G:$G,0,0),0)</f>
        <v>0</v>
      </c>
      <c r="K458" s="72">
        <f>IF(SUMIF('Bouclage EG Cust Cons_Decons'!$A:$A,Workings!$A458,'Bouclage EG Cust Cons_Decons'!$F:$F)&gt;='Discount Scheme Target'!$H$4,_xlfn.XLOOKUP(Workings!$E458,'Discount Scheme Target'!$B:$B,'Discount Scheme Target'!$H:$H,0,0),0)</f>
        <v>0</v>
      </c>
      <c r="L458" s="72">
        <f>IF(INDEX('TT Around time'!$A$1:$F$46,MATCH($A458,'TT Around time'!$A:$A,0),6)&gt;='Discount Scheme Target'!$I$4,_xlfn.XLOOKUP(Workings!$E458,'Discount Scheme Target'!$B:$B,'Discount Scheme Target'!$I:$I,0,0),0)</f>
        <v>0</v>
      </c>
      <c r="M458" s="72">
        <f t="shared" si="68"/>
        <v>0</v>
      </c>
      <c r="N458" s="62">
        <f t="shared" si="75"/>
        <v>0</v>
      </c>
      <c r="T458" s="61">
        <f t="shared" si="69"/>
        <v>0</v>
      </c>
      <c r="U458" s="61">
        <f t="shared" si="70"/>
        <v>0</v>
      </c>
      <c r="V458" s="61">
        <f t="shared" si="71"/>
        <v>0</v>
      </c>
      <c r="W458" s="61">
        <f t="shared" si="72"/>
        <v>0</v>
      </c>
      <c r="X458" s="61">
        <f t="shared" si="73"/>
        <v>0</v>
      </c>
      <c r="Y458" s="61">
        <f t="shared" si="74"/>
        <v>0</v>
      </c>
    </row>
    <row r="459" spans="1:25" x14ac:dyDescent="0.25">
      <c r="A459" s="51">
        <v>3300002027</v>
      </c>
      <c r="B459" s="51" t="s">
        <v>117</v>
      </c>
      <c r="C459" s="51" t="s">
        <v>151</v>
      </c>
      <c r="D459" s="51" t="s">
        <v>141</v>
      </c>
      <c r="E459" s="51" t="s">
        <v>161</v>
      </c>
      <c r="F459" s="52">
        <f>SUMIF('Customer Budget Per Category'!$A:$A,$A459,'Customer Budget Per Category'!$K:$K)</f>
        <v>0</v>
      </c>
      <c r="G459" s="52">
        <f>SUMIFS('Navision sales Dump'!$E:$E,'Navision sales Dump'!$K:$K,$E459,'Navision sales Dump'!$A:$A,$A459)</f>
        <v>0</v>
      </c>
      <c r="H459" s="62">
        <f>SUMIFS('Navision sales Dump'!$G:$G,'Navision sales Dump'!$K:$K,$E459,'Navision sales Dump'!$A:$A,$A459)</f>
        <v>0</v>
      </c>
      <c r="I459" s="72">
        <f>IFERROR(IF(($G459/$F459)&gt;='Discount Scheme Target'!$F$4,_xlfn.XLOOKUP($E459,'Discount Scheme Target'!$B:$B,'Discount Scheme Target'!$F:$F,0,0),IF(($G459/$F459)&gt;='Discount Scheme Target'!$E$4,_xlfn.XLOOKUP($E459,'Discount Scheme Target'!$B:$B,'Discount Scheme Target'!$E:$E,0,0),IF(($G459/$F459)&gt;='Discount Scheme Target'!$D$4,_xlfn.XLOOKUP($E459,'Discount Scheme Target'!$B:$B,'Discount Scheme Target'!$D:$D,0,0),0))),0)</f>
        <v>0</v>
      </c>
      <c r="J459" s="72">
        <f>IF(SUMIF('Customer Num Distr.'!$A:$A,Workings!$A459,'Customer Num Distr.'!$E:$E)&gt;='Discount Scheme Target'!$G$4,_xlfn.XLOOKUP(Workings!$E459,'Discount Scheme Target'!$B:$B,'Discount Scheme Target'!$G:$G,0,0),0)</f>
        <v>0</v>
      </c>
      <c r="K459" s="72">
        <f>IF(SUMIF('Bouclage EG Cust Cons_Decons'!$A:$A,Workings!$A459,'Bouclage EG Cust Cons_Decons'!$F:$F)&gt;='Discount Scheme Target'!$H$4,_xlfn.XLOOKUP(Workings!$E459,'Discount Scheme Target'!$B:$B,'Discount Scheme Target'!$H:$H,0,0),0)</f>
        <v>0</v>
      </c>
      <c r="L459" s="72">
        <f>IF(INDEX('TT Around time'!$A$1:$F$46,MATCH($A459,'TT Around time'!$A:$A,0),6)&gt;='Discount Scheme Target'!$I$4,_xlfn.XLOOKUP(Workings!$E459,'Discount Scheme Target'!$B:$B,'Discount Scheme Target'!$I:$I,0,0),0)</f>
        <v>0</v>
      </c>
      <c r="M459" s="72">
        <f t="shared" si="68"/>
        <v>0</v>
      </c>
      <c r="N459" s="62">
        <f t="shared" si="75"/>
        <v>0</v>
      </c>
      <c r="T459" s="61">
        <f t="shared" si="69"/>
        <v>0</v>
      </c>
      <c r="U459" s="61">
        <f t="shared" si="70"/>
        <v>0</v>
      </c>
      <c r="V459" s="61">
        <f t="shared" si="71"/>
        <v>0</v>
      </c>
      <c r="W459" s="61">
        <f t="shared" si="72"/>
        <v>0</v>
      </c>
      <c r="X459" s="61">
        <f t="shared" si="73"/>
        <v>0</v>
      </c>
      <c r="Y459" s="61">
        <f t="shared" si="74"/>
        <v>0</v>
      </c>
    </row>
    <row r="460" spans="1:25" x14ac:dyDescent="0.25">
      <c r="A460" s="51">
        <v>3300002027</v>
      </c>
      <c r="B460" s="51" t="s">
        <v>117</v>
      </c>
      <c r="C460" s="51" t="s">
        <v>151</v>
      </c>
      <c r="D460" s="51" t="s">
        <v>141</v>
      </c>
      <c r="E460" s="51" t="s">
        <v>354</v>
      </c>
      <c r="F460" s="52">
        <f>SUMIF('Customer Budget Per Category'!$A:$A,$A460,'Customer Budget Per Category'!$L:$L)</f>
        <v>1900.206033013098</v>
      </c>
      <c r="G460" s="52">
        <f>SUMIFS('Navision sales Dump'!$E:$E,'Navision sales Dump'!$K:$K,$E460,'Navision sales Dump'!$A:$A,$A460)</f>
        <v>923</v>
      </c>
      <c r="H460" s="62">
        <f>SUMIFS('Navision sales Dump'!$G:$G,'Navision sales Dump'!$K:$K,$E460,'Navision sales Dump'!$A:$A,$A460)</f>
        <v>3155210.84</v>
      </c>
      <c r="I460" s="72">
        <f>IFERROR(IF(($G460/$F460)&gt;='Discount Scheme Target'!$F$4,_xlfn.XLOOKUP($E460,'Discount Scheme Target'!$B:$B,'Discount Scheme Target'!$F:$F,0,0),IF(($G460/$F460)&gt;='Discount Scheme Target'!$E$4,_xlfn.XLOOKUP($E460,'Discount Scheme Target'!$B:$B,'Discount Scheme Target'!$E:$E,0,0),IF(($G460/$F460)&gt;='Discount Scheme Target'!$D$4,_xlfn.XLOOKUP($E460,'Discount Scheme Target'!$B:$B,'Discount Scheme Target'!$D:$D,0,0),0))),0)</f>
        <v>0</v>
      </c>
      <c r="J460" s="72">
        <f>IF(SUMIF('Customer Num Distr.'!$A:$A,Workings!$A460,'Customer Num Distr.'!$E:$E)&gt;='Discount Scheme Target'!$G$4,_xlfn.XLOOKUP(Workings!$E460,'Discount Scheme Target'!$B:$B,'Discount Scheme Target'!$G:$G,0,0),0)</f>
        <v>0</v>
      </c>
      <c r="K460" s="72">
        <f>IF(SUMIF('Bouclage EG Cust Cons_Decons'!$A:$A,Workings!$A460,'Bouclage EG Cust Cons_Decons'!$F:$F)&gt;='Discount Scheme Target'!$H$4,_xlfn.XLOOKUP(Workings!$E460,'Discount Scheme Target'!$B:$B,'Discount Scheme Target'!$H:$H,0,0),0)</f>
        <v>0</v>
      </c>
      <c r="L460" s="72">
        <f>IF(INDEX('TT Around time'!$A$1:$F$46,MATCH($A460,'TT Around time'!$A:$A,0),6)&gt;='Discount Scheme Target'!$I$4,_xlfn.XLOOKUP(Workings!$E460,'Discount Scheme Target'!$B:$B,'Discount Scheme Target'!$I:$I,0,0),0)</f>
        <v>0</v>
      </c>
      <c r="M460" s="72">
        <f t="shared" si="68"/>
        <v>0</v>
      </c>
      <c r="N460" s="62">
        <f t="shared" si="75"/>
        <v>0</v>
      </c>
      <c r="T460" s="61">
        <f t="shared" si="69"/>
        <v>0</v>
      </c>
      <c r="U460" s="61">
        <f t="shared" si="70"/>
        <v>0</v>
      </c>
      <c r="V460" s="61">
        <f t="shared" si="71"/>
        <v>0</v>
      </c>
      <c r="W460" s="61">
        <f t="shared" si="72"/>
        <v>0</v>
      </c>
      <c r="X460" s="61">
        <f t="shared" si="73"/>
        <v>0</v>
      </c>
      <c r="Y460" s="61">
        <f t="shared" si="74"/>
        <v>0</v>
      </c>
    </row>
    <row r="461" spans="1:25" x14ac:dyDescent="0.25">
      <c r="A461" s="51">
        <v>3300002027</v>
      </c>
      <c r="B461" s="51" t="s">
        <v>117</v>
      </c>
      <c r="C461" s="51" t="s">
        <v>151</v>
      </c>
      <c r="D461" s="51" t="s">
        <v>141</v>
      </c>
      <c r="E461" s="51" t="s">
        <v>355</v>
      </c>
      <c r="F461" s="52">
        <f>SUMIF('Customer Budget Per Category'!$A:$A,$A461,'Customer Budget Per Category'!$M:$M)</f>
        <v>1141.0923450840783</v>
      </c>
      <c r="G461" s="52">
        <f>SUMIFS('Navision sales Dump'!$E:$E,'Navision sales Dump'!$K:$K,$E461,'Navision sales Dump'!$A:$A,$A461)</f>
        <v>431</v>
      </c>
      <c r="H461" s="62">
        <f>SUMIFS('Navision sales Dump'!$G:$G,'Navision sales Dump'!$K:$K,$E461,'Navision sales Dump'!$A:$A,$A461)</f>
        <v>1100931.4100000001</v>
      </c>
      <c r="I461" s="72">
        <f>IFERROR(IF(($G461/$F461)&gt;='Discount Scheme Target'!$F$4,_xlfn.XLOOKUP($E461,'Discount Scheme Target'!$B:$B,'Discount Scheme Target'!$F:$F,0,0),IF(($G461/$F461)&gt;='Discount Scheme Target'!$E$4,_xlfn.XLOOKUP($E461,'Discount Scheme Target'!$B:$B,'Discount Scheme Target'!$E:$E,0,0),IF(($G461/$F461)&gt;='Discount Scheme Target'!$D$4,_xlfn.XLOOKUP($E461,'Discount Scheme Target'!$B:$B,'Discount Scheme Target'!$D:$D,0,0),0))),0)</f>
        <v>0</v>
      </c>
      <c r="J461" s="72">
        <f>IF(SUMIF('Customer Num Distr.'!$A:$A,Workings!$A461,'Customer Num Distr.'!$E:$E)&gt;='Discount Scheme Target'!$G$4,_xlfn.XLOOKUP(Workings!$E461,'Discount Scheme Target'!$B:$B,'Discount Scheme Target'!$G:$G,0,0),0)</f>
        <v>0</v>
      </c>
      <c r="K461" s="72">
        <f>IF(SUMIF('Bouclage EG Cust Cons_Decons'!$A:$A,Workings!$A461,'Bouclage EG Cust Cons_Decons'!$F:$F)&gt;='Discount Scheme Target'!$H$4,_xlfn.XLOOKUP(Workings!$E461,'Discount Scheme Target'!$B:$B,'Discount Scheme Target'!$H:$H,0,0),0)</f>
        <v>0</v>
      </c>
      <c r="L461" s="72">
        <f>IF(INDEX('TT Around time'!$A$1:$F$46,MATCH($A461,'TT Around time'!$A:$A,0),6)&gt;='Discount Scheme Target'!$I$4,_xlfn.XLOOKUP(Workings!$E461,'Discount Scheme Target'!$B:$B,'Discount Scheme Target'!$I:$I,0,0),0)</f>
        <v>0</v>
      </c>
      <c r="M461" s="72">
        <f t="shared" si="68"/>
        <v>0</v>
      </c>
      <c r="N461" s="62">
        <f t="shared" si="75"/>
        <v>0</v>
      </c>
      <c r="T461" s="61">
        <f t="shared" si="69"/>
        <v>0</v>
      </c>
      <c r="U461" s="61">
        <f t="shared" si="70"/>
        <v>0</v>
      </c>
      <c r="V461" s="61">
        <f t="shared" si="71"/>
        <v>0</v>
      </c>
      <c r="W461" s="61">
        <f t="shared" si="72"/>
        <v>0</v>
      </c>
      <c r="X461" s="61">
        <f t="shared" si="73"/>
        <v>0</v>
      </c>
      <c r="Y461" s="61">
        <f t="shared" si="74"/>
        <v>0</v>
      </c>
    </row>
    <row r="462" spans="1:25" x14ac:dyDescent="0.25">
      <c r="A462" s="51">
        <v>3300002027</v>
      </c>
      <c r="B462" s="51" t="s">
        <v>117</v>
      </c>
      <c r="C462" s="51" t="s">
        <v>151</v>
      </c>
      <c r="D462" s="51" t="s">
        <v>141</v>
      </c>
      <c r="E462" s="51" t="s">
        <v>132</v>
      </c>
      <c r="F462" s="52">
        <f>SUMIF('Customer Budget Per Category'!$A:$A,$A462,'Customer Budget Per Category'!$N:$N)</f>
        <v>567.24368781400483</v>
      </c>
      <c r="G462" s="52">
        <f>SUMIFS('Navision sales Dump'!$E:$E,'Navision sales Dump'!$K:$K,$E462,'Navision sales Dump'!$A:$A,$A462)</f>
        <v>0</v>
      </c>
      <c r="H462" s="62">
        <f>SUMIFS('Navision sales Dump'!$G:$G,'Navision sales Dump'!$K:$K,$E462,'Navision sales Dump'!$A:$A,$A462)</f>
        <v>0</v>
      </c>
      <c r="I462" s="72">
        <f>IFERROR(IF(($G462/$F462)&gt;='Discount Scheme Target'!$F$4,_xlfn.XLOOKUP($E462,'Discount Scheme Target'!$B:$B,'Discount Scheme Target'!$F:$F,0,0),IF(($G462/$F462)&gt;='Discount Scheme Target'!$E$4,_xlfn.XLOOKUP($E462,'Discount Scheme Target'!$B:$B,'Discount Scheme Target'!$E:$E,0,0),IF(($G462/$F462)&gt;='Discount Scheme Target'!$D$4,_xlfn.XLOOKUP($E462,'Discount Scheme Target'!$B:$B,'Discount Scheme Target'!$D:$D,0,0),0))),0)</f>
        <v>0</v>
      </c>
      <c r="J462" s="72">
        <f>IF(SUMIF('Customer Num Distr.'!$A:$A,Workings!$A462,'Customer Num Distr.'!$E:$E)&gt;='Discount Scheme Target'!$G$4,_xlfn.XLOOKUP(Workings!$E462,'Discount Scheme Target'!$B:$B,'Discount Scheme Target'!$G:$G,0,0),0)</f>
        <v>0</v>
      </c>
      <c r="K462" s="72">
        <f>IF(SUMIF('Bouclage EG Cust Cons_Decons'!$A:$A,Workings!$A462,'Bouclage EG Cust Cons_Decons'!$F:$F)&gt;='Discount Scheme Target'!$H$4,_xlfn.XLOOKUP(Workings!$E462,'Discount Scheme Target'!$B:$B,'Discount Scheme Target'!$H:$H,0,0),0)</f>
        <v>0</v>
      </c>
      <c r="L462" s="72">
        <f>IF(INDEX('TT Around time'!$A$1:$F$46,MATCH($A462,'TT Around time'!$A:$A,0),6)&gt;='Discount Scheme Target'!$I$4,_xlfn.XLOOKUP(Workings!$E462,'Discount Scheme Target'!$B:$B,'Discount Scheme Target'!$I:$I,0,0),0)</f>
        <v>0</v>
      </c>
      <c r="M462" s="72">
        <f t="shared" si="68"/>
        <v>0</v>
      </c>
      <c r="N462" s="62">
        <f t="shared" si="75"/>
        <v>0</v>
      </c>
      <c r="T462" s="61">
        <f t="shared" si="69"/>
        <v>0</v>
      </c>
      <c r="U462" s="61">
        <f t="shared" si="70"/>
        <v>0</v>
      </c>
      <c r="V462" s="61">
        <f t="shared" si="71"/>
        <v>0</v>
      </c>
      <c r="W462" s="61">
        <f t="shared" si="72"/>
        <v>0</v>
      </c>
      <c r="X462" s="61">
        <f t="shared" si="73"/>
        <v>0</v>
      </c>
      <c r="Y462" s="61">
        <f t="shared" si="74"/>
        <v>0</v>
      </c>
    </row>
    <row r="463" spans="1:25" x14ac:dyDescent="0.25">
      <c r="A463" s="51">
        <v>3300002027</v>
      </c>
      <c r="B463" s="51" t="s">
        <v>117</v>
      </c>
      <c r="C463" s="51" t="s">
        <v>151</v>
      </c>
      <c r="D463" s="51" t="s">
        <v>141</v>
      </c>
      <c r="E463" s="51" t="s">
        <v>133</v>
      </c>
      <c r="F463" s="52">
        <f>SUMIF('Customer Budget Per Category'!$A:$A,$A463,'Customer Budget Per Category'!$O:$O)</f>
        <v>692.30308967315193</v>
      </c>
      <c r="G463" s="52">
        <f>SUMIFS('Navision sales Dump'!$E:$E,'Navision sales Dump'!$K:$K,$E463,'Navision sales Dump'!$A:$A,$A463)</f>
        <v>216</v>
      </c>
      <c r="H463" s="62">
        <f>SUMIFS('Navision sales Dump'!$G:$G,'Navision sales Dump'!$K:$K,$E463,'Navision sales Dump'!$A:$A,$A463)</f>
        <v>2165914.08</v>
      </c>
      <c r="I463" s="72">
        <f>IFERROR(IF(($G463/$F463)&gt;='Discount Scheme Target'!$F$4,_xlfn.XLOOKUP($E463,'Discount Scheme Target'!$B:$B,'Discount Scheme Target'!$F:$F,0,0),IF(($G463/$F463)&gt;='Discount Scheme Target'!$E$4,_xlfn.XLOOKUP($E463,'Discount Scheme Target'!$B:$B,'Discount Scheme Target'!$E:$E,0,0),IF(($G463/$F463)&gt;='Discount Scheme Target'!$D$4,_xlfn.XLOOKUP($E463,'Discount Scheme Target'!$B:$B,'Discount Scheme Target'!$D:$D,0,0),0))),0)</f>
        <v>0</v>
      </c>
      <c r="J463" s="72">
        <f>IF(SUMIF('Customer Num Distr.'!$A:$A,Workings!$A463,'Customer Num Distr.'!$E:$E)&gt;='Discount Scheme Target'!$G$4,_xlfn.XLOOKUP(Workings!$E463,'Discount Scheme Target'!$B:$B,'Discount Scheme Target'!$G:$G,0,0),0)</f>
        <v>0</v>
      </c>
      <c r="K463" s="72">
        <f>IF(SUMIF('Bouclage EG Cust Cons_Decons'!$A:$A,Workings!$A463,'Bouclage EG Cust Cons_Decons'!$F:$F)&gt;='Discount Scheme Target'!$H$4,_xlfn.XLOOKUP(Workings!$E463,'Discount Scheme Target'!$B:$B,'Discount Scheme Target'!$H:$H,0,0),0)</f>
        <v>0</v>
      </c>
      <c r="L463" s="72">
        <f>IF(INDEX('TT Around time'!$A$1:$F$46,MATCH($A463,'TT Around time'!$A:$A,0),6)&gt;='Discount Scheme Target'!$I$4,_xlfn.XLOOKUP(Workings!$E463,'Discount Scheme Target'!$B:$B,'Discount Scheme Target'!$I:$I,0,0),0)</f>
        <v>0</v>
      </c>
      <c r="M463" s="72">
        <f t="shared" si="68"/>
        <v>0</v>
      </c>
      <c r="N463" s="62">
        <f t="shared" si="75"/>
        <v>0</v>
      </c>
      <c r="T463" s="61">
        <f t="shared" si="69"/>
        <v>0</v>
      </c>
      <c r="U463" s="61">
        <f t="shared" si="70"/>
        <v>0</v>
      </c>
      <c r="V463" s="61">
        <f t="shared" si="71"/>
        <v>0</v>
      </c>
      <c r="W463" s="61">
        <f t="shared" si="72"/>
        <v>0</v>
      </c>
      <c r="X463" s="61">
        <f t="shared" si="73"/>
        <v>0</v>
      </c>
      <c r="Y463" s="61">
        <f t="shared" si="74"/>
        <v>0</v>
      </c>
    </row>
    <row r="464" spans="1:25" x14ac:dyDescent="0.25">
      <c r="A464" s="51">
        <v>3300002028</v>
      </c>
      <c r="B464" s="51" t="s">
        <v>118</v>
      </c>
      <c r="C464" s="51" t="s">
        <v>151</v>
      </c>
      <c r="D464" s="51" t="s">
        <v>141</v>
      </c>
      <c r="E464" s="51" t="s">
        <v>417</v>
      </c>
      <c r="F464" s="52">
        <f>SUMIF('Customer Budget Per Category'!$A:$A,$A464,'Customer Budget Per Category'!$E:$E)</f>
        <v>18346.665775427326</v>
      </c>
      <c r="G464" s="52">
        <f>SUMIFS('Navision sales Dump'!$E:$E,'Navision sales Dump'!$K:$K,$E464,'Navision sales Dump'!$A:$A,$A464)</f>
        <v>13230</v>
      </c>
      <c r="H464" s="62">
        <f>SUMIFS('Navision sales Dump'!$G:$G,'Navision sales Dump'!$K:$K,$E464,'Navision sales Dump'!$A:$A,$A464)</f>
        <v>94964804.919999987</v>
      </c>
      <c r="I464" s="72">
        <f>IFERROR(IF(($G464/$F464)&gt;='Discount Scheme Target'!$F$4,_xlfn.XLOOKUP($E464,'Discount Scheme Target'!$B:$B,'Discount Scheme Target'!$F:$F,0,0),IF(($G464/$F464)&gt;='Discount Scheme Target'!$E$4,_xlfn.XLOOKUP($E464,'Discount Scheme Target'!$B:$B,'Discount Scheme Target'!$E:$E,0,0),IF(($G464/$F464)&gt;='Discount Scheme Target'!$D$4,_xlfn.XLOOKUP($E464,'Discount Scheme Target'!$B:$B,'Discount Scheme Target'!$D:$D,0,0),0))),0)</f>
        <v>0</v>
      </c>
      <c r="J464" s="72">
        <f>IF(SUMIF('Customer Num Distr.'!$A:$A,Workings!$A464,'Customer Num Distr.'!$E:$E)&gt;='Discount Scheme Target'!$G$4,_xlfn.XLOOKUP(Workings!$E464,'Discount Scheme Target'!$B:$B,'Discount Scheme Target'!$G:$G,0,0),0)</f>
        <v>0</v>
      </c>
      <c r="K464" s="72">
        <f>IF(SUMIF('Bouclage EG Cust Cons_Decons'!$A:$A,Workings!$A464,'Bouclage EG Cust Cons_Decons'!$F:$F)&gt;='Discount Scheme Target'!$H$4,_xlfn.XLOOKUP(Workings!$E464,'Discount Scheme Target'!$B:$B,'Discount Scheme Target'!$H:$H,0,0),0)</f>
        <v>0</v>
      </c>
      <c r="L464" s="72">
        <f>IF(INDEX('TT Around time'!$A$1:$F$46,MATCH($A464,'TT Around time'!$A:$A,0),6)&gt;='Discount Scheme Target'!$I$4,_xlfn.XLOOKUP(Workings!$E464,'Discount Scheme Target'!$B:$B,'Discount Scheme Target'!$I:$I,0,0),0)</f>
        <v>0.01</v>
      </c>
      <c r="M464" s="72">
        <f t="shared" si="68"/>
        <v>0.01</v>
      </c>
      <c r="N464" s="62">
        <f t="shared" si="75"/>
        <v>1316921.7961420228</v>
      </c>
      <c r="T464" s="61">
        <f t="shared" si="69"/>
        <v>0</v>
      </c>
      <c r="U464" s="61">
        <f t="shared" si="70"/>
        <v>0</v>
      </c>
      <c r="V464" s="61">
        <f t="shared" si="71"/>
        <v>0</v>
      </c>
      <c r="W464" s="61">
        <f t="shared" si="72"/>
        <v>1316921.7961420228</v>
      </c>
      <c r="X464" s="61">
        <f t="shared" si="73"/>
        <v>1316921.7961420228</v>
      </c>
      <c r="Y464" s="61">
        <f t="shared" si="74"/>
        <v>0</v>
      </c>
    </row>
    <row r="465" spans="1:25" x14ac:dyDescent="0.25">
      <c r="A465" s="51">
        <v>3300002028</v>
      </c>
      <c r="B465" s="51" t="s">
        <v>118</v>
      </c>
      <c r="C465" s="51" t="s">
        <v>151</v>
      </c>
      <c r="D465" s="51" t="s">
        <v>141</v>
      </c>
      <c r="E465" s="51" t="s">
        <v>418</v>
      </c>
      <c r="F465" s="52">
        <f>SUMIF('Customer Budget Per Category'!$A:$A,$A465,'Customer Budget Per Category'!$F:$F)</f>
        <v>0</v>
      </c>
      <c r="G465" s="52">
        <f>SUMIFS('Navision sales Dump'!$E:$E,'Navision sales Dump'!$K:$K,$E465,'Navision sales Dump'!$A:$A,$A465)</f>
        <v>0</v>
      </c>
      <c r="H465" s="62">
        <f>SUMIFS('Navision sales Dump'!$G:$G,'Navision sales Dump'!$K:$K,$E465,'Navision sales Dump'!$A:$A,$A465)</f>
        <v>0</v>
      </c>
      <c r="I465" s="72">
        <f>IFERROR(IF(($G465/$F465)&gt;='Discount Scheme Target'!$F$4,_xlfn.XLOOKUP($E465,'Discount Scheme Target'!$B:$B,'Discount Scheme Target'!$F:$F,0,0),IF(($G465/$F465)&gt;='Discount Scheme Target'!$E$4,_xlfn.XLOOKUP($E465,'Discount Scheme Target'!$B:$B,'Discount Scheme Target'!$E:$E,0,0),IF(($G465/$F465)&gt;='Discount Scheme Target'!$D$4,_xlfn.XLOOKUP($E465,'Discount Scheme Target'!$B:$B,'Discount Scheme Target'!$D:$D,0,0),0))),0)</f>
        <v>0</v>
      </c>
      <c r="J465" s="72">
        <f>IF(SUMIF('Customer Num Distr.'!$A:$A,Workings!$A465,'Customer Num Distr.'!$E:$E)&gt;='Discount Scheme Target'!$G$4,_xlfn.XLOOKUP(Workings!$E465,'Discount Scheme Target'!$B:$B,'Discount Scheme Target'!$G:$G,0,0),0)</f>
        <v>0</v>
      </c>
      <c r="K465" s="72">
        <f>IF(SUMIF('Bouclage EG Cust Cons_Decons'!$A:$A,Workings!$A465,'Bouclage EG Cust Cons_Decons'!$F:$F)&gt;='Discount Scheme Target'!$H$4,_xlfn.XLOOKUP(Workings!$E465,'Discount Scheme Target'!$B:$B,'Discount Scheme Target'!$H:$H,0,0),0)</f>
        <v>0</v>
      </c>
      <c r="L465" s="72">
        <f>IF(INDEX('TT Around time'!$A$1:$F$46,MATCH($A465,'TT Around time'!$A:$A,0),6)&gt;='Discount Scheme Target'!$I$4,_xlfn.XLOOKUP(Workings!$E465,'Discount Scheme Target'!$B:$B,'Discount Scheme Target'!$I:$I,0,0),0)</f>
        <v>0</v>
      </c>
      <c r="M465" s="72">
        <f t="shared" si="68"/>
        <v>0</v>
      </c>
      <c r="N465" s="62">
        <f t="shared" si="75"/>
        <v>0</v>
      </c>
      <c r="T465" s="61">
        <f t="shared" si="69"/>
        <v>0</v>
      </c>
      <c r="U465" s="61">
        <f t="shared" si="70"/>
        <v>0</v>
      </c>
      <c r="V465" s="61">
        <f t="shared" si="71"/>
        <v>0</v>
      </c>
      <c r="W465" s="61">
        <f t="shared" si="72"/>
        <v>0</v>
      </c>
      <c r="X465" s="61">
        <f t="shared" si="73"/>
        <v>0</v>
      </c>
      <c r="Y465" s="61">
        <f t="shared" si="74"/>
        <v>0</v>
      </c>
    </row>
    <row r="466" spans="1:25" x14ac:dyDescent="0.25">
      <c r="A466" s="51">
        <v>3300002028</v>
      </c>
      <c r="B466" s="51" t="s">
        <v>118</v>
      </c>
      <c r="C466" s="51" t="s">
        <v>151</v>
      </c>
      <c r="D466" s="51" t="s">
        <v>141</v>
      </c>
      <c r="E466" s="51" t="s">
        <v>130</v>
      </c>
      <c r="F466" s="52">
        <f>SUMIF('Customer Budget Per Category'!$A:$A,$A466,'Customer Budget Per Category'!$G:$G)</f>
        <v>462.25092338372065</v>
      </c>
      <c r="G466" s="52">
        <f>SUMIFS('Navision sales Dump'!$E:$E,'Navision sales Dump'!$K:$K,$E466,'Navision sales Dump'!$A:$A,$A466)</f>
        <v>336</v>
      </c>
      <c r="H466" s="62">
        <f>SUMIFS('Navision sales Dump'!$G:$G,'Navision sales Dump'!$K:$K,$E466,'Navision sales Dump'!$A:$A,$A466)</f>
        <v>2595707.52</v>
      </c>
      <c r="I466" s="72">
        <f>IFERROR(IF(($G466/$F466)&gt;='Discount Scheme Target'!$F$4,_xlfn.XLOOKUP($E466,'Discount Scheme Target'!$B:$B,'Discount Scheme Target'!$F:$F,0,0),IF(($G466/$F466)&gt;='Discount Scheme Target'!$E$4,_xlfn.XLOOKUP($E466,'Discount Scheme Target'!$B:$B,'Discount Scheme Target'!$E:$E,0,0),IF(($G466/$F466)&gt;='Discount Scheme Target'!$D$4,_xlfn.XLOOKUP($E466,'Discount Scheme Target'!$B:$B,'Discount Scheme Target'!$D:$D,0,0),0))),0)</f>
        <v>0</v>
      </c>
      <c r="J466" s="72">
        <f>IF(SUMIF('Customer Num Distr.'!$A:$A,Workings!$A466,'Customer Num Distr.'!$E:$E)&gt;='Discount Scheme Target'!$G$4,_xlfn.XLOOKUP(Workings!$E466,'Discount Scheme Target'!$B:$B,'Discount Scheme Target'!$G:$G,0,0),0)</f>
        <v>0</v>
      </c>
      <c r="K466" s="72">
        <f>IF(SUMIF('Bouclage EG Cust Cons_Decons'!$A:$A,Workings!$A466,'Bouclage EG Cust Cons_Decons'!$F:$F)&gt;='Discount Scheme Target'!$H$4,_xlfn.XLOOKUP(Workings!$E466,'Discount Scheme Target'!$B:$B,'Discount Scheme Target'!$H:$H,0,0),0)</f>
        <v>0</v>
      </c>
      <c r="L466" s="72">
        <f>IF(INDEX('TT Around time'!$A$1:$F$46,MATCH($A466,'TT Around time'!$A:$A,0),6)&gt;='Discount Scheme Target'!$I$4,_xlfn.XLOOKUP(Workings!$E466,'Discount Scheme Target'!$B:$B,'Discount Scheme Target'!$I:$I,0,0),0)</f>
        <v>0.01</v>
      </c>
      <c r="M466" s="72">
        <f t="shared" si="68"/>
        <v>0.01</v>
      </c>
      <c r="N466" s="62">
        <f t="shared" si="75"/>
        <v>35710.363034347247</v>
      </c>
      <c r="T466" s="61">
        <f t="shared" si="69"/>
        <v>0</v>
      </c>
      <c r="U466" s="61">
        <f t="shared" si="70"/>
        <v>0</v>
      </c>
      <c r="V466" s="61">
        <f t="shared" si="71"/>
        <v>0</v>
      </c>
      <c r="W466" s="61">
        <f t="shared" si="72"/>
        <v>35710.363034347247</v>
      </c>
      <c r="X466" s="61">
        <f t="shared" si="73"/>
        <v>35710.363034347247</v>
      </c>
      <c r="Y466" s="61">
        <f t="shared" si="74"/>
        <v>0</v>
      </c>
    </row>
    <row r="467" spans="1:25" x14ac:dyDescent="0.25">
      <c r="A467" s="51">
        <v>3300002028</v>
      </c>
      <c r="B467" s="51" t="s">
        <v>118</v>
      </c>
      <c r="C467" s="51" t="s">
        <v>151</v>
      </c>
      <c r="D467" s="51" t="s">
        <v>141</v>
      </c>
      <c r="E467" s="51" t="s">
        <v>131</v>
      </c>
      <c r="F467" s="52">
        <f>SUMIF('Customer Budget Per Category'!$A:$A,$A467,'Customer Budget Per Category'!$H:$H)</f>
        <v>186.58020458352598</v>
      </c>
      <c r="G467" s="52">
        <f>SUMIFS('Navision sales Dump'!$E:$E,'Navision sales Dump'!$K:$K,$E467,'Navision sales Dump'!$A:$A,$A467)</f>
        <v>121</v>
      </c>
      <c r="H467" s="62">
        <f>SUMIFS('Navision sales Dump'!$G:$G,'Navision sales Dump'!$K:$K,$E467,'Navision sales Dump'!$A:$A,$A467)</f>
        <v>4788631.3900000006</v>
      </c>
      <c r="I467" s="72">
        <f>IFERROR(IF(($G467/$F467)&gt;='Discount Scheme Target'!$F$4,_xlfn.XLOOKUP($E467,'Discount Scheme Target'!$B:$B,'Discount Scheme Target'!$F:$F,0,0),IF(($G467/$F467)&gt;='Discount Scheme Target'!$E$4,_xlfn.XLOOKUP($E467,'Discount Scheme Target'!$B:$B,'Discount Scheme Target'!$E:$E,0,0),IF(($G467/$F467)&gt;='Discount Scheme Target'!$D$4,_xlfn.XLOOKUP($E467,'Discount Scheme Target'!$B:$B,'Discount Scheme Target'!$D:$D,0,0),0))),0)</f>
        <v>0</v>
      </c>
      <c r="J467" s="72">
        <f>IF(SUMIF('Customer Num Distr.'!$A:$A,Workings!$A467,'Customer Num Distr.'!$E:$E)&gt;='Discount Scheme Target'!$G$4,_xlfn.XLOOKUP(Workings!$E467,'Discount Scheme Target'!$B:$B,'Discount Scheme Target'!$G:$G,0,0),0)</f>
        <v>0</v>
      </c>
      <c r="K467" s="72">
        <f>IF(SUMIF('Bouclage EG Cust Cons_Decons'!$A:$A,Workings!$A467,'Bouclage EG Cust Cons_Decons'!$F:$F)&gt;='Discount Scheme Target'!$H$4,_xlfn.XLOOKUP(Workings!$E467,'Discount Scheme Target'!$B:$B,'Discount Scheme Target'!$H:$H,0,0),0)</f>
        <v>0</v>
      </c>
      <c r="L467" s="72">
        <f>IF(INDEX('TT Around time'!$A$1:$F$46,MATCH($A467,'TT Around time'!$A:$A,0),6)&gt;='Discount Scheme Target'!$I$4,_xlfn.XLOOKUP(Workings!$E467,'Discount Scheme Target'!$B:$B,'Discount Scheme Target'!$I:$I,0,0),0)</f>
        <v>5.0000000000000001E-3</v>
      </c>
      <c r="M467" s="72">
        <f t="shared" si="68"/>
        <v>5.0000000000000001E-3</v>
      </c>
      <c r="N467" s="62">
        <f t="shared" si="75"/>
        <v>36919.992744681593</v>
      </c>
      <c r="T467" s="61">
        <f t="shared" si="69"/>
        <v>0</v>
      </c>
      <c r="U467" s="61">
        <f t="shared" si="70"/>
        <v>0</v>
      </c>
      <c r="V467" s="61">
        <f t="shared" si="71"/>
        <v>0</v>
      </c>
      <c r="W467" s="61">
        <f t="shared" si="72"/>
        <v>36919.992744681593</v>
      </c>
      <c r="X467" s="61">
        <f t="shared" si="73"/>
        <v>36919.992744681593</v>
      </c>
      <c r="Y467" s="61">
        <f t="shared" si="74"/>
        <v>0</v>
      </c>
    </row>
    <row r="468" spans="1:25" x14ac:dyDescent="0.25">
      <c r="A468" s="51">
        <v>3300002028</v>
      </c>
      <c r="B468" s="51" t="s">
        <v>118</v>
      </c>
      <c r="C468" s="51" t="s">
        <v>151</v>
      </c>
      <c r="D468" s="51" t="s">
        <v>141</v>
      </c>
      <c r="E468" s="51" t="s">
        <v>514</v>
      </c>
      <c r="F468" s="52">
        <f>SUMIF('Customer Budget Per Category'!$A:$A,$A468,'Customer Budget Per Category'!$I:$I)</f>
        <v>7784.9455895724404</v>
      </c>
      <c r="G468" s="52">
        <f>SUMIFS('Navision sales Dump'!$E:$E,'Navision sales Dump'!$K:$K,$E468,'Navision sales Dump'!$A:$A,$A468)</f>
        <v>5459</v>
      </c>
      <c r="H468" s="62">
        <f>SUMIFS('Navision sales Dump'!$G:$G,'Navision sales Dump'!$K:$K,$E468,'Navision sales Dump'!$A:$A,$A468)</f>
        <v>21606885.769999996</v>
      </c>
      <c r="I468" s="72">
        <f>IFERROR(IF(($G468/$F468)&gt;='Discount Scheme Target'!$F$4,_xlfn.XLOOKUP($E468,'Discount Scheme Target'!$B:$B,'Discount Scheme Target'!$F:$F,0,0),IF(($G468/$F468)&gt;='Discount Scheme Target'!$E$4,_xlfn.XLOOKUP($E468,'Discount Scheme Target'!$B:$B,'Discount Scheme Target'!$E:$E,0,0),IF(($G468/$F468)&gt;='Discount Scheme Target'!$D$4,_xlfn.XLOOKUP($E468,'Discount Scheme Target'!$B:$B,'Discount Scheme Target'!$D:$D,0,0),0))),0)</f>
        <v>0</v>
      </c>
      <c r="J468" s="72">
        <f>IF(SUMIF('Customer Num Distr.'!$A:$A,Workings!$A468,'Customer Num Distr.'!$E:$E)&gt;='Discount Scheme Target'!$G$4,_xlfn.XLOOKUP(Workings!$E468,'Discount Scheme Target'!$B:$B,'Discount Scheme Target'!$G:$G,0,0),0)</f>
        <v>0</v>
      </c>
      <c r="K468" s="72">
        <f>IF(SUMIF('Bouclage EG Cust Cons_Decons'!$A:$A,Workings!$A468,'Bouclage EG Cust Cons_Decons'!$F:$F)&gt;='Discount Scheme Target'!$H$4,_xlfn.XLOOKUP(Workings!$E468,'Discount Scheme Target'!$B:$B,'Discount Scheme Target'!$H:$H,0,0),0)</f>
        <v>0</v>
      </c>
      <c r="L468" s="72">
        <f>IF(INDEX('TT Around time'!$A$1:$F$46,MATCH($A468,'TT Around time'!$A:$A,0),6)&gt;='Discount Scheme Target'!$I$4,_xlfn.XLOOKUP(Workings!$E468,'Discount Scheme Target'!$B:$B,'Discount Scheme Target'!$I:$I,0,0),0)</f>
        <v>5.0000000000000001E-3</v>
      </c>
      <c r="M468" s="72">
        <f t="shared" si="68"/>
        <v>5.0000000000000001E-3</v>
      </c>
      <c r="N468" s="62">
        <f t="shared" si="75"/>
        <v>154065.240959477</v>
      </c>
      <c r="T468" s="61">
        <f t="shared" si="69"/>
        <v>0</v>
      </c>
      <c r="U468" s="61">
        <f t="shared" si="70"/>
        <v>0</v>
      </c>
      <c r="V468" s="61">
        <f t="shared" si="71"/>
        <v>0</v>
      </c>
      <c r="W468" s="61">
        <f t="shared" si="72"/>
        <v>154065.240959477</v>
      </c>
      <c r="X468" s="61">
        <f t="shared" si="73"/>
        <v>154065.240959477</v>
      </c>
      <c r="Y468" s="61">
        <f t="shared" si="74"/>
        <v>0</v>
      </c>
    </row>
    <row r="469" spans="1:25" x14ac:dyDescent="0.25">
      <c r="A469" s="51">
        <v>3300002028</v>
      </c>
      <c r="B469" s="51" t="s">
        <v>118</v>
      </c>
      <c r="C469" s="51" t="s">
        <v>151</v>
      </c>
      <c r="D469" s="51" t="s">
        <v>141</v>
      </c>
      <c r="E469" s="51" t="s">
        <v>515</v>
      </c>
      <c r="F469" s="52">
        <f>SUMIF('Customer Budget Per Category'!$A:$A,$A469,'Customer Budget Per Category'!$J:$J)</f>
        <v>1049.3392308566265</v>
      </c>
      <c r="G469" s="52">
        <f>SUMIFS('Navision sales Dump'!$E:$E,'Navision sales Dump'!$K:$K,$E469,'Navision sales Dump'!$A:$A,$A469)</f>
        <v>411</v>
      </c>
      <c r="H469" s="62">
        <f>SUMIFS('Navision sales Dump'!$G:$G,'Navision sales Dump'!$K:$K,$E469,'Navision sales Dump'!$A:$A,$A469)</f>
        <v>1160211.8999999999</v>
      </c>
      <c r="I469" s="72">
        <f>IFERROR(IF(($G469/$F469)&gt;='Discount Scheme Target'!$F$4,_xlfn.XLOOKUP($E469,'Discount Scheme Target'!$B:$B,'Discount Scheme Target'!$F:$F,0,0),IF(($G469/$F469)&gt;='Discount Scheme Target'!$E$4,_xlfn.XLOOKUP($E469,'Discount Scheme Target'!$B:$B,'Discount Scheme Target'!$E:$E,0,0),IF(($G469/$F469)&gt;='Discount Scheme Target'!$D$4,_xlfn.XLOOKUP($E469,'Discount Scheme Target'!$B:$B,'Discount Scheme Target'!$D:$D,0,0),0))),0)</f>
        <v>0</v>
      </c>
      <c r="J469" s="72">
        <f>IF(SUMIF('Customer Num Distr.'!$A:$A,Workings!$A469,'Customer Num Distr.'!$E:$E)&gt;='Discount Scheme Target'!$G$4,_xlfn.XLOOKUP(Workings!$E469,'Discount Scheme Target'!$B:$B,'Discount Scheme Target'!$G:$G,0,0),0)</f>
        <v>0</v>
      </c>
      <c r="K469" s="72">
        <f>IF(SUMIF('Bouclage EG Cust Cons_Decons'!$A:$A,Workings!$A469,'Bouclage EG Cust Cons_Decons'!$F:$F)&gt;='Discount Scheme Target'!$H$4,_xlfn.XLOOKUP(Workings!$E469,'Discount Scheme Target'!$B:$B,'Discount Scheme Target'!$H:$H,0,0),0)</f>
        <v>0</v>
      </c>
      <c r="L469" s="72">
        <f>IF(INDEX('TT Around time'!$A$1:$F$46,MATCH($A469,'TT Around time'!$A:$A,0),6)&gt;='Discount Scheme Target'!$I$4,_xlfn.XLOOKUP(Workings!$E469,'Discount Scheme Target'!$B:$B,'Discount Scheme Target'!$I:$I,0,0),0)</f>
        <v>5.0000000000000001E-3</v>
      </c>
      <c r="M469" s="72">
        <f t="shared" si="68"/>
        <v>5.0000000000000001E-3</v>
      </c>
      <c r="N469" s="62">
        <f t="shared" si="75"/>
        <v>14810.898573925853</v>
      </c>
      <c r="T469" s="61">
        <f t="shared" si="69"/>
        <v>0</v>
      </c>
      <c r="U469" s="61">
        <f t="shared" si="70"/>
        <v>0</v>
      </c>
      <c r="V469" s="61">
        <f t="shared" si="71"/>
        <v>0</v>
      </c>
      <c r="W469" s="61">
        <f t="shared" si="72"/>
        <v>14810.898573925853</v>
      </c>
      <c r="X469" s="61">
        <f t="shared" si="73"/>
        <v>14810.898573925853</v>
      </c>
      <c r="Y469" s="61">
        <f t="shared" si="74"/>
        <v>0</v>
      </c>
    </row>
    <row r="470" spans="1:25" x14ac:dyDescent="0.25">
      <c r="A470" s="51">
        <v>3300002028</v>
      </c>
      <c r="B470" s="51" t="s">
        <v>118</v>
      </c>
      <c r="C470" s="51" t="s">
        <v>151</v>
      </c>
      <c r="D470" s="51" t="s">
        <v>141</v>
      </c>
      <c r="E470" s="51" t="s">
        <v>161</v>
      </c>
      <c r="F470" s="52">
        <f>SUMIF('Customer Budget Per Category'!$A:$A,$A470,'Customer Budget Per Category'!$K:$K)</f>
        <v>0</v>
      </c>
      <c r="G470" s="52">
        <f>SUMIFS('Navision sales Dump'!$E:$E,'Navision sales Dump'!$K:$K,$E470,'Navision sales Dump'!$A:$A,$A470)</f>
        <v>0</v>
      </c>
      <c r="H470" s="62">
        <f>SUMIFS('Navision sales Dump'!$G:$G,'Navision sales Dump'!$K:$K,$E470,'Navision sales Dump'!$A:$A,$A470)</f>
        <v>0</v>
      </c>
      <c r="I470" s="72">
        <f>IFERROR(IF(($G470/$F470)&gt;='Discount Scheme Target'!$F$4,_xlfn.XLOOKUP($E470,'Discount Scheme Target'!$B:$B,'Discount Scheme Target'!$F:$F,0,0),IF(($G470/$F470)&gt;='Discount Scheme Target'!$E$4,_xlfn.XLOOKUP($E470,'Discount Scheme Target'!$B:$B,'Discount Scheme Target'!$E:$E,0,0),IF(($G470/$F470)&gt;='Discount Scheme Target'!$D$4,_xlfn.XLOOKUP($E470,'Discount Scheme Target'!$B:$B,'Discount Scheme Target'!$D:$D,0,0),0))),0)</f>
        <v>0</v>
      </c>
      <c r="J470" s="72">
        <f>IF(SUMIF('Customer Num Distr.'!$A:$A,Workings!$A470,'Customer Num Distr.'!$E:$E)&gt;='Discount Scheme Target'!$G$4,_xlfn.XLOOKUP(Workings!$E470,'Discount Scheme Target'!$B:$B,'Discount Scheme Target'!$G:$G,0,0),0)</f>
        <v>0</v>
      </c>
      <c r="K470" s="72">
        <f>IF(SUMIF('Bouclage EG Cust Cons_Decons'!$A:$A,Workings!$A470,'Bouclage EG Cust Cons_Decons'!$F:$F)&gt;='Discount Scheme Target'!$H$4,_xlfn.XLOOKUP(Workings!$E470,'Discount Scheme Target'!$B:$B,'Discount Scheme Target'!$H:$H,0,0),0)</f>
        <v>0</v>
      </c>
      <c r="L470" s="72">
        <f>IF(INDEX('TT Around time'!$A$1:$F$46,MATCH($A470,'TT Around time'!$A:$A,0),6)&gt;='Discount Scheme Target'!$I$4,_xlfn.XLOOKUP(Workings!$E470,'Discount Scheme Target'!$B:$B,'Discount Scheme Target'!$I:$I,0,0),0)</f>
        <v>0</v>
      </c>
      <c r="M470" s="72">
        <f t="shared" si="68"/>
        <v>0</v>
      </c>
      <c r="N470" s="62">
        <f t="shared" si="75"/>
        <v>0</v>
      </c>
      <c r="T470" s="61">
        <f t="shared" si="69"/>
        <v>0</v>
      </c>
      <c r="U470" s="61">
        <f t="shared" si="70"/>
        <v>0</v>
      </c>
      <c r="V470" s="61">
        <f t="shared" si="71"/>
        <v>0</v>
      </c>
      <c r="W470" s="61">
        <f t="shared" si="72"/>
        <v>0</v>
      </c>
      <c r="X470" s="61">
        <f t="shared" si="73"/>
        <v>0</v>
      </c>
      <c r="Y470" s="61">
        <f t="shared" si="74"/>
        <v>0</v>
      </c>
    </row>
    <row r="471" spans="1:25" x14ac:dyDescent="0.25">
      <c r="A471" s="51">
        <v>3300002028</v>
      </c>
      <c r="B471" s="51" t="s">
        <v>118</v>
      </c>
      <c r="C471" s="51" t="s">
        <v>151</v>
      </c>
      <c r="D471" s="51" t="s">
        <v>141</v>
      </c>
      <c r="E471" s="51" t="s">
        <v>354</v>
      </c>
      <c r="F471" s="52">
        <f>SUMIF('Customer Budget Per Category'!$A:$A,$A471,'Customer Budget Per Category'!$L:$L)</f>
        <v>3200.8747337841342</v>
      </c>
      <c r="G471" s="52">
        <f>SUMIFS('Navision sales Dump'!$E:$E,'Navision sales Dump'!$K:$K,$E471,'Navision sales Dump'!$A:$A,$A471)</f>
        <v>1762</v>
      </c>
      <c r="H471" s="62">
        <f>SUMIFS('Navision sales Dump'!$G:$G,'Navision sales Dump'!$K:$K,$E471,'Navision sales Dump'!$A:$A,$A471)</f>
        <v>6142864.6600000001</v>
      </c>
      <c r="I471" s="72">
        <f>IFERROR(IF(($G471/$F471)&gt;='Discount Scheme Target'!$F$4,_xlfn.XLOOKUP($E471,'Discount Scheme Target'!$B:$B,'Discount Scheme Target'!$F:$F,0,0),IF(($G471/$F471)&gt;='Discount Scheme Target'!$E$4,_xlfn.XLOOKUP($E471,'Discount Scheme Target'!$B:$B,'Discount Scheme Target'!$E:$E,0,0),IF(($G471/$F471)&gt;='Discount Scheme Target'!$D$4,_xlfn.XLOOKUP($E471,'Discount Scheme Target'!$B:$B,'Discount Scheme Target'!$D:$D,0,0),0))),0)</f>
        <v>0</v>
      </c>
      <c r="J471" s="72">
        <f>IF(SUMIF('Customer Num Distr.'!$A:$A,Workings!$A471,'Customer Num Distr.'!$E:$E)&gt;='Discount Scheme Target'!$G$4,_xlfn.XLOOKUP(Workings!$E471,'Discount Scheme Target'!$B:$B,'Discount Scheme Target'!$G:$G,0,0),0)</f>
        <v>0</v>
      </c>
      <c r="K471" s="72">
        <f>IF(SUMIF('Bouclage EG Cust Cons_Decons'!$A:$A,Workings!$A471,'Bouclage EG Cust Cons_Decons'!$F:$F)&gt;='Discount Scheme Target'!$H$4,_xlfn.XLOOKUP(Workings!$E471,'Discount Scheme Target'!$B:$B,'Discount Scheme Target'!$H:$H,0,0),0)</f>
        <v>0</v>
      </c>
      <c r="L471" s="72">
        <f>IF(INDEX('TT Around time'!$A$1:$F$46,MATCH($A471,'TT Around time'!$A:$A,0),6)&gt;='Discount Scheme Target'!$I$4,_xlfn.XLOOKUP(Workings!$E471,'Discount Scheme Target'!$B:$B,'Discount Scheme Target'!$I:$I,0,0),0)</f>
        <v>5.0000000000000001E-3</v>
      </c>
      <c r="M471" s="72">
        <f t="shared" si="68"/>
        <v>5.0000000000000001E-3</v>
      </c>
      <c r="N471" s="62">
        <f t="shared" si="75"/>
        <v>55796.084799232311</v>
      </c>
      <c r="T471" s="61">
        <f t="shared" si="69"/>
        <v>0</v>
      </c>
      <c r="U471" s="61">
        <f t="shared" si="70"/>
        <v>0</v>
      </c>
      <c r="V471" s="61">
        <f t="shared" si="71"/>
        <v>0</v>
      </c>
      <c r="W471" s="61">
        <f t="shared" si="72"/>
        <v>55796.084799232311</v>
      </c>
      <c r="X471" s="61">
        <f t="shared" si="73"/>
        <v>55796.084799232311</v>
      </c>
      <c r="Y471" s="61">
        <f t="shared" si="74"/>
        <v>0</v>
      </c>
    </row>
    <row r="472" spans="1:25" x14ac:dyDescent="0.25">
      <c r="A472" s="51">
        <v>3300002028</v>
      </c>
      <c r="B472" s="51" t="s">
        <v>118</v>
      </c>
      <c r="C472" s="51" t="s">
        <v>151</v>
      </c>
      <c r="D472" s="51" t="s">
        <v>141</v>
      </c>
      <c r="E472" s="51" t="s">
        <v>355</v>
      </c>
      <c r="F472" s="52">
        <f>SUMIF('Customer Budget Per Category'!$A:$A,$A472,'Customer Budget Per Category'!$M:$M)</f>
        <v>2232.0810080693095</v>
      </c>
      <c r="G472" s="52">
        <f>SUMIFS('Navision sales Dump'!$E:$E,'Navision sales Dump'!$K:$K,$E472,'Navision sales Dump'!$A:$A,$A472)</f>
        <v>766</v>
      </c>
      <c r="H472" s="62">
        <f>SUMIFS('Navision sales Dump'!$G:$G,'Navision sales Dump'!$K:$K,$E472,'Navision sales Dump'!$A:$A,$A472)</f>
        <v>2027649.22</v>
      </c>
      <c r="I472" s="72">
        <f>IFERROR(IF(($G472/$F472)&gt;='Discount Scheme Target'!$F$4,_xlfn.XLOOKUP($E472,'Discount Scheme Target'!$B:$B,'Discount Scheme Target'!$F:$F,0,0),IF(($G472/$F472)&gt;='Discount Scheme Target'!$E$4,_xlfn.XLOOKUP($E472,'Discount Scheme Target'!$B:$B,'Discount Scheme Target'!$E:$E,0,0),IF(($G472/$F472)&gt;='Discount Scheme Target'!$D$4,_xlfn.XLOOKUP($E472,'Discount Scheme Target'!$B:$B,'Discount Scheme Target'!$D:$D,0,0),0))),0)</f>
        <v>0</v>
      </c>
      <c r="J472" s="72">
        <f>IF(SUMIF('Customer Num Distr.'!$A:$A,Workings!$A472,'Customer Num Distr.'!$E:$E)&gt;='Discount Scheme Target'!$G$4,_xlfn.XLOOKUP(Workings!$E472,'Discount Scheme Target'!$B:$B,'Discount Scheme Target'!$G:$G,0,0),0)</f>
        <v>0</v>
      </c>
      <c r="K472" s="72">
        <f>IF(SUMIF('Bouclage EG Cust Cons_Decons'!$A:$A,Workings!$A472,'Bouclage EG Cust Cons_Decons'!$F:$F)&gt;='Discount Scheme Target'!$H$4,_xlfn.XLOOKUP(Workings!$E472,'Discount Scheme Target'!$B:$B,'Discount Scheme Target'!$H:$H,0,0),0)</f>
        <v>0</v>
      </c>
      <c r="L472" s="72">
        <f>IF(INDEX('TT Around time'!$A$1:$F$46,MATCH($A472,'TT Around time'!$A:$A,0),6)&gt;='Discount Scheme Target'!$I$4,_xlfn.XLOOKUP(Workings!$E472,'Discount Scheme Target'!$B:$B,'Discount Scheme Target'!$I:$I,0,0),0)</f>
        <v>5.0000000000000001E-3</v>
      </c>
      <c r="M472" s="72">
        <f t="shared" si="68"/>
        <v>5.0000000000000001E-3</v>
      </c>
      <c r="N472" s="62">
        <f t="shared" si="75"/>
        <v>29542.280123946141</v>
      </c>
      <c r="T472" s="61">
        <f t="shared" si="69"/>
        <v>0</v>
      </c>
      <c r="U472" s="61">
        <f t="shared" si="70"/>
        <v>0</v>
      </c>
      <c r="V472" s="61">
        <f t="shared" si="71"/>
        <v>0</v>
      </c>
      <c r="W472" s="61">
        <f t="shared" si="72"/>
        <v>29542.280123946141</v>
      </c>
      <c r="X472" s="61">
        <f t="shared" si="73"/>
        <v>29542.280123946141</v>
      </c>
      <c r="Y472" s="61">
        <f t="shared" si="74"/>
        <v>0</v>
      </c>
    </row>
    <row r="473" spans="1:25" x14ac:dyDescent="0.25">
      <c r="A473" s="51">
        <v>3300002028</v>
      </c>
      <c r="B473" s="51" t="s">
        <v>118</v>
      </c>
      <c r="C473" s="51" t="s">
        <v>151</v>
      </c>
      <c r="D473" s="51" t="s">
        <v>141</v>
      </c>
      <c r="E473" s="51" t="s">
        <v>132</v>
      </c>
      <c r="F473" s="52">
        <f>SUMIF('Customer Budget Per Category'!$A:$A,$A473,'Customer Budget Per Category'!$N:$N)</f>
        <v>667.19195101857633</v>
      </c>
      <c r="G473" s="52">
        <f>SUMIFS('Navision sales Dump'!$E:$E,'Navision sales Dump'!$K:$K,$E473,'Navision sales Dump'!$A:$A,$A473)</f>
        <v>144</v>
      </c>
      <c r="H473" s="62">
        <f>SUMIFS('Navision sales Dump'!$G:$G,'Navision sales Dump'!$K:$K,$E473,'Navision sales Dump'!$A:$A,$A473)</f>
        <v>314265.59999999998</v>
      </c>
      <c r="I473" s="72">
        <f>IFERROR(IF(($G473/$F473)&gt;='Discount Scheme Target'!$F$4,_xlfn.XLOOKUP($E473,'Discount Scheme Target'!$B:$B,'Discount Scheme Target'!$F:$F,0,0),IF(($G473/$F473)&gt;='Discount Scheme Target'!$E$4,_xlfn.XLOOKUP($E473,'Discount Scheme Target'!$B:$B,'Discount Scheme Target'!$E:$E,0,0),IF(($G473/$F473)&gt;='Discount Scheme Target'!$D$4,_xlfn.XLOOKUP($E473,'Discount Scheme Target'!$B:$B,'Discount Scheme Target'!$D:$D,0,0),0))),0)</f>
        <v>0</v>
      </c>
      <c r="J473" s="72">
        <f>IF(SUMIF('Customer Num Distr.'!$A:$A,Workings!$A473,'Customer Num Distr.'!$E:$E)&gt;='Discount Scheme Target'!$G$4,_xlfn.XLOOKUP(Workings!$E473,'Discount Scheme Target'!$B:$B,'Discount Scheme Target'!$G:$G,0,0),0)</f>
        <v>0</v>
      </c>
      <c r="K473" s="72">
        <f>IF(SUMIF('Bouclage EG Cust Cons_Decons'!$A:$A,Workings!$A473,'Bouclage EG Cust Cons_Decons'!$F:$F)&gt;='Discount Scheme Target'!$H$4,_xlfn.XLOOKUP(Workings!$E473,'Discount Scheme Target'!$B:$B,'Discount Scheme Target'!$H:$H,0,0),0)</f>
        <v>0</v>
      </c>
      <c r="L473" s="72">
        <f>IF(INDEX('TT Around time'!$A$1:$F$46,MATCH($A473,'TT Around time'!$A:$A,0),6)&gt;='Discount Scheme Target'!$I$4,_xlfn.XLOOKUP(Workings!$E473,'Discount Scheme Target'!$B:$B,'Discount Scheme Target'!$I:$I,0,0),0)</f>
        <v>5.0000000000000001E-3</v>
      </c>
      <c r="M473" s="72">
        <f t="shared" si="68"/>
        <v>5.0000000000000001E-3</v>
      </c>
      <c r="N473" s="62">
        <f t="shared" si="75"/>
        <v>7280.3985695147039</v>
      </c>
      <c r="T473" s="61">
        <f t="shared" si="69"/>
        <v>0</v>
      </c>
      <c r="U473" s="61">
        <f t="shared" si="70"/>
        <v>0</v>
      </c>
      <c r="V473" s="61">
        <f t="shared" si="71"/>
        <v>0</v>
      </c>
      <c r="W473" s="61">
        <f t="shared" si="72"/>
        <v>7280.3985695147039</v>
      </c>
      <c r="X473" s="61">
        <f t="shared" si="73"/>
        <v>7280.3985695147039</v>
      </c>
      <c r="Y473" s="61">
        <f t="shared" si="74"/>
        <v>0</v>
      </c>
    </row>
    <row r="474" spans="1:25" x14ac:dyDescent="0.25">
      <c r="A474" s="51">
        <v>3300002028</v>
      </c>
      <c r="B474" s="51" t="s">
        <v>118</v>
      </c>
      <c r="C474" s="51" t="s">
        <v>151</v>
      </c>
      <c r="D474" s="51" t="s">
        <v>141</v>
      </c>
      <c r="E474" s="51" t="s">
        <v>133</v>
      </c>
      <c r="F474" s="52">
        <f>SUMIF('Customer Budget Per Category'!$A:$A,$A474,'Customer Budget Per Category'!$O:$O)</f>
        <v>675.32562970841525</v>
      </c>
      <c r="G474" s="52">
        <f>SUMIFS('Navision sales Dump'!$E:$E,'Navision sales Dump'!$K:$K,$E474,'Navision sales Dump'!$A:$A,$A474)</f>
        <v>144</v>
      </c>
      <c r="H474" s="62">
        <f>SUMIFS('Navision sales Dump'!$G:$G,'Navision sales Dump'!$K:$K,$E474,'Navision sales Dump'!$A:$A,$A474)</f>
        <v>1443942.72</v>
      </c>
      <c r="I474" s="72">
        <f>IFERROR(IF(($G474/$F474)&gt;='Discount Scheme Target'!$F$4,_xlfn.XLOOKUP($E474,'Discount Scheme Target'!$B:$B,'Discount Scheme Target'!$F:$F,0,0),IF(($G474/$F474)&gt;='Discount Scheme Target'!$E$4,_xlfn.XLOOKUP($E474,'Discount Scheme Target'!$B:$B,'Discount Scheme Target'!$E:$E,0,0),IF(($G474/$F474)&gt;='Discount Scheme Target'!$D$4,_xlfn.XLOOKUP($E474,'Discount Scheme Target'!$B:$B,'Discount Scheme Target'!$D:$D,0,0),0))),0)</f>
        <v>0</v>
      </c>
      <c r="J474" s="72">
        <f>IF(SUMIF('Customer Num Distr.'!$A:$A,Workings!$A474,'Customer Num Distr.'!$E:$E)&gt;='Discount Scheme Target'!$G$4,_xlfn.XLOOKUP(Workings!$E474,'Discount Scheme Target'!$B:$B,'Discount Scheme Target'!$G:$G,0,0),0)</f>
        <v>0</v>
      </c>
      <c r="K474" s="72">
        <f>IF(SUMIF('Bouclage EG Cust Cons_Decons'!$A:$A,Workings!$A474,'Bouclage EG Cust Cons_Decons'!$F:$F)&gt;='Discount Scheme Target'!$H$4,_xlfn.XLOOKUP(Workings!$E474,'Discount Scheme Target'!$B:$B,'Discount Scheme Target'!$H:$H,0,0),0)</f>
        <v>0</v>
      </c>
      <c r="L474" s="72">
        <f>IF(INDEX('TT Around time'!$A$1:$F$46,MATCH($A474,'TT Around time'!$A:$A,0),6)&gt;='Discount Scheme Target'!$I$4,_xlfn.XLOOKUP(Workings!$E474,'Discount Scheme Target'!$B:$B,'Discount Scheme Target'!$I:$I,0,0),0)</f>
        <v>5.0000000000000001E-3</v>
      </c>
      <c r="M474" s="72">
        <f t="shared" si="68"/>
        <v>5.0000000000000001E-3</v>
      </c>
      <c r="N474" s="62">
        <f t="shared" si="75"/>
        <v>33858.733564127841</v>
      </c>
      <c r="T474" s="61">
        <f t="shared" si="69"/>
        <v>0</v>
      </c>
      <c r="U474" s="61">
        <f t="shared" si="70"/>
        <v>0</v>
      </c>
      <c r="V474" s="61">
        <f t="shared" si="71"/>
        <v>0</v>
      </c>
      <c r="W474" s="61">
        <f t="shared" si="72"/>
        <v>33858.733564127841</v>
      </c>
      <c r="X474" s="61">
        <f t="shared" si="73"/>
        <v>33858.733564127841</v>
      </c>
      <c r="Y474" s="61">
        <f t="shared" si="74"/>
        <v>0</v>
      </c>
    </row>
    <row r="475" spans="1:25" x14ac:dyDescent="0.25">
      <c r="A475" s="51">
        <v>3300002029</v>
      </c>
      <c r="B475" s="51" t="s">
        <v>119</v>
      </c>
      <c r="C475" s="51" t="s">
        <v>151</v>
      </c>
      <c r="D475" s="51" t="s">
        <v>141</v>
      </c>
      <c r="E475" s="51" t="s">
        <v>417</v>
      </c>
      <c r="F475" s="52">
        <f>SUMIF('Customer Budget Per Category'!$A:$A,$A475,'Customer Budget Per Category'!$E:$E)</f>
        <v>10500</v>
      </c>
      <c r="G475" s="52">
        <f>SUMIFS('Navision sales Dump'!$E:$E,'Navision sales Dump'!$K:$K,$E475,'Navision sales Dump'!$A:$A,$A475)</f>
        <v>11066</v>
      </c>
      <c r="H475" s="62">
        <f>SUMIFS('Navision sales Dump'!$G:$G,'Navision sales Dump'!$K:$K,$E475,'Navision sales Dump'!$A:$A,$A475)</f>
        <v>79648066.719999984</v>
      </c>
      <c r="I475" s="72">
        <f>IFERROR(IF(($G475/$F475)&gt;='Discount Scheme Target'!$F$4,_xlfn.XLOOKUP($E475,'Discount Scheme Target'!$B:$B,'Discount Scheme Target'!$F:$F,0,0),IF(($G475/$F475)&gt;='Discount Scheme Target'!$E$4,_xlfn.XLOOKUP($E475,'Discount Scheme Target'!$B:$B,'Discount Scheme Target'!$E:$E,0,0),IF(($G475/$F475)&gt;='Discount Scheme Target'!$D$4,_xlfn.XLOOKUP($E475,'Discount Scheme Target'!$B:$B,'Discount Scheme Target'!$D:$D,0,0),0))),0)</f>
        <v>3.5000000000000003E-2</v>
      </c>
      <c r="J475" s="72">
        <f>IF(SUMIF('Customer Num Distr.'!$A:$A,Workings!$A475,'Customer Num Distr.'!$E:$E)&gt;='Discount Scheme Target'!$G$4,_xlfn.XLOOKUP(Workings!$E475,'Discount Scheme Target'!$B:$B,'Discount Scheme Target'!$G:$G,0,0),0)</f>
        <v>0</v>
      </c>
      <c r="K475" s="72">
        <f>IF(SUMIF('Bouclage EG Cust Cons_Decons'!$A:$A,Workings!$A475,'Bouclage EG Cust Cons_Decons'!$F:$F)&gt;='Discount Scheme Target'!$H$4,_xlfn.XLOOKUP(Workings!$E475,'Discount Scheme Target'!$B:$B,'Discount Scheme Target'!$H:$H,0,0),0)</f>
        <v>0</v>
      </c>
      <c r="L475" s="72">
        <f>IF(INDEX('TT Around time'!$A$1:$F$46,MATCH($A475,'TT Around time'!$A:$A,0),6)&gt;='Discount Scheme Target'!$I$4,_xlfn.XLOOKUP(Workings!$E475,'Discount Scheme Target'!$B:$B,'Discount Scheme Target'!$I:$I,0,0),0)</f>
        <v>0</v>
      </c>
      <c r="M475" s="72">
        <f t="shared" si="68"/>
        <v>3.5000000000000003E-2</v>
      </c>
      <c r="N475" s="62">
        <f t="shared" si="75"/>
        <v>2645098.9083318268</v>
      </c>
      <c r="T475" s="61">
        <f t="shared" si="69"/>
        <v>2645098.9083318268</v>
      </c>
      <c r="U475" s="61">
        <f t="shared" si="70"/>
        <v>0</v>
      </c>
      <c r="V475" s="61">
        <f t="shared" si="71"/>
        <v>0</v>
      </c>
      <c r="W475" s="61">
        <f t="shared" si="72"/>
        <v>0</v>
      </c>
      <c r="X475" s="61">
        <f t="shared" si="73"/>
        <v>2645098.9083318268</v>
      </c>
      <c r="Y475" s="61">
        <f t="shared" si="74"/>
        <v>0</v>
      </c>
    </row>
    <row r="476" spans="1:25" x14ac:dyDescent="0.25">
      <c r="A476" s="51">
        <v>3300002029</v>
      </c>
      <c r="B476" s="51" t="s">
        <v>119</v>
      </c>
      <c r="C476" s="51" t="s">
        <v>151</v>
      </c>
      <c r="D476" s="51" t="s">
        <v>141</v>
      </c>
      <c r="E476" s="51" t="s">
        <v>418</v>
      </c>
      <c r="F476" s="52">
        <f>SUMIF('Customer Budget Per Category'!$A:$A,$A476,'Customer Budget Per Category'!$F:$F)</f>
        <v>0</v>
      </c>
      <c r="G476" s="52">
        <f>SUMIFS('Navision sales Dump'!$E:$E,'Navision sales Dump'!$K:$K,$E476,'Navision sales Dump'!$A:$A,$A476)</f>
        <v>0</v>
      </c>
      <c r="H476" s="62">
        <f>SUMIFS('Navision sales Dump'!$G:$G,'Navision sales Dump'!$K:$K,$E476,'Navision sales Dump'!$A:$A,$A476)</f>
        <v>0</v>
      </c>
      <c r="I476" s="72">
        <f>IFERROR(IF(($G476/$F476)&gt;='Discount Scheme Target'!$F$4,_xlfn.XLOOKUP($E476,'Discount Scheme Target'!$B:$B,'Discount Scheme Target'!$F:$F,0,0),IF(($G476/$F476)&gt;='Discount Scheme Target'!$E$4,_xlfn.XLOOKUP($E476,'Discount Scheme Target'!$B:$B,'Discount Scheme Target'!$E:$E,0,0),IF(($G476/$F476)&gt;='Discount Scheme Target'!$D$4,_xlfn.XLOOKUP($E476,'Discount Scheme Target'!$B:$B,'Discount Scheme Target'!$D:$D,0,0),0))),0)</f>
        <v>0</v>
      </c>
      <c r="J476" s="72">
        <f>IF(SUMIF('Customer Num Distr.'!$A:$A,Workings!$A476,'Customer Num Distr.'!$E:$E)&gt;='Discount Scheme Target'!$G$4,_xlfn.XLOOKUP(Workings!$E476,'Discount Scheme Target'!$B:$B,'Discount Scheme Target'!$G:$G,0,0),0)</f>
        <v>0</v>
      </c>
      <c r="K476" s="72">
        <f>IF(SUMIF('Bouclage EG Cust Cons_Decons'!$A:$A,Workings!$A476,'Bouclage EG Cust Cons_Decons'!$F:$F)&gt;='Discount Scheme Target'!$H$4,_xlfn.XLOOKUP(Workings!$E476,'Discount Scheme Target'!$B:$B,'Discount Scheme Target'!$H:$H,0,0),0)</f>
        <v>0</v>
      </c>
      <c r="L476" s="72">
        <f>IF(INDEX('TT Around time'!$A$1:$F$46,MATCH($A476,'TT Around time'!$A:$A,0),6)&gt;='Discount Scheme Target'!$I$4,_xlfn.XLOOKUP(Workings!$E476,'Discount Scheme Target'!$B:$B,'Discount Scheme Target'!$I:$I,0,0),0)</f>
        <v>0</v>
      </c>
      <c r="M476" s="72">
        <f t="shared" si="68"/>
        <v>0</v>
      </c>
      <c r="N476" s="62">
        <f t="shared" si="75"/>
        <v>0</v>
      </c>
      <c r="T476" s="61">
        <f t="shared" si="69"/>
        <v>0</v>
      </c>
      <c r="U476" s="61">
        <f t="shared" si="70"/>
        <v>0</v>
      </c>
      <c r="V476" s="61">
        <f t="shared" si="71"/>
        <v>0</v>
      </c>
      <c r="W476" s="61">
        <f t="shared" si="72"/>
        <v>0</v>
      </c>
      <c r="X476" s="61">
        <f t="shared" si="73"/>
        <v>0</v>
      </c>
      <c r="Y476" s="61">
        <f t="shared" si="74"/>
        <v>0</v>
      </c>
    </row>
    <row r="477" spans="1:25" x14ac:dyDescent="0.25">
      <c r="A477" s="51">
        <v>3300002029</v>
      </c>
      <c r="B477" s="51" t="s">
        <v>119</v>
      </c>
      <c r="C477" s="51" t="s">
        <v>151</v>
      </c>
      <c r="D477" s="51" t="s">
        <v>141</v>
      </c>
      <c r="E477" s="51" t="s">
        <v>130</v>
      </c>
      <c r="F477" s="52">
        <f>SUMIF('Customer Budget Per Category'!$A:$A,$A477,'Customer Budget Per Category'!$G:$G)</f>
        <v>271.4435168416652</v>
      </c>
      <c r="G477" s="52">
        <f>SUMIFS('Navision sales Dump'!$E:$E,'Navision sales Dump'!$K:$K,$E477,'Navision sales Dump'!$A:$A,$A477)</f>
        <v>336</v>
      </c>
      <c r="H477" s="62">
        <f>SUMIFS('Navision sales Dump'!$G:$G,'Navision sales Dump'!$K:$K,$E477,'Navision sales Dump'!$A:$A,$A477)</f>
        <v>2595707.52</v>
      </c>
      <c r="I477" s="72">
        <f>IFERROR(IF(($G477/$F477)&gt;='Discount Scheme Target'!$F$4,_xlfn.XLOOKUP($E477,'Discount Scheme Target'!$B:$B,'Discount Scheme Target'!$F:$F,0,0),IF(($G477/$F477)&gt;='Discount Scheme Target'!$E$4,_xlfn.XLOOKUP($E477,'Discount Scheme Target'!$B:$B,'Discount Scheme Target'!$E:$E,0,0),IF(($G477/$F477)&gt;='Discount Scheme Target'!$D$4,_xlfn.XLOOKUP($E477,'Discount Scheme Target'!$B:$B,'Discount Scheme Target'!$D:$D,0,0),0))),0)</f>
        <v>4.5000000000000005E-2</v>
      </c>
      <c r="J477" s="72">
        <f>IF(SUMIF('Customer Num Distr.'!$A:$A,Workings!$A477,'Customer Num Distr.'!$E:$E)&gt;='Discount Scheme Target'!$G$4,_xlfn.XLOOKUP(Workings!$E477,'Discount Scheme Target'!$B:$B,'Discount Scheme Target'!$G:$G,0,0),0)</f>
        <v>0</v>
      </c>
      <c r="K477" s="72">
        <f>IF(SUMIF('Bouclage EG Cust Cons_Decons'!$A:$A,Workings!$A477,'Bouclage EG Cust Cons_Decons'!$F:$F)&gt;='Discount Scheme Target'!$H$4,_xlfn.XLOOKUP(Workings!$E477,'Discount Scheme Target'!$B:$B,'Discount Scheme Target'!$H:$H,0,0),0)</f>
        <v>0</v>
      </c>
      <c r="L477" s="72">
        <f>IF(INDEX('TT Around time'!$A$1:$F$46,MATCH($A477,'TT Around time'!$A:$A,0),6)&gt;='Discount Scheme Target'!$I$4,_xlfn.XLOOKUP(Workings!$E477,'Discount Scheme Target'!$B:$B,'Discount Scheme Target'!$I:$I,0,0),0)</f>
        <v>0</v>
      </c>
      <c r="M477" s="72">
        <f t="shared" si="68"/>
        <v>4.5000000000000005E-2</v>
      </c>
      <c r="N477" s="62">
        <f t="shared" si="75"/>
        <v>94364.461328726393</v>
      </c>
      <c r="T477" s="61">
        <f t="shared" si="69"/>
        <v>94364.461328726393</v>
      </c>
      <c r="U477" s="61">
        <f t="shared" si="70"/>
        <v>0</v>
      </c>
      <c r="V477" s="61">
        <f t="shared" si="71"/>
        <v>0</v>
      </c>
      <c r="W477" s="61">
        <f t="shared" si="72"/>
        <v>0</v>
      </c>
      <c r="X477" s="61">
        <f t="shared" si="73"/>
        <v>94364.461328726393</v>
      </c>
      <c r="Y477" s="61">
        <f t="shared" si="74"/>
        <v>0</v>
      </c>
    </row>
    <row r="478" spans="1:25" x14ac:dyDescent="0.25">
      <c r="A478" s="51">
        <v>3300002029</v>
      </c>
      <c r="B478" s="51" t="s">
        <v>119</v>
      </c>
      <c r="C478" s="51" t="s">
        <v>151</v>
      </c>
      <c r="D478" s="51" t="s">
        <v>141</v>
      </c>
      <c r="E478" s="51" t="s">
        <v>131</v>
      </c>
      <c r="F478" s="52">
        <f>SUMIF('Customer Budget Per Category'!$A:$A,$A478,'Customer Budget Per Category'!$H:$H)</f>
        <v>57.799302506853167</v>
      </c>
      <c r="G478" s="52">
        <f>SUMIFS('Navision sales Dump'!$E:$E,'Navision sales Dump'!$K:$K,$E478,'Navision sales Dump'!$A:$A,$A478)</f>
        <v>66</v>
      </c>
      <c r="H478" s="62">
        <f>SUMIFS('Navision sales Dump'!$G:$G,'Navision sales Dump'!$K:$K,$E478,'Navision sales Dump'!$A:$A,$A478)</f>
        <v>3154304.13</v>
      </c>
      <c r="I478" s="72">
        <f>IFERROR(IF(($G478/$F478)&gt;='Discount Scheme Target'!$F$4,_xlfn.XLOOKUP($E478,'Discount Scheme Target'!$B:$B,'Discount Scheme Target'!$F:$F,0,0),IF(($G478/$F478)&gt;='Discount Scheme Target'!$E$4,_xlfn.XLOOKUP($E478,'Discount Scheme Target'!$B:$B,'Discount Scheme Target'!$E:$E,0,0),IF(($G478/$F478)&gt;='Discount Scheme Target'!$D$4,_xlfn.XLOOKUP($E478,'Discount Scheme Target'!$B:$B,'Discount Scheme Target'!$D:$D,0,0),0))),0)</f>
        <v>0.03</v>
      </c>
      <c r="J478" s="72">
        <f>IF(SUMIF('Customer Num Distr.'!$A:$A,Workings!$A478,'Customer Num Distr.'!$E:$E)&gt;='Discount Scheme Target'!$G$4,_xlfn.XLOOKUP(Workings!$E478,'Discount Scheme Target'!$B:$B,'Discount Scheme Target'!$G:$G,0,0),0)</f>
        <v>0</v>
      </c>
      <c r="K478" s="72">
        <f>IF(SUMIF('Bouclage EG Cust Cons_Decons'!$A:$A,Workings!$A478,'Bouclage EG Cust Cons_Decons'!$F:$F)&gt;='Discount Scheme Target'!$H$4,_xlfn.XLOOKUP(Workings!$E478,'Discount Scheme Target'!$B:$B,'Discount Scheme Target'!$H:$H,0,0),0)</f>
        <v>0</v>
      </c>
      <c r="L478" s="72">
        <f>IF(INDEX('TT Around time'!$A$1:$F$46,MATCH($A478,'TT Around time'!$A:$A,0),6)&gt;='Discount Scheme Target'!$I$4,_xlfn.XLOOKUP(Workings!$E478,'Discount Scheme Target'!$B:$B,'Discount Scheme Target'!$I:$I,0,0),0)</f>
        <v>0</v>
      </c>
      <c r="M478" s="72">
        <f t="shared" si="68"/>
        <v>0.03</v>
      </c>
      <c r="N478" s="62">
        <f t="shared" si="75"/>
        <v>82871.172094766487</v>
      </c>
      <c r="T478" s="61">
        <f t="shared" si="69"/>
        <v>82871.172094766487</v>
      </c>
      <c r="U478" s="61">
        <f t="shared" si="70"/>
        <v>0</v>
      </c>
      <c r="V478" s="61">
        <f t="shared" si="71"/>
        <v>0</v>
      </c>
      <c r="W478" s="61">
        <f t="shared" si="72"/>
        <v>0</v>
      </c>
      <c r="X478" s="61">
        <f t="shared" si="73"/>
        <v>82871.172094766487</v>
      </c>
      <c r="Y478" s="61">
        <f t="shared" si="74"/>
        <v>0</v>
      </c>
    </row>
    <row r="479" spans="1:25" x14ac:dyDescent="0.25">
      <c r="A479" s="51">
        <v>3300002029</v>
      </c>
      <c r="B479" s="51" t="s">
        <v>119</v>
      </c>
      <c r="C479" s="51" t="s">
        <v>151</v>
      </c>
      <c r="D479" s="51" t="s">
        <v>141</v>
      </c>
      <c r="E479" s="51" t="s">
        <v>514</v>
      </c>
      <c r="F479" s="52">
        <f>SUMIF('Customer Budget Per Category'!$A:$A,$A479,'Customer Budget Per Category'!$I:$I)</f>
        <v>5914.1145251626922</v>
      </c>
      <c r="G479" s="52">
        <f>SUMIFS('Navision sales Dump'!$E:$E,'Navision sales Dump'!$K:$K,$E479,'Navision sales Dump'!$A:$A,$A479)</f>
        <v>6083</v>
      </c>
      <c r="H479" s="62">
        <f>SUMIFS('Navision sales Dump'!$G:$G,'Navision sales Dump'!$K:$K,$E479,'Navision sales Dump'!$A:$A,$A479)</f>
        <v>24076696.490000002</v>
      </c>
      <c r="I479" s="72">
        <f>IFERROR(IF(($G479/$F479)&gt;='Discount Scheme Target'!$F$4,_xlfn.XLOOKUP($E479,'Discount Scheme Target'!$B:$B,'Discount Scheme Target'!$F:$F,0,0),IF(($G479/$F479)&gt;='Discount Scheme Target'!$E$4,_xlfn.XLOOKUP($E479,'Discount Scheme Target'!$B:$B,'Discount Scheme Target'!$E:$E,0,0),IF(($G479/$F479)&gt;='Discount Scheme Target'!$D$4,_xlfn.XLOOKUP($E479,'Discount Scheme Target'!$B:$B,'Discount Scheme Target'!$D:$D,0,0),0))),0)</f>
        <v>0.01</v>
      </c>
      <c r="J479" s="72">
        <f>IF(SUMIF('Customer Num Distr.'!$A:$A,Workings!$A479,'Customer Num Distr.'!$E:$E)&gt;='Discount Scheme Target'!$G$4,_xlfn.XLOOKUP(Workings!$E479,'Discount Scheme Target'!$B:$B,'Discount Scheme Target'!$G:$G,0,0),0)</f>
        <v>0</v>
      </c>
      <c r="K479" s="72">
        <f>IF(SUMIF('Bouclage EG Cust Cons_Decons'!$A:$A,Workings!$A479,'Bouclage EG Cust Cons_Decons'!$F:$F)&gt;='Discount Scheme Target'!$H$4,_xlfn.XLOOKUP(Workings!$E479,'Discount Scheme Target'!$B:$B,'Discount Scheme Target'!$H:$H,0,0),0)</f>
        <v>0</v>
      </c>
      <c r="L479" s="72">
        <f>IF(INDEX('TT Around time'!$A$1:$F$46,MATCH($A479,'TT Around time'!$A:$A,0),6)&gt;='Discount Scheme Target'!$I$4,_xlfn.XLOOKUP(Workings!$E479,'Discount Scheme Target'!$B:$B,'Discount Scheme Target'!$I:$I,0,0),0)</f>
        <v>0</v>
      </c>
      <c r="M479" s="72">
        <f t="shared" si="68"/>
        <v>0.01</v>
      </c>
      <c r="N479" s="62">
        <f t="shared" si="75"/>
        <v>234082.42714029693</v>
      </c>
      <c r="T479" s="61">
        <f t="shared" si="69"/>
        <v>234082.42714029693</v>
      </c>
      <c r="U479" s="61">
        <f t="shared" si="70"/>
        <v>0</v>
      </c>
      <c r="V479" s="61">
        <f t="shared" si="71"/>
        <v>0</v>
      </c>
      <c r="W479" s="61">
        <f t="shared" si="72"/>
        <v>0</v>
      </c>
      <c r="X479" s="61">
        <f t="shared" si="73"/>
        <v>234082.42714029693</v>
      </c>
      <c r="Y479" s="61">
        <f t="shared" si="74"/>
        <v>0</v>
      </c>
    </row>
    <row r="480" spans="1:25" x14ac:dyDescent="0.25">
      <c r="A480" s="51">
        <v>3300002029</v>
      </c>
      <c r="B480" s="51" t="s">
        <v>119</v>
      </c>
      <c r="C480" s="51" t="s">
        <v>151</v>
      </c>
      <c r="D480" s="51" t="s">
        <v>141</v>
      </c>
      <c r="E480" s="51" t="s">
        <v>515</v>
      </c>
      <c r="F480" s="52">
        <f>SUMIF('Customer Budget Per Category'!$A:$A,$A480,'Customer Budget Per Category'!$J:$J)</f>
        <v>797.16837010970812</v>
      </c>
      <c r="G480" s="52">
        <f>SUMIFS('Navision sales Dump'!$E:$E,'Navision sales Dump'!$K:$K,$E480,'Navision sales Dump'!$A:$A,$A480)</f>
        <v>288</v>
      </c>
      <c r="H480" s="62">
        <f>SUMIFS('Navision sales Dump'!$G:$G,'Navision sales Dump'!$K:$K,$E480,'Navision sales Dump'!$A:$A,$A480)</f>
        <v>812995.2</v>
      </c>
      <c r="I480" s="72">
        <f>IFERROR(IF(($G480/$F480)&gt;='Discount Scheme Target'!$F$4,_xlfn.XLOOKUP($E480,'Discount Scheme Target'!$B:$B,'Discount Scheme Target'!$F:$F,0,0),IF(($G480/$F480)&gt;='Discount Scheme Target'!$E$4,_xlfn.XLOOKUP($E480,'Discount Scheme Target'!$B:$B,'Discount Scheme Target'!$E:$E,0,0),IF(($G480/$F480)&gt;='Discount Scheme Target'!$D$4,_xlfn.XLOOKUP($E480,'Discount Scheme Target'!$B:$B,'Discount Scheme Target'!$D:$D,0,0),0))),0)</f>
        <v>0</v>
      </c>
      <c r="J480" s="72">
        <f>IF(SUMIF('Customer Num Distr.'!$A:$A,Workings!$A480,'Customer Num Distr.'!$E:$E)&gt;='Discount Scheme Target'!$G$4,_xlfn.XLOOKUP(Workings!$E480,'Discount Scheme Target'!$B:$B,'Discount Scheme Target'!$G:$G,0,0),0)</f>
        <v>0</v>
      </c>
      <c r="K480" s="72">
        <f>IF(SUMIF('Bouclage EG Cust Cons_Decons'!$A:$A,Workings!$A480,'Bouclage EG Cust Cons_Decons'!$F:$F)&gt;='Discount Scheme Target'!$H$4,_xlfn.XLOOKUP(Workings!$E480,'Discount Scheme Target'!$B:$B,'Discount Scheme Target'!$H:$H,0,0),0)</f>
        <v>0</v>
      </c>
      <c r="L480" s="72">
        <f>IF(INDEX('TT Around time'!$A$1:$F$46,MATCH($A480,'TT Around time'!$A:$A,0),6)&gt;='Discount Scheme Target'!$I$4,_xlfn.XLOOKUP(Workings!$E480,'Discount Scheme Target'!$B:$B,'Discount Scheme Target'!$I:$I,0,0),0)</f>
        <v>0</v>
      </c>
      <c r="M480" s="72">
        <f t="shared" si="68"/>
        <v>0</v>
      </c>
      <c r="N480" s="62">
        <f t="shared" si="75"/>
        <v>0</v>
      </c>
      <c r="T480" s="61">
        <f t="shared" si="69"/>
        <v>0</v>
      </c>
      <c r="U480" s="61">
        <f t="shared" si="70"/>
        <v>0</v>
      </c>
      <c r="V480" s="61">
        <f t="shared" si="71"/>
        <v>0</v>
      </c>
      <c r="W480" s="61">
        <f t="shared" si="72"/>
        <v>0</v>
      </c>
      <c r="X480" s="61">
        <f t="shared" si="73"/>
        <v>0</v>
      </c>
      <c r="Y480" s="61">
        <f t="shared" si="74"/>
        <v>0</v>
      </c>
    </row>
    <row r="481" spans="1:25" x14ac:dyDescent="0.25">
      <c r="A481" s="51">
        <v>3300002029</v>
      </c>
      <c r="B481" s="51" t="s">
        <v>119</v>
      </c>
      <c r="C481" s="51" t="s">
        <v>151</v>
      </c>
      <c r="D481" s="51" t="s">
        <v>141</v>
      </c>
      <c r="E481" s="51" t="s">
        <v>161</v>
      </c>
      <c r="F481" s="52">
        <f>SUMIF('Customer Budget Per Category'!$A:$A,$A481,'Customer Budget Per Category'!$K:$K)</f>
        <v>0</v>
      </c>
      <c r="G481" s="52">
        <f>SUMIFS('Navision sales Dump'!$E:$E,'Navision sales Dump'!$K:$K,$E481,'Navision sales Dump'!$A:$A,$A481)</f>
        <v>0</v>
      </c>
      <c r="H481" s="62">
        <f>SUMIFS('Navision sales Dump'!$G:$G,'Navision sales Dump'!$K:$K,$E481,'Navision sales Dump'!$A:$A,$A481)</f>
        <v>0</v>
      </c>
      <c r="I481" s="72">
        <f>IFERROR(IF(($G481/$F481)&gt;='Discount Scheme Target'!$F$4,_xlfn.XLOOKUP($E481,'Discount Scheme Target'!$B:$B,'Discount Scheme Target'!$F:$F,0,0),IF(($G481/$F481)&gt;='Discount Scheme Target'!$E$4,_xlfn.XLOOKUP($E481,'Discount Scheme Target'!$B:$B,'Discount Scheme Target'!$E:$E,0,0),IF(($G481/$F481)&gt;='Discount Scheme Target'!$D$4,_xlfn.XLOOKUP($E481,'Discount Scheme Target'!$B:$B,'Discount Scheme Target'!$D:$D,0,0),0))),0)</f>
        <v>0</v>
      </c>
      <c r="J481" s="72">
        <f>IF(SUMIF('Customer Num Distr.'!$A:$A,Workings!$A481,'Customer Num Distr.'!$E:$E)&gt;='Discount Scheme Target'!$G$4,_xlfn.XLOOKUP(Workings!$E481,'Discount Scheme Target'!$B:$B,'Discount Scheme Target'!$G:$G,0,0),0)</f>
        <v>0</v>
      </c>
      <c r="K481" s="72">
        <f>IF(SUMIF('Bouclage EG Cust Cons_Decons'!$A:$A,Workings!$A481,'Bouclage EG Cust Cons_Decons'!$F:$F)&gt;='Discount Scheme Target'!$H$4,_xlfn.XLOOKUP(Workings!$E481,'Discount Scheme Target'!$B:$B,'Discount Scheme Target'!$H:$H,0,0),0)</f>
        <v>0</v>
      </c>
      <c r="L481" s="72">
        <f>IF(INDEX('TT Around time'!$A$1:$F$46,MATCH($A481,'TT Around time'!$A:$A,0),6)&gt;='Discount Scheme Target'!$I$4,_xlfn.XLOOKUP(Workings!$E481,'Discount Scheme Target'!$B:$B,'Discount Scheme Target'!$I:$I,0,0),0)</f>
        <v>0</v>
      </c>
      <c r="M481" s="72">
        <f t="shared" si="68"/>
        <v>0</v>
      </c>
      <c r="N481" s="62">
        <f t="shared" si="75"/>
        <v>0</v>
      </c>
      <c r="T481" s="61">
        <f t="shared" si="69"/>
        <v>0</v>
      </c>
      <c r="U481" s="61">
        <f t="shared" si="70"/>
        <v>0</v>
      </c>
      <c r="V481" s="61">
        <f t="shared" si="71"/>
        <v>0</v>
      </c>
      <c r="W481" s="61">
        <f t="shared" si="72"/>
        <v>0</v>
      </c>
      <c r="X481" s="61">
        <f t="shared" si="73"/>
        <v>0</v>
      </c>
      <c r="Y481" s="61">
        <f t="shared" si="74"/>
        <v>0</v>
      </c>
    </row>
    <row r="482" spans="1:25" x14ac:dyDescent="0.25">
      <c r="A482" s="51">
        <v>3300002029</v>
      </c>
      <c r="B482" s="51" t="s">
        <v>119</v>
      </c>
      <c r="C482" s="51" t="s">
        <v>151</v>
      </c>
      <c r="D482" s="51" t="s">
        <v>141</v>
      </c>
      <c r="E482" s="51" t="s">
        <v>354</v>
      </c>
      <c r="F482" s="52">
        <f>SUMIF('Customer Budget Per Category'!$A:$A,$A482,'Customer Budget Per Category'!$L:$L)</f>
        <v>2431.6598669174118</v>
      </c>
      <c r="G482" s="52">
        <f>SUMIFS('Navision sales Dump'!$E:$E,'Navision sales Dump'!$K:$K,$E482,'Navision sales Dump'!$A:$A,$A482)</f>
        <v>1884</v>
      </c>
      <c r="H482" s="62">
        <f>SUMIFS('Navision sales Dump'!$G:$G,'Navision sales Dump'!$K:$K,$E482,'Navision sales Dump'!$A:$A,$A482)</f>
        <v>6586164.1200000001</v>
      </c>
      <c r="I482" s="72">
        <f>IFERROR(IF(($G482/$F482)&gt;='Discount Scheme Target'!$F$4,_xlfn.XLOOKUP($E482,'Discount Scheme Target'!$B:$B,'Discount Scheme Target'!$F:$F,0,0),IF(($G482/$F482)&gt;='Discount Scheme Target'!$E$4,_xlfn.XLOOKUP($E482,'Discount Scheme Target'!$B:$B,'Discount Scheme Target'!$E:$E,0,0),IF(($G482/$F482)&gt;='Discount Scheme Target'!$D$4,_xlfn.XLOOKUP($E482,'Discount Scheme Target'!$B:$B,'Discount Scheme Target'!$D:$D,0,0),0))),0)</f>
        <v>0</v>
      </c>
      <c r="J482" s="72">
        <f>IF(SUMIF('Customer Num Distr.'!$A:$A,Workings!$A482,'Customer Num Distr.'!$E:$E)&gt;='Discount Scheme Target'!$G$4,_xlfn.XLOOKUP(Workings!$E482,'Discount Scheme Target'!$B:$B,'Discount Scheme Target'!$G:$G,0,0),0)</f>
        <v>0</v>
      </c>
      <c r="K482" s="72">
        <f>IF(SUMIF('Bouclage EG Cust Cons_Decons'!$A:$A,Workings!$A482,'Bouclage EG Cust Cons_Decons'!$F:$F)&gt;='Discount Scheme Target'!$H$4,_xlfn.XLOOKUP(Workings!$E482,'Discount Scheme Target'!$B:$B,'Discount Scheme Target'!$H:$H,0,0),0)</f>
        <v>0</v>
      </c>
      <c r="L482" s="72">
        <f>IF(INDEX('TT Around time'!$A$1:$F$46,MATCH($A482,'TT Around time'!$A:$A,0),6)&gt;='Discount Scheme Target'!$I$4,_xlfn.XLOOKUP(Workings!$E482,'Discount Scheme Target'!$B:$B,'Discount Scheme Target'!$I:$I,0,0),0)</f>
        <v>0</v>
      </c>
      <c r="M482" s="72">
        <f t="shared" si="68"/>
        <v>0</v>
      </c>
      <c r="N482" s="62">
        <f t="shared" si="75"/>
        <v>0</v>
      </c>
      <c r="T482" s="61">
        <f t="shared" si="69"/>
        <v>0</v>
      </c>
      <c r="U482" s="61">
        <f t="shared" si="70"/>
        <v>0</v>
      </c>
      <c r="V482" s="61">
        <f t="shared" si="71"/>
        <v>0</v>
      </c>
      <c r="W482" s="61">
        <f t="shared" si="72"/>
        <v>0</v>
      </c>
      <c r="X482" s="61">
        <f t="shared" si="73"/>
        <v>0</v>
      </c>
      <c r="Y482" s="61">
        <f t="shared" si="74"/>
        <v>0</v>
      </c>
    </row>
    <row r="483" spans="1:25" x14ac:dyDescent="0.25">
      <c r="A483" s="51">
        <v>3300002029</v>
      </c>
      <c r="B483" s="51" t="s">
        <v>119</v>
      </c>
      <c r="C483" s="51" t="s">
        <v>151</v>
      </c>
      <c r="D483" s="51" t="s">
        <v>141</v>
      </c>
      <c r="E483" s="51" t="s">
        <v>355</v>
      </c>
      <c r="F483" s="52">
        <f>SUMIF('Customer Budget Per Category'!$A:$A,$A483,'Customer Budget Per Category'!$M:$M)</f>
        <v>1460.2355806584796</v>
      </c>
      <c r="G483" s="52">
        <f>SUMIFS('Navision sales Dump'!$E:$E,'Navision sales Dump'!$K:$K,$E483,'Navision sales Dump'!$A:$A,$A483)</f>
        <v>288</v>
      </c>
      <c r="H483" s="62">
        <f>SUMIFS('Navision sales Dump'!$G:$G,'Navision sales Dump'!$K:$K,$E483,'Navision sales Dump'!$A:$A,$A483)</f>
        <v>812995.2</v>
      </c>
      <c r="I483" s="72">
        <f>IFERROR(IF(($G483/$F483)&gt;='Discount Scheme Target'!$F$4,_xlfn.XLOOKUP($E483,'Discount Scheme Target'!$B:$B,'Discount Scheme Target'!$F:$F,0,0),IF(($G483/$F483)&gt;='Discount Scheme Target'!$E$4,_xlfn.XLOOKUP($E483,'Discount Scheme Target'!$B:$B,'Discount Scheme Target'!$E:$E,0,0),IF(($G483/$F483)&gt;='Discount Scheme Target'!$D$4,_xlfn.XLOOKUP($E483,'Discount Scheme Target'!$B:$B,'Discount Scheme Target'!$D:$D,0,0),0))),0)</f>
        <v>0</v>
      </c>
      <c r="J483" s="72">
        <f>IF(SUMIF('Customer Num Distr.'!$A:$A,Workings!$A483,'Customer Num Distr.'!$E:$E)&gt;='Discount Scheme Target'!$G$4,_xlfn.XLOOKUP(Workings!$E483,'Discount Scheme Target'!$B:$B,'Discount Scheme Target'!$G:$G,0,0),0)</f>
        <v>0</v>
      </c>
      <c r="K483" s="72">
        <f>IF(SUMIF('Bouclage EG Cust Cons_Decons'!$A:$A,Workings!$A483,'Bouclage EG Cust Cons_Decons'!$F:$F)&gt;='Discount Scheme Target'!$H$4,_xlfn.XLOOKUP(Workings!$E483,'Discount Scheme Target'!$B:$B,'Discount Scheme Target'!$H:$H,0,0),0)</f>
        <v>0</v>
      </c>
      <c r="L483" s="72">
        <f>IF(INDEX('TT Around time'!$A$1:$F$46,MATCH($A483,'TT Around time'!$A:$A,0),6)&gt;='Discount Scheme Target'!$I$4,_xlfn.XLOOKUP(Workings!$E483,'Discount Scheme Target'!$B:$B,'Discount Scheme Target'!$I:$I,0,0),0)</f>
        <v>0</v>
      </c>
      <c r="M483" s="72">
        <f t="shared" si="68"/>
        <v>0</v>
      </c>
      <c r="N483" s="62">
        <f t="shared" si="75"/>
        <v>0</v>
      </c>
      <c r="T483" s="61">
        <f t="shared" si="69"/>
        <v>0</v>
      </c>
      <c r="U483" s="61">
        <f t="shared" si="70"/>
        <v>0</v>
      </c>
      <c r="V483" s="61">
        <f t="shared" si="71"/>
        <v>0</v>
      </c>
      <c r="W483" s="61">
        <f t="shared" si="72"/>
        <v>0</v>
      </c>
      <c r="X483" s="61">
        <f t="shared" si="73"/>
        <v>0</v>
      </c>
      <c r="Y483" s="61">
        <f t="shared" si="74"/>
        <v>0</v>
      </c>
    </row>
    <row r="484" spans="1:25" x14ac:dyDescent="0.25">
      <c r="A484" s="51">
        <v>3300002029</v>
      </c>
      <c r="B484" s="51" t="s">
        <v>119</v>
      </c>
      <c r="C484" s="51" t="s">
        <v>151</v>
      </c>
      <c r="D484" s="51" t="s">
        <v>141</v>
      </c>
      <c r="E484" s="51" t="s">
        <v>132</v>
      </c>
      <c r="F484" s="52">
        <f>SUMIF('Customer Budget Per Category'!$A:$A,$A484,'Customer Budget Per Category'!$N:$N)</f>
        <v>368.46598524670389</v>
      </c>
      <c r="G484" s="52">
        <f>SUMIFS('Navision sales Dump'!$E:$E,'Navision sales Dump'!$K:$K,$E484,'Navision sales Dump'!$A:$A,$A484)</f>
        <v>0</v>
      </c>
      <c r="H484" s="62">
        <f>SUMIFS('Navision sales Dump'!$G:$G,'Navision sales Dump'!$K:$K,$E484,'Navision sales Dump'!$A:$A,$A484)</f>
        <v>0</v>
      </c>
      <c r="I484" s="72">
        <f>IFERROR(IF(($G484/$F484)&gt;='Discount Scheme Target'!$F$4,_xlfn.XLOOKUP($E484,'Discount Scheme Target'!$B:$B,'Discount Scheme Target'!$F:$F,0,0),IF(($G484/$F484)&gt;='Discount Scheme Target'!$E$4,_xlfn.XLOOKUP($E484,'Discount Scheme Target'!$B:$B,'Discount Scheme Target'!$E:$E,0,0),IF(($G484/$F484)&gt;='Discount Scheme Target'!$D$4,_xlfn.XLOOKUP($E484,'Discount Scheme Target'!$B:$B,'Discount Scheme Target'!$D:$D,0,0),0))),0)</f>
        <v>0</v>
      </c>
      <c r="J484" s="72">
        <f>IF(SUMIF('Customer Num Distr.'!$A:$A,Workings!$A484,'Customer Num Distr.'!$E:$E)&gt;='Discount Scheme Target'!$G$4,_xlfn.XLOOKUP(Workings!$E484,'Discount Scheme Target'!$B:$B,'Discount Scheme Target'!$G:$G,0,0),0)</f>
        <v>0</v>
      </c>
      <c r="K484" s="72">
        <f>IF(SUMIF('Bouclage EG Cust Cons_Decons'!$A:$A,Workings!$A484,'Bouclage EG Cust Cons_Decons'!$F:$F)&gt;='Discount Scheme Target'!$H$4,_xlfn.XLOOKUP(Workings!$E484,'Discount Scheme Target'!$B:$B,'Discount Scheme Target'!$H:$H,0,0),0)</f>
        <v>0</v>
      </c>
      <c r="L484" s="72">
        <f>IF(INDEX('TT Around time'!$A$1:$F$46,MATCH($A484,'TT Around time'!$A:$A,0),6)&gt;='Discount Scheme Target'!$I$4,_xlfn.XLOOKUP(Workings!$E484,'Discount Scheme Target'!$B:$B,'Discount Scheme Target'!$I:$I,0,0),0)</f>
        <v>0</v>
      </c>
      <c r="M484" s="72">
        <f t="shared" si="68"/>
        <v>0</v>
      </c>
      <c r="N484" s="62">
        <f t="shared" si="75"/>
        <v>0</v>
      </c>
      <c r="T484" s="61">
        <f t="shared" si="69"/>
        <v>0</v>
      </c>
      <c r="U484" s="61">
        <f t="shared" si="70"/>
        <v>0</v>
      </c>
      <c r="V484" s="61">
        <f t="shared" si="71"/>
        <v>0</v>
      </c>
      <c r="W484" s="61">
        <f t="shared" si="72"/>
        <v>0</v>
      </c>
      <c r="X484" s="61">
        <f t="shared" si="73"/>
        <v>0</v>
      </c>
      <c r="Y484" s="61">
        <f t="shared" si="74"/>
        <v>0</v>
      </c>
    </row>
    <row r="485" spans="1:25" x14ac:dyDescent="0.25">
      <c r="A485" s="51">
        <v>3300002029</v>
      </c>
      <c r="B485" s="51" t="s">
        <v>119</v>
      </c>
      <c r="C485" s="51" t="s">
        <v>151</v>
      </c>
      <c r="D485" s="51" t="s">
        <v>141</v>
      </c>
      <c r="E485" s="51" t="s">
        <v>133</v>
      </c>
      <c r="F485" s="52">
        <f>SUMIF('Customer Budget Per Category'!$A:$A,$A485,'Customer Budget Per Category'!$O:$O)</f>
        <v>291.76079346806767</v>
      </c>
      <c r="G485" s="52">
        <f>SUMIFS('Navision sales Dump'!$E:$E,'Navision sales Dump'!$K:$K,$E485,'Navision sales Dump'!$A:$A,$A485)</f>
        <v>72</v>
      </c>
      <c r="H485" s="62">
        <f>SUMIFS('Navision sales Dump'!$G:$G,'Navision sales Dump'!$K:$K,$E485,'Navision sales Dump'!$A:$A,$A485)</f>
        <v>721971.36</v>
      </c>
      <c r="I485" s="72">
        <f>IFERROR(IF(($G485/$F485)&gt;='Discount Scheme Target'!$F$4,_xlfn.XLOOKUP($E485,'Discount Scheme Target'!$B:$B,'Discount Scheme Target'!$F:$F,0,0),IF(($G485/$F485)&gt;='Discount Scheme Target'!$E$4,_xlfn.XLOOKUP($E485,'Discount Scheme Target'!$B:$B,'Discount Scheme Target'!$E:$E,0,0),IF(($G485/$F485)&gt;='Discount Scheme Target'!$D$4,_xlfn.XLOOKUP($E485,'Discount Scheme Target'!$B:$B,'Discount Scheme Target'!$D:$D,0,0),0))),0)</f>
        <v>0</v>
      </c>
      <c r="J485" s="72">
        <f>IF(SUMIF('Customer Num Distr.'!$A:$A,Workings!$A485,'Customer Num Distr.'!$E:$E)&gt;='Discount Scheme Target'!$G$4,_xlfn.XLOOKUP(Workings!$E485,'Discount Scheme Target'!$B:$B,'Discount Scheme Target'!$G:$G,0,0),0)</f>
        <v>0</v>
      </c>
      <c r="K485" s="72">
        <f>IF(SUMIF('Bouclage EG Cust Cons_Decons'!$A:$A,Workings!$A485,'Bouclage EG Cust Cons_Decons'!$F:$F)&gt;='Discount Scheme Target'!$H$4,_xlfn.XLOOKUP(Workings!$E485,'Discount Scheme Target'!$B:$B,'Discount Scheme Target'!$H:$H,0,0),0)</f>
        <v>0</v>
      </c>
      <c r="L485" s="72">
        <f>IF(INDEX('TT Around time'!$A$1:$F$46,MATCH($A485,'TT Around time'!$A:$A,0),6)&gt;='Discount Scheme Target'!$I$4,_xlfn.XLOOKUP(Workings!$E485,'Discount Scheme Target'!$B:$B,'Discount Scheme Target'!$I:$I,0,0),0)</f>
        <v>0</v>
      </c>
      <c r="M485" s="72">
        <f t="shared" si="68"/>
        <v>0</v>
      </c>
      <c r="N485" s="62">
        <f t="shared" si="75"/>
        <v>0</v>
      </c>
      <c r="T485" s="61">
        <f t="shared" si="69"/>
        <v>0</v>
      </c>
      <c r="U485" s="61">
        <f t="shared" si="70"/>
        <v>0</v>
      </c>
      <c r="V485" s="61">
        <f t="shared" si="71"/>
        <v>0</v>
      </c>
      <c r="W485" s="61">
        <f t="shared" si="72"/>
        <v>0</v>
      </c>
      <c r="X485" s="61">
        <f t="shared" si="73"/>
        <v>0</v>
      </c>
      <c r="Y485" s="61">
        <f t="shared" si="74"/>
        <v>0</v>
      </c>
    </row>
    <row r="486" spans="1:25" x14ac:dyDescent="0.25">
      <c r="A486" s="51">
        <v>3300002030</v>
      </c>
      <c r="B486" s="51" t="s">
        <v>760</v>
      </c>
      <c r="C486" s="51" t="s">
        <v>151</v>
      </c>
      <c r="D486" s="51" t="s">
        <v>141</v>
      </c>
      <c r="E486" s="51" t="s">
        <v>417</v>
      </c>
      <c r="F486" s="52">
        <f>SUMIF('Customer Budget Per Category'!$A:$A,$A486,'Customer Budget Per Category'!$E:$E)</f>
        <v>0</v>
      </c>
      <c r="G486" s="52">
        <f>SUMIFS('Navision sales Dump'!$E:$E,'Navision sales Dump'!$K:$K,$E486,'Navision sales Dump'!$A:$A,$A486)</f>
        <v>4685</v>
      </c>
      <c r="H486" s="62">
        <f>SUMIFS('Navision sales Dump'!$G:$G,'Navision sales Dump'!$K:$K,$E486,'Navision sales Dump'!$A:$A,$A486)</f>
        <v>34709869.479999997</v>
      </c>
      <c r="I486" s="72">
        <f>IFERROR(IF(($G486/$F486)&gt;='Discount Scheme Target'!$F$4,_xlfn.XLOOKUP($E486,'Discount Scheme Target'!$B:$B,'Discount Scheme Target'!$F:$F,0,0),IF(($G486/$F486)&gt;='Discount Scheme Target'!$E$4,_xlfn.XLOOKUP($E486,'Discount Scheme Target'!$B:$B,'Discount Scheme Target'!$E:$E,0,0),IF(($G486/$F486)&gt;='Discount Scheme Target'!$D$4,_xlfn.XLOOKUP($E486,'Discount Scheme Target'!$B:$B,'Discount Scheme Target'!$D:$D,0,0),0))),0)</f>
        <v>0</v>
      </c>
      <c r="J486" s="72">
        <f>IF(SUMIF('Customer Num Distr.'!$A:$A,Workings!$A486,'Customer Num Distr.'!$E:$E)&gt;='Discount Scheme Target'!$G$4,_xlfn.XLOOKUP(Workings!$E486,'Discount Scheme Target'!$B:$B,'Discount Scheme Target'!$G:$G,0,0),0)</f>
        <v>0</v>
      </c>
      <c r="K486" s="72">
        <f>IF(SUMIF('Bouclage EG Cust Cons_Decons'!$A:$A,Workings!$A486,'Bouclage EG Cust Cons_Decons'!$F:$F)&gt;='Discount Scheme Target'!$H$4,_xlfn.XLOOKUP(Workings!$E486,'Discount Scheme Target'!$B:$B,'Discount Scheme Target'!$H:$H,0,0),0)</f>
        <v>0</v>
      </c>
      <c r="L486" s="72">
        <f>IF(INDEX('TT Around time'!$A$1:$F$46,MATCH($A486,'TT Around time'!$A:$A,0),6)&gt;='Discount Scheme Target'!$I$4,_xlfn.XLOOKUP(Workings!$E486,'Discount Scheme Target'!$B:$B,'Discount Scheme Target'!$I:$I,0,0),0)</f>
        <v>0.01</v>
      </c>
      <c r="M486" s="72">
        <f t="shared" si="68"/>
        <v>0.01</v>
      </c>
      <c r="N486" s="62">
        <f t="shared" ref="N486:N496" si="76">IFERROR((H486/G486)*F486*M486,)</f>
        <v>0</v>
      </c>
      <c r="T486" s="61">
        <f t="shared" si="69"/>
        <v>0</v>
      </c>
      <c r="U486" s="61">
        <f t="shared" si="70"/>
        <v>0</v>
      </c>
      <c r="V486" s="61">
        <f t="shared" si="71"/>
        <v>0</v>
      </c>
      <c r="W486" s="61">
        <f t="shared" si="72"/>
        <v>0</v>
      </c>
      <c r="X486" s="61">
        <f t="shared" ref="X486:X496" si="77">SUM(T486:W486)</f>
        <v>0</v>
      </c>
      <c r="Y486" s="61">
        <f t="shared" ref="Y486:Y496" si="78">N486-X486</f>
        <v>0</v>
      </c>
    </row>
    <row r="487" spans="1:25" x14ac:dyDescent="0.25">
      <c r="A487" s="51">
        <v>3300002030</v>
      </c>
      <c r="B487" s="51" t="s">
        <v>760</v>
      </c>
      <c r="C487" s="51" t="s">
        <v>151</v>
      </c>
      <c r="D487" s="51" t="s">
        <v>141</v>
      </c>
      <c r="E487" s="51" t="s">
        <v>418</v>
      </c>
      <c r="F487" s="52">
        <f>SUMIF('Customer Budget Per Category'!$A:$A,$A487,'Customer Budget Per Category'!$F:$F)</f>
        <v>0</v>
      </c>
      <c r="G487" s="52">
        <f>SUMIFS('Navision sales Dump'!$E:$E,'Navision sales Dump'!$K:$K,$E487,'Navision sales Dump'!$A:$A,$A487)</f>
        <v>0</v>
      </c>
      <c r="H487" s="62">
        <f>SUMIFS('Navision sales Dump'!$G:$G,'Navision sales Dump'!$K:$K,$E487,'Navision sales Dump'!$A:$A,$A487)</f>
        <v>0</v>
      </c>
      <c r="I487" s="72">
        <f>IFERROR(IF(($G487/$F487)&gt;='Discount Scheme Target'!$F$4,_xlfn.XLOOKUP($E487,'Discount Scheme Target'!$B:$B,'Discount Scheme Target'!$F:$F,0,0),IF(($G487/$F487)&gt;='Discount Scheme Target'!$E$4,_xlfn.XLOOKUP($E487,'Discount Scheme Target'!$B:$B,'Discount Scheme Target'!$E:$E,0,0),IF(($G487/$F487)&gt;='Discount Scheme Target'!$D$4,_xlfn.XLOOKUP($E487,'Discount Scheme Target'!$B:$B,'Discount Scheme Target'!$D:$D,0,0),0))),0)</f>
        <v>0</v>
      </c>
      <c r="J487" s="72">
        <f>IF(SUMIF('Customer Num Distr.'!$A:$A,Workings!$A487,'Customer Num Distr.'!$E:$E)&gt;='Discount Scheme Target'!$G$4,_xlfn.XLOOKUP(Workings!$E487,'Discount Scheme Target'!$B:$B,'Discount Scheme Target'!$G:$G,0,0),0)</f>
        <v>0</v>
      </c>
      <c r="K487" s="72">
        <f>IF(SUMIF('Bouclage EG Cust Cons_Decons'!$A:$A,Workings!$A487,'Bouclage EG Cust Cons_Decons'!$F:$F)&gt;='Discount Scheme Target'!$H$4,_xlfn.XLOOKUP(Workings!$E487,'Discount Scheme Target'!$B:$B,'Discount Scheme Target'!$H:$H,0,0),0)</f>
        <v>0</v>
      </c>
      <c r="L487" s="72">
        <f>IF(INDEX('TT Around time'!$A$1:$F$46,MATCH($A487,'TT Around time'!$A:$A,0),6)&gt;='Discount Scheme Target'!$I$4,_xlfn.XLOOKUP(Workings!$E487,'Discount Scheme Target'!$B:$B,'Discount Scheme Target'!$I:$I,0,0),0)</f>
        <v>0</v>
      </c>
      <c r="M487" s="72">
        <f t="shared" si="68"/>
        <v>0</v>
      </c>
      <c r="N487" s="62">
        <f t="shared" si="76"/>
        <v>0</v>
      </c>
      <c r="T487" s="61">
        <f t="shared" si="69"/>
        <v>0</v>
      </c>
      <c r="U487" s="61">
        <f t="shared" si="70"/>
        <v>0</v>
      </c>
      <c r="V487" s="61">
        <f t="shared" si="71"/>
        <v>0</v>
      </c>
      <c r="W487" s="61">
        <f t="shared" si="72"/>
        <v>0</v>
      </c>
      <c r="X487" s="61">
        <f t="shared" si="77"/>
        <v>0</v>
      </c>
      <c r="Y487" s="61">
        <f t="shared" si="78"/>
        <v>0</v>
      </c>
    </row>
    <row r="488" spans="1:25" x14ac:dyDescent="0.25">
      <c r="A488" s="51">
        <v>3300002030</v>
      </c>
      <c r="B488" s="51" t="s">
        <v>760</v>
      </c>
      <c r="C488" s="51" t="s">
        <v>151</v>
      </c>
      <c r="D488" s="51" t="s">
        <v>141</v>
      </c>
      <c r="E488" s="51" t="s">
        <v>130</v>
      </c>
      <c r="F488" s="52">
        <f>SUMIF('Customer Budget Per Category'!$A:$A,$A488,'Customer Budget Per Category'!$G:$G)</f>
        <v>0</v>
      </c>
      <c r="G488" s="52">
        <f>SUMIFS('Navision sales Dump'!$E:$E,'Navision sales Dump'!$K:$K,$E488,'Navision sales Dump'!$A:$A,$A488)</f>
        <v>215</v>
      </c>
      <c r="H488" s="62">
        <f>SUMIFS('Navision sales Dump'!$G:$G,'Navision sales Dump'!$K:$K,$E488,'Navision sales Dump'!$A:$A,$A488)</f>
        <v>1660943.8</v>
      </c>
      <c r="I488" s="72">
        <f>IFERROR(IF(($G488/$F488)&gt;='Discount Scheme Target'!$F$4,_xlfn.XLOOKUP($E488,'Discount Scheme Target'!$B:$B,'Discount Scheme Target'!$F:$F,0,0),IF(($G488/$F488)&gt;='Discount Scheme Target'!$E$4,_xlfn.XLOOKUP($E488,'Discount Scheme Target'!$B:$B,'Discount Scheme Target'!$E:$E,0,0),IF(($G488/$F488)&gt;='Discount Scheme Target'!$D$4,_xlfn.XLOOKUP($E488,'Discount Scheme Target'!$B:$B,'Discount Scheme Target'!$D:$D,0,0),0))),0)</f>
        <v>0</v>
      </c>
      <c r="J488" s="72">
        <f>IF(SUMIF('Customer Num Distr.'!$A:$A,Workings!$A488,'Customer Num Distr.'!$E:$E)&gt;='Discount Scheme Target'!$G$4,_xlfn.XLOOKUP(Workings!$E488,'Discount Scheme Target'!$B:$B,'Discount Scheme Target'!$G:$G,0,0),0)</f>
        <v>0</v>
      </c>
      <c r="K488" s="72">
        <f>IF(SUMIF('Bouclage EG Cust Cons_Decons'!$A:$A,Workings!$A488,'Bouclage EG Cust Cons_Decons'!$F:$F)&gt;='Discount Scheme Target'!$H$4,_xlfn.XLOOKUP(Workings!$E488,'Discount Scheme Target'!$B:$B,'Discount Scheme Target'!$H:$H,0,0),0)</f>
        <v>0</v>
      </c>
      <c r="L488" s="72">
        <f>IF(INDEX('TT Around time'!$A$1:$F$46,MATCH($A488,'TT Around time'!$A:$A,0),6)&gt;='Discount Scheme Target'!$I$4,_xlfn.XLOOKUP(Workings!$E488,'Discount Scheme Target'!$B:$B,'Discount Scheme Target'!$I:$I,0,0),0)</f>
        <v>0.01</v>
      </c>
      <c r="M488" s="72">
        <f t="shared" si="68"/>
        <v>0.01</v>
      </c>
      <c r="N488" s="62">
        <f t="shared" si="76"/>
        <v>0</v>
      </c>
      <c r="T488" s="61">
        <f t="shared" si="69"/>
        <v>0</v>
      </c>
      <c r="U488" s="61">
        <f t="shared" si="70"/>
        <v>0</v>
      </c>
      <c r="V488" s="61">
        <f t="shared" si="71"/>
        <v>0</v>
      </c>
      <c r="W488" s="61">
        <f t="shared" si="72"/>
        <v>0</v>
      </c>
      <c r="X488" s="61">
        <f t="shared" si="77"/>
        <v>0</v>
      </c>
      <c r="Y488" s="61">
        <f t="shared" si="78"/>
        <v>0</v>
      </c>
    </row>
    <row r="489" spans="1:25" x14ac:dyDescent="0.25">
      <c r="A489" s="51">
        <v>3300002030</v>
      </c>
      <c r="B489" s="51" t="s">
        <v>760</v>
      </c>
      <c r="C489" s="51" t="s">
        <v>151</v>
      </c>
      <c r="D489" s="51" t="s">
        <v>141</v>
      </c>
      <c r="E489" s="51" t="s">
        <v>131</v>
      </c>
      <c r="F489" s="52">
        <f>SUMIF('Customer Budget Per Category'!$A:$A,$A489,'Customer Budget Per Category'!$H:$H)</f>
        <v>0</v>
      </c>
      <c r="G489" s="52">
        <f>SUMIFS('Navision sales Dump'!$E:$E,'Navision sales Dump'!$K:$K,$E489,'Navision sales Dump'!$A:$A,$A489)</f>
        <v>40</v>
      </c>
      <c r="H489" s="62">
        <f>SUMIFS('Navision sales Dump'!$G:$G,'Navision sales Dump'!$K:$K,$E489,'Navision sales Dump'!$A:$A,$A489)</f>
        <v>1626159.6</v>
      </c>
      <c r="I489" s="72">
        <f>IFERROR(IF(($G489/$F489)&gt;='Discount Scheme Target'!$F$4,_xlfn.XLOOKUP($E489,'Discount Scheme Target'!$B:$B,'Discount Scheme Target'!$F:$F,0,0),IF(($G489/$F489)&gt;='Discount Scheme Target'!$E$4,_xlfn.XLOOKUP($E489,'Discount Scheme Target'!$B:$B,'Discount Scheme Target'!$E:$E,0,0),IF(($G489/$F489)&gt;='Discount Scheme Target'!$D$4,_xlfn.XLOOKUP($E489,'Discount Scheme Target'!$B:$B,'Discount Scheme Target'!$D:$D,0,0),0))),0)</f>
        <v>0</v>
      </c>
      <c r="J489" s="72">
        <f>IF(SUMIF('Customer Num Distr.'!$A:$A,Workings!$A489,'Customer Num Distr.'!$E:$E)&gt;='Discount Scheme Target'!$G$4,_xlfn.XLOOKUP(Workings!$E489,'Discount Scheme Target'!$B:$B,'Discount Scheme Target'!$G:$G,0,0),0)</f>
        <v>0</v>
      </c>
      <c r="K489" s="72">
        <f>IF(SUMIF('Bouclage EG Cust Cons_Decons'!$A:$A,Workings!$A489,'Bouclage EG Cust Cons_Decons'!$F:$F)&gt;='Discount Scheme Target'!$H$4,_xlfn.XLOOKUP(Workings!$E489,'Discount Scheme Target'!$B:$B,'Discount Scheme Target'!$H:$H,0,0),0)</f>
        <v>0</v>
      </c>
      <c r="L489" s="72">
        <f>IF(INDEX('TT Around time'!$A$1:$F$46,MATCH($A489,'TT Around time'!$A:$A,0),6)&gt;='Discount Scheme Target'!$I$4,_xlfn.XLOOKUP(Workings!$E489,'Discount Scheme Target'!$B:$B,'Discount Scheme Target'!$I:$I,0,0),0)</f>
        <v>5.0000000000000001E-3</v>
      </c>
      <c r="M489" s="72">
        <f t="shared" si="68"/>
        <v>5.0000000000000001E-3</v>
      </c>
      <c r="N489" s="62">
        <f t="shared" si="76"/>
        <v>0</v>
      </c>
      <c r="T489" s="61">
        <f t="shared" si="69"/>
        <v>0</v>
      </c>
      <c r="U489" s="61">
        <f t="shared" si="70"/>
        <v>0</v>
      </c>
      <c r="V489" s="61">
        <f t="shared" si="71"/>
        <v>0</v>
      </c>
      <c r="W489" s="61">
        <f t="shared" si="72"/>
        <v>0</v>
      </c>
      <c r="X489" s="61">
        <f t="shared" si="77"/>
        <v>0</v>
      </c>
      <c r="Y489" s="61">
        <f t="shared" si="78"/>
        <v>0</v>
      </c>
    </row>
    <row r="490" spans="1:25" x14ac:dyDescent="0.25">
      <c r="A490" s="51">
        <v>3300002030</v>
      </c>
      <c r="B490" s="51" t="s">
        <v>760</v>
      </c>
      <c r="C490" s="51" t="s">
        <v>151</v>
      </c>
      <c r="D490" s="51" t="s">
        <v>141</v>
      </c>
      <c r="E490" s="51" t="s">
        <v>514</v>
      </c>
      <c r="F490" s="52">
        <f>SUMIF('Customer Budget Per Category'!$A:$A,$A490,'Customer Budget Per Category'!$I:$I)</f>
        <v>0</v>
      </c>
      <c r="G490" s="52">
        <f>SUMIFS('Navision sales Dump'!$E:$E,'Navision sales Dump'!$K:$K,$E490,'Navision sales Dump'!$A:$A,$A490)</f>
        <v>2085</v>
      </c>
      <c r="H490" s="62">
        <f>SUMIFS('Navision sales Dump'!$G:$G,'Navision sales Dump'!$K:$K,$E490,'Navision sales Dump'!$A:$A,$A490)</f>
        <v>8252492.5499999998</v>
      </c>
      <c r="I490" s="72">
        <f>IFERROR(IF(($G490/$F490)&gt;='Discount Scheme Target'!$F$4,_xlfn.XLOOKUP($E490,'Discount Scheme Target'!$B:$B,'Discount Scheme Target'!$F:$F,0,0),IF(($G490/$F490)&gt;='Discount Scheme Target'!$E$4,_xlfn.XLOOKUP($E490,'Discount Scheme Target'!$B:$B,'Discount Scheme Target'!$E:$E,0,0),IF(($G490/$F490)&gt;='Discount Scheme Target'!$D$4,_xlfn.XLOOKUP($E490,'Discount Scheme Target'!$B:$B,'Discount Scheme Target'!$D:$D,0,0),0))),0)</f>
        <v>0</v>
      </c>
      <c r="J490" s="72">
        <f>IF(SUMIF('Customer Num Distr.'!$A:$A,Workings!$A490,'Customer Num Distr.'!$E:$E)&gt;='Discount Scheme Target'!$G$4,_xlfn.XLOOKUP(Workings!$E490,'Discount Scheme Target'!$B:$B,'Discount Scheme Target'!$G:$G,0,0),0)</f>
        <v>0</v>
      </c>
      <c r="K490" s="72">
        <f>IF(SUMIF('Bouclage EG Cust Cons_Decons'!$A:$A,Workings!$A490,'Bouclage EG Cust Cons_Decons'!$F:$F)&gt;='Discount Scheme Target'!$H$4,_xlfn.XLOOKUP(Workings!$E490,'Discount Scheme Target'!$B:$B,'Discount Scheme Target'!$H:$H,0,0),0)</f>
        <v>0</v>
      </c>
      <c r="L490" s="72">
        <f>IF(INDEX('TT Around time'!$A$1:$F$46,MATCH($A490,'TT Around time'!$A:$A,0),6)&gt;='Discount Scheme Target'!$I$4,_xlfn.XLOOKUP(Workings!$E490,'Discount Scheme Target'!$B:$B,'Discount Scheme Target'!$I:$I,0,0),0)</f>
        <v>5.0000000000000001E-3</v>
      </c>
      <c r="M490" s="72">
        <f t="shared" si="68"/>
        <v>5.0000000000000001E-3</v>
      </c>
      <c r="N490" s="62">
        <f t="shared" si="76"/>
        <v>0</v>
      </c>
      <c r="T490" s="61">
        <f t="shared" si="69"/>
        <v>0</v>
      </c>
      <c r="U490" s="61">
        <f t="shared" si="70"/>
        <v>0</v>
      </c>
      <c r="V490" s="61">
        <f t="shared" si="71"/>
        <v>0</v>
      </c>
      <c r="W490" s="61">
        <f t="shared" si="72"/>
        <v>0</v>
      </c>
      <c r="X490" s="61">
        <f t="shared" si="77"/>
        <v>0</v>
      </c>
      <c r="Y490" s="61">
        <f t="shared" si="78"/>
        <v>0</v>
      </c>
    </row>
    <row r="491" spans="1:25" x14ac:dyDescent="0.25">
      <c r="A491" s="51">
        <v>3300002030</v>
      </c>
      <c r="B491" s="51" t="s">
        <v>760</v>
      </c>
      <c r="C491" s="51" t="s">
        <v>151</v>
      </c>
      <c r="D491" s="51" t="s">
        <v>141</v>
      </c>
      <c r="E491" s="51" t="s">
        <v>515</v>
      </c>
      <c r="F491" s="52">
        <f>SUMIF('Customer Budget Per Category'!$A:$A,$A491,'Customer Budget Per Category'!$J:$J)</f>
        <v>0</v>
      </c>
      <c r="G491" s="52">
        <f>SUMIFS('Navision sales Dump'!$E:$E,'Navision sales Dump'!$K:$K,$E491,'Navision sales Dump'!$A:$A,$A491)</f>
        <v>288</v>
      </c>
      <c r="H491" s="62">
        <f>SUMIFS('Navision sales Dump'!$G:$G,'Navision sales Dump'!$K:$K,$E491,'Navision sales Dump'!$A:$A,$A491)</f>
        <v>812995.2</v>
      </c>
      <c r="I491" s="72">
        <f>IFERROR(IF(($G491/$F491)&gt;='Discount Scheme Target'!$F$4,_xlfn.XLOOKUP($E491,'Discount Scheme Target'!$B:$B,'Discount Scheme Target'!$F:$F,0,0),IF(($G491/$F491)&gt;='Discount Scheme Target'!$E$4,_xlfn.XLOOKUP($E491,'Discount Scheme Target'!$B:$B,'Discount Scheme Target'!$E:$E,0,0),IF(($G491/$F491)&gt;='Discount Scheme Target'!$D$4,_xlfn.XLOOKUP($E491,'Discount Scheme Target'!$B:$B,'Discount Scheme Target'!$D:$D,0,0),0))),0)</f>
        <v>0</v>
      </c>
      <c r="J491" s="72">
        <f>IF(SUMIF('Customer Num Distr.'!$A:$A,Workings!$A491,'Customer Num Distr.'!$E:$E)&gt;='Discount Scheme Target'!$G$4,_xlfn.XLOOKUP(Workings!$E491,'Discount Scheme Target'!$B:$B,'Discount Scheme Target'!$G:$G,0,0),0)</f>
        <v>0</v>
      </c>
      <c r="K491" s="72">
        <f>IF(SUMIF('Bouclage EG Cust Cons_Decons'!$A:$A,Workings!$A491,'Bouclage EG Cust Cons_Decons'!$F:$F)&gt;='Discount Scheme Target'!$H$4,_xlfn.XLOOKUP(Workings!$E491,'Discount Scheme Target'!$B:$B,'Discount Scheme Target'!$H:$H,0,0),0)</f>
        <v>0</v>
      </c>
      <c r="L491" s="72">
        <f>IF(INDEX('TT Around time'!$A$1:$F$46,MATCH($A491,'TT Around time'!$A:$A,0),6)&gt;='Discount Scheme Target'!$I$4,_xlfn.XLOOKUP(Workings!$E491,'Discount Scheme Target'!$B:$B,'Discount Scheme Target'!$I:$I,0,0),0)</f>
        <v>5.0000000000000001E-3</v>
      </c>
      <c r="M491" s="72">
        <f t="shared" si="68"/>
        <v>5.0000000000000001E-3</v>
      </c>
      <c r="N491" s="62">
        <f t="shared" si="76"/>
        <v>0</v>
      </c>
      <c r="T491" s="61">
        <f t="shared" si="69"/>
        <v>0</v>
      </c>
      <c r="U491" s="61">
        <f t="shared" si="70"/>
        <v>0</v>
      </c>
      <c r="V491" s="61">
        <f t="shared" si="71"/>
        <v>0</v>
      </c>
      <c r="W491" s="61">
        <f t="shared" si="72"/>
        <v>0</v>
      </c>
      <c r="X491" s="61">
        <f t="shared" si="77"/>
        <v>0</v>
      </c>
      <c r="Y491" s="61">
        <f t="shared" si="78"/>
        <v>0</v>
      </c>
    </row>
    <row r="492" spans="1:25" x14ac:dyDescent="0.25">
      <c r="A492" s="51">
        <v>3300002030</v>
      </c>
      <c r="B492" s="51" t="s">
        <v>760</v>
      </c>
      <c r="C492" s="51" t="s">
        <v>151</v>
      </c>
      <c r="D492" s="51" t="s">
        <v>141</v>
      </c>
      <c r="E492" s="51" t="s">
        <v>161</v>
      </c>
      <c r="F492" s="52">
        <f>SUMIF('Customer Budget Per Category'!$A:$A,$A492,'Customer Budget Per Category'!$K:$K)</f>
        <v>0</v>
      </c>
      <c r="G492" s="52">
        <f>SUMIFS('Navision sales Dump'!$E:$E,'Navision sales Dump'!$K:$K,$E492,'Navision sales Dump'!$A:$A,$A492)</f>
        <v>0</v>
      </c>
      <c r="H492" s="62">
        <f>SUMIFS('Navision sales Dump'!$G:$G,'Navision sales Dump'!$K:$K,$E492,'Navision sales Dump'!$A:$A,$A492)</f>
        <v>0</v>
      </c>
      <c r="I492" s="72">
        <f>IFERROR(IF(($G492/$F492)&gt;='Discount Scheme Target'!$F$4,_xlfn.XLOOKUP($E492,'Discount Scheme Target'!$B:$B,'Discount Scheme Target'!$F:$F,0,0),IF(($G492/$F492)&gt;='Discount Scheme Target'!$E$4,_xlfn.XLOOKUP($E492,'Discount Scheme Target'!$B:$B,'Discount Scheme Target'!$E:$E,0,0),IF(($G492/$F492)&gt;='Discount Scheme Target'!$D$4,_xlfn.XLOOKUP($E492,'Discount Scheme Target'!$B:$B,'Discount Scheme Target'!$D:$D,0,0),0))),0)</f>
        <v>0</v>
      </c>
      <c r="J492" s="72">
        <f>IF(SUMIF('Customer Num Distr.'!$A:$A,Workings!$A492,'Customer Num Distr.'!$E:$E)&gt;='Discount Scheme Target'!$G$4,_xlfn.XLOOKUP(Workings!$E492,'Discount Scheme Target'!$B:$B,'Discount Scheme Target'!$G:$G,0,0),0)</f>
        <v>0</v>
      </c>
      <c r="K492" s="72">
        <f>IF(SUMIF('Bouclage EG Cust Cons_Decons'!$A:$A,Workings!$A492,'Bouclage EG Cust Cons_Decons'!$F:$F)&gt;='Discount Scheme Target'!$H$4,_xlfn.XLOOKUP(Workings!$E492,'Discount Scheme Target'!$B:$B,'Discount Scheme Target'!$H:$H,0,0),0)</f>
        <v>0</v>
      </c>
      <c r="L492" s="72">
        <f>IF(INDEX('TT Around time'!$A$1:$F$46,MATCH($A492,'TT Around time'!$A:$A,0),6)&gt;='Discount Scheme Target'!$I$4,_xlfn.XLOOKUP(Workings!$E492,'Discount Scheme Target'!$B:$B,'Discount Scheme Target'!$I:$I,0,0),0)</f>
        <v>0</v>
      </c>
      <c r="M492" s="72">
        <f t="shared" si="68"/>
        <v>0</v>
      </c>
      <c r="N492" s="62">
        <f t="shared" si="76"/>
        <v>0</v>
      </c>
      <c r="T492" s="61">
        <f t="shared" si="69"/>
        <v>0</v>
      </c>
      <c r="U492" s="61">
        <f t="shared" si="70"/>
        <v>0</v>
      </c>
      <c r="V492" s="61">
        <f t="shared" si="71"/>
        <v>0</v>
      </c>
      <c r="W492" s="61">
        <f t="shared" si="72"/>
        <v>0</v>
      </c>
      <c r="X492" s="61">
        <f t="shared" si="77"/>
        <v>0</v>
      </c>
      <c r="Y492" s="61">
        <f t="shared" si="78"/>
        <v>0</v>
      </c>
    </row>
    <row r="493" spans="1:25" x14ac:dyDescent="0.25">
      <c r="A493" s="51">
        <v>3300002030</v>
      </c>
      <c r="B493" s="51" t="s">
        <v>760</v>
      </c>
      <c r="C493" s="51" t="s">
        <v>151</v>
      </c>
      <c r="D493" s="51" t="s">
        <v>141</v>
      </c>
      <c r="E493" s="51" t="s">
        <v>354</v>
      </c>
      <c r="F493" s="52">
        <f>SUMIF('Customer Budget Per Category'!$A:$A,$A493,'Customer Budget Per Category'!$L:$L)</f>
        <v>0</v>
      </c>
      <c r="G493" s="52">
        <f>SUMIFS('Navision sales Dump'!$E:$E,'Navision sales Dump'!$K:$K,$E493,'Navision sales Dump'!$A:$A,$A493)</f>
        <v>719</v>
      </c>
      <c r="H493" s="62">
        <f>SUMIFS('Navision sales Dump'!$G:$G,'Navision sales Dump'!$K:$K,$E493,'Navision sales Dump'!$A:$A,$A493)</f>
        <v>2514009.56</v>
      </c>
      <c r="I493" s="72">
        <f>IFERROR(IF(($G493/$F493)&gt;='Discount Scheme Target'!$F$4,_xlfn.XLOOKUP($E493,'Discount Scheme Target'!$B:$B,'Discount Scheme Target'!$F:$F,0,0),IF(($G493/$F493)&gt;='Discount Scheme Target'!$E$4,_xlfn.XLOOKUP($E493,'Discount Scheme Target'!$B:$B,'Discount Scheme Target'!$E:$E,0,0),IF(($G493/$F493)&gt;='Discount Scheme Target'!$D$4,_xlfn.XLOOKUP($E493,'Discount Scheme Target'!$B:$B,'Discount Scheme Target'!$D:$D,0,0),0))),0)</f>
        <v>0</v>
      </c>
      <c r="J493" s="72">
        <f>IF(SUMIF('Customer Num Distr.'!$A:$A,Workings!$A493,'Customer Num Distr.'!$E:$E)&gt;='Discount Scheme Target'!$G$4,_xlfn.XLOOKUP(Workings!$E493,'Discount Scheme Target'!$B:$B,'Discount Scheme Target'!$G:$G,0,0),0)</f>
        <v>0</v>
      </c>
      <c r="K493" s="72">
        <f>IF(SUMIF('Bouclage EG Cust Cons_Decons'!$A:$A,Workings!$A493,'Bouclage EG Cust Cons_Decons'!$F:$F)&gt;='Discount Scheme Target'!$H$4,_xlfn.XLOOKUP(Workings!$E493,'Discount Scheme Target'!$B:$B,'Discount Scheme Target'!$H:$H,0,0),0)</f>
        <v>0</v>
      </c>
      <c r="L493" s="72">
        <f>IF(INDEX('TT Around time'!$A$1:$F$46,MATCH($A493,'TT Around time'!$A:$A,0),6)&gt;='Discount Scheme Target'!$I$4,_xlfn.XLOOKUP(Workings!$E493,'Discount Scheme Target'!$B:$B,'Discount Scheme Target'!$I:$I,0,0),0)</f>
        <v>5.0000000000000001E-3</v>
      </c>
      <c r="M493" s="72">
        <f t="shared" ref="M493:M496" si="79">SUM($I493:$L493)</f>
        <v>5.0000000000000001E-3</v>
      </c>
      <c r="N493" s="62">
        <f t="shared" si="76"/>
        <v>0</v>
      </c>
      <c r="T493" s="61">
        <f t="shared" ref="T493:T496" si="80">IFERROR(($H493/$G493)*$F493*$I493,)</f>
        <v>0</v>
      </c>
      <c r="U493" s="61">
        <f t="shared" ref="U493:U496" si="81">IFERROR(($H493/$G493)*$F493*$J493,)</f>
        <v>0</v>
      </c>
      <c r="V493" s="61">
        <f t="shared" ref="V493:V496" si="82">IFERROR(($H493/$G493)*$F493*$K493,)</f>
        <v>0</v>
      </c>
      <c r="W493" s="61">
        <f t="shared" ref="W493:W496" si="83">IFERROR(($H493/$G493)*$F493*$L493,)</f>
        <v>0</v>
      </c>
      <c r="X493" s="61">
        <f t="shared" si="77"/>
        <v>0</v>
      </c>
      <c r="Y493" s="61">
        <f t="shared" si="78"/>
        <v>0</v>
      </c>
    </row>
    <row r="494" spans="1:25" x14ac:dyDescent="0.25">
      <c r="A494" s="51">
        <v>3300002030</v>
      </c>
      <c r="B494" s="51" t="s">
        <v>760</v>
      </c>
      <c r="C494" s="51" t="s">
        <v>151</v>
      </c>
      <c r="D494" s="51" t="s">
        <v>141</v>
      </c>
      <c r="E494" s="51" t="s">
        <v>355</v>
      </c>
      <c r="F494" s="52">
        <f>SUMIF('Customer Budget Per Category'!$A:$A,$A494,'Customer Budget Per Category'!$M:$M)</f>
        <v>0</v>
      </c>
      <c r="G494" s="52">
        <f>SUMIFS('Navision sales Dump'!$E:$E,'Navision sales Dump'!$K:$K,$E494,'Navision sales Dump'!$A:$A,$A494)</f>
        <v>288</v>
      </c>
      <c r="H494" s="62">
        <f>SUMIFS('Navision sales Dump'!$G:$G,'Navision sales Dump'!$K:$K,$E494,'Navision sales Dump'!$A:$A,$A494)</f>
        <v>812995.2</v>
      </c>
      <c r="I494" s="72">
        <f>IFERROR(IF(($G494/$F494)&gt;='Discount Scheme Target'!$F$4,_xlfn.XLOOKUP($E494,'Discount Scheme Target'!$B:$B,'Discount Scheme Target'!$F:$F,0,0),IF(($G494/$F494)&gt;='Discount Scheme Target'!$E$4,_xlfn.XLOOKUP($E494,'Discount Scheme Target'!$B:$B,'Discount Scheme Target'!$E:$E,0,0),IF(($G494/$F494)&gt;='Discount Scheme Target'!$D$4,_xlfn.XLOOKUP($E494,'Discount Scheme Target'!$B:$B,'Discount Scheme Target'!$D:$D,0,0),0))),0)</f>
        <v>0</v>
      </c>
      <c r="J494" s="72">
        <f>IF(SUMIF('Customer Num Distr.'!$A:$A,Workings!$A494,'Customer Num Distr.'!$E:$E)&gt;='Discount Scheme Target'!$G$4,_xlfn.XLOOKUP(Workings!$E494,'Discount Scheme Target'!$B:$B,'Discount Scheme Target'!$G:$G,0,0),0)</f>
        <v>0</v>
      </c>
      <c r="K494" s="72">
        <f>IF(SUMIF('Bouclage EG Cust Cons_Decons'!$A:$A,Workings!$A494,'Bouclage EG Cust Cons_Decons'!$F:$F)&gt;='Discount Scheme Target'!$H$4,_xlfn.XLOOKUP(Workings!$E494,'Discount Scheme Target'!$B:$B,'Discount Scheme Target'!$H:$H,0,0),0)</f>
        <v>0</v>
      </c>
      <c r="L494" s="72">
        <f>IF(INDEX('TT Around time'!$A$1:$F$46,MATCH($A494,'TT Around time'!$A:$A,0),6)&gt;='Discount Scheme Target'!$I$4,_xlfn.XLOOKUP(Workings!$E494,'Discount Scheme Target'!$B:$B,'Discount Scheme Target'!$I:$I,0,0),0)</f>
        <v>5.0000000000000001E-3</v>
      </c>
      <c r="M494" s="72">
        <f t="shared" si="79"/>
        <v>5.0000000000000001E-3</v>
      </c>
      <c r="N494" s="62">
        <f t="shared" si="76"/>
        <v>0</v>
      </c>
      <c r="T494" s="61">
        <f t="shared" si="80"/>
        <v>0</v>
      </c>
      <c r="U494" s="61">
        <f t="shared" si="81"/>
        <v>0</v>
      </c>
      <c r="V494" s="61">
        <f t="shared" si="82"/>
        <v>0</v>
      </c>
      <c r="W494" s="61">
        <f t="shared" si="83"/>
        <v>0</v>
      </c>
      <c r="X494" s="61">
        <f t="shared" si="77"/>
        <v>0</v>
      </c>
      <c r="Y494" s="61">
        <f t="shared" si="78"/>
        <v>0</v>
      </c>
    </row>
    <row r="495" spans="1:25" x14ac:dyDescent="0.25">
      <c r="A495" s="51">
        <v>3300002030</v>
      </c>
      <c r="B495" s="51" t="s">
        <v>760</v>
      </c>
      <c r="C495" s="51" t="s">
        <v>151</v>
      </c>
      <c r="D495" s="51" t="s">
        <v>141</v>
      </c>
      <c r="E495" s="51" t="s">
        <v>132</v>
      </c>
      <c r="F495" s="52">
        <f>SUMIF('Customer Budget Per Category'!$A:$A,$A495,'Customer Budget Per Category'!$N:$N)</f>
        <v>0</v>
      </c>
      <c r="G495" s="52">
        <f>SUMIFS('Navision sales Dump'!$E:$E,'Navision sales Dump'!$K:$K,$E495,'Navision sales Dump'!$A:$A,$A495)</f>
        <v>0</v>
      </c>
      <c r="H495" s="62">
        <f>SUMIFS('Navision sales Dump'!$G:$G,'Navision sales Dump'!$K:$K,$E495,'Navision sales Dump'!$A:$A,$A495)</f>
        <v>0</v>
      </c>
      <c r="I495" s="72">
        <f>IFERROR(IF(($G495/$F495)&gt;='Discount Scheme Target'!$F$4,_xlfn.XLOOKUP($E495,'Discount Scheme Target'!$B:$B,'Discount Scheme Target'!$F:$F,0,0),IF(($G495/$F495)&gt;='Discount Scheme Target'!$E$4,_xlfn.XLOOKUP($E495,'Discount Scheme Target'!$B:$B,'Discount Scheme Target'!$E:$E,0,0),IF(($G495/$F495)&gt;='Discount Scheme Target'!$D$4,_xlfn.XLOOKUP($E495,'Discount Scheme Target'!$B:$B,'Discount Scheme Target'!$D:$D,0,0),0))),0)</f>
        <v>0</v>
      </c>
      <c r="J495" s="72">
        <f>IF(SUMIF('Customer Num Distr.'!$A:$A,Workings!$A495,'Customer Num Distr.'!$E:$E)&gt;='Discount Scheme Target'!$G$4,_xlfn.XLOOKUP(Workings!$E495,'Discount Scheme Target'!$B:$B,'Discount Scheme Target'!$G:$G,0,0),0)</f>
        <v>0</v>
      </c>
      <c r="K495" s="72">
        <f>IF(SUMIF('Bouclage EG Cust Cons_Decons'!$A:$A,Workings!$A495,'Bouclage EG Cust Cons_Decons'!$F:$F)&gt;='Discount Scheme Target'!$H$4,_xlfn.XLOOKUP(Workings!$E495,'Discount Scheme Target'!$B:$B,'Discount Scheme Target'!$H:$H,0,0),0)</f>
        <v>0</v>
      </c>
      <c r="L495" s="72">
        <f>IF(INDEX('TT Around time'!$A$1:$F$46,MATCH($A495,'TT Around time'!$A:$A,0),6)&gt;='Discount Scheme Target'!$I$4,_xlfn.XLOOKUP(Workings!$E495,'Discount Scheme Target'!$B:$B,'Discount Scheme Target'!$I:$I,0,0),0)</f>
        <v>5.0000000000000001E-3</v>
      </c>
      <c r="M495" s="72">
        <f t="shared" si="79"/>
        <v>5.0000000000000001E-3</v>
      </c>
      <c r="N495" s="62">
        <f t="shared" si="76"/>
        <v>0</v>
      </c>
      <c r="T495" s="61">
        <f t="shared" si="80"/>
        <v>0</v>
      </c>
      <c r="U495" s="61">
        <f t="shared" si="81"/>
        <v>0</v>
      </c>
      <c r="V495" s="61">
        <f t="shared" si="82"/>
        <v>0</v>
      </c>
      <c r="W495" s="61">
        <f t="shared" si="83"/>
        <v>0</v>
      </c>
      <c r="X495" s="61">
        <f t="shared" si="77"/>
        <v>0</v>
      </c>
      <c r="Y495" s="61">
        <f t="shared" si="78"/>
        <v>0</v>
      </c>
    </row>
    <row r="496" spans="1:25" x14ac:dyDescent="0.25">
      <c r="A496" s="53">
        <v>3300002030</v>
      </c>
      <c r="B496" s="53" t="s">
        <v>760</v>
      </c>
      <c r="C496" s="53" t="s">
        <v>151</v>
      </c>
      <c r="D496" s="53" t="s">
        <v>141</v>
      </c>
      <c r="E496" s="53" t="s">
        <v>133</v>
      </c>
      <c r="F496" s="54">
        <f>SUMIF('Customer Budget Per Category'!$A:$A,$A496,'Customer Budget Per Category'!$O:$O)</f>
        <v>0</v>
      </c>
      <c r="G496" s="54">
        <f>SUMIFS('Navision sales Dump'!$E:$E,'Navision sales Dump'!$K:$K,$E496,'Navision sales Dump'!$A:$A,$A496)</f>
        <v>143</v>
      </c>
      <c r="H496" s="63">
        <f>SUMIFS('Navision sales Dump'!$G:$G,'Navision sales Dump'!$K:$K,$E496,'Navision sales Dump'!$A:$A,$A496)</f>
        <v>1433915.3399999999</v>
      </c>
      <c r="I496" s="73">
        <f>IFERROR(IF(($G496/$F496)&gt;='Discount Scheme Target'!$F$4,_xlfn.XLOOKUP($E496,'Discount Scheme Target'!$B:$B,'Discount Scheme Target'!$F:$F,0,0),IF(($G496/$F496)&gt;='Discount Scheme Target'!$E$4,_xlfn.XLOOKUP($E496,'Discount Scheme Target'!$B:$B,'Discount Scheme Target'!$E:$E,0,0),IF(($G496/$F496)&gt;='Discount Scheme Target'!$D$4,_xlfn.XLOOKUP($E496,'Discount Scheme Target'!$B:$B,'Discount Scheme Target'!$D:$D,0,0),0))),0)</f>
        <v>0</v>
      </c>
      <c r="J496" s="73">
        <f>IF(SUMIF('Customer Num Distr.'!$A:$A,Workings!$A496,'Customer Num Distr.'!$E:$E)&gt;='Discount Scheme Target'!$G$4,_xlfn.XLOOKUP(Workings!$E496,'Discount Scheme Target'!$B:$B,'Discount Scheme Target'!$G:$G,0,0),0)</f>
        <v>0</v>
      </c>
      <c r="K496" s="73">
        <f>IF(SUMIF('Bouclage EG Cust Cons_Decons'!$A:$A,Workings!$A496,'Bouclage EG Cust Cons_Decons'!$F:$F)&gt;='Discount Scheme Target'!$H$4,_xlfn.XLOOKUP(Workings!$E496,'Discount Scheme Target'!$B:$B,'Discount Scheme Target'!$H:$H,0,0),0)</f>
        <v>0</v>
      </c>
      <c r="L496" s="73">
        <f>IF(INDEX('TT Around time'!$A$1:$F$46,MATCH($A496,'TT Around time'!$A:$A,0),6)&gt;='Discount Scheme Target'!$I$4,_xlfn.XLOOKUP(Workings!$E496,'Discount Scheme Target'!$B:$B,'Discount Scheme Target'!$I:$I,0,0),0)</f>
        <v>5.0000000000000001E-3</v>
      </c>
      <c r="M496" s="73">
        <f t="shared" si="79"/>
        <v>5.0000000000000001E-3</v>
      </c>
      <c r="N496" s="63">
        <f t="shared" si="76"/>
        <v>0</v>
      </c>
      <c r="T496" s="61">
        <f t="shared" si="80"/>
        <v>0</v>
      </c>
      <c r="U496" s="61">
        <f t="shared" si="81"/>
        <v>0</v>
      </c>
      <c r="V496" s="61">
        <f t="shared" si="82"/>
        <v>0</v>
      </c>
      <c r="W496" s="61">
        <f t="shared" si="83"/>
        <v>0</v>
      </c>
      <c r="X496" s="61">
        <f t="shared" si="77"/>
        <v>0</v>
      </c>
      <c r="Y496" s="61">
        <f t="shared" si="78"/>
        <v>0</v>
      </c>
    </row>
  </sheetData>
  <autoFilter ref="A1:N496" xr:uid="{2A7607DE-39A6-4C1E-A665-CA6C3951D93F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8EB-636F-46B6-81FA-16E29209C131}">
  <sheetPr codeName="Sheet4">
    <tabColor theme="1"/>
  </sheetPr>
  <dimension ref="B2:B55"/>
  <sheetViews>
    <sheetView workbookViewId="0">
      <selection activeCell="K12" sqref="K12"/>
    </sheetView>
  </sheetViews>
  <sheetFormatPr defaultRowHeight="15" x14ac:dyDescent="0.25"/>
  <sheetData>
    <row r="2" spans="2:2" x14ac:dyDescent="0.25">
      <c r="B2" s="74" t="s">
        <v>381</v>
      </c>
    </row>
    <row r="3" spans="2:2" x14ac:dyDescent="0.25">
      <c r="B3" t="s">
        <v>393</v>
      </c>
    </row>
    <row r="4" spans="2:2" x14ac:dyDescent="0.25">
      <c r="B4" t="s">
        <v>522</v>
      </c>
    </row>
    <row r="5" spans="2:2" x14ac:dyDescent="0.25">
      <c r="B5" t="s">
        <v>394</v>
      </c>
    </row>
    <row r="7" spans="2:2" x14ac:dyDescent="0.25">
      <c r="B7" s="74"/>
    </row>
    <row r="8" spans="2:2" x14ac:dyDescent="0.25">
      <c r="B8" s="74"/>
    </row>
    <row r="9" spans="2:2" x14ac:dyDescent="0.25">
      <c r="B9" s="74"/>
    </row>
    <row r="10" spans="2:2" x14ac:dyDescent="0.25">
      <c r="B10" s="74"/>
    </row>
    <row r="11" spans="2:2" x14ac:dyDescent="0.25">
      <c r="B11" s="74"/>
    </row>
    <row r="25" spans="2:2" x14ac:dyDescent="0.25">
      <c r="B25" s="74" t="s">
        <v>378</v>
      </c>
    </row>
    <row r="26" spans="2:2" x14ac:dyDescent="0.25">
      <c r="B26" s="75" t="s">
        <v>498</v>
      </c>
    </row>
    <row r="27" spans="2:2" x14ac:dyDescent="0.25">
      <c r="B27" t="s">
        <v>386</v>
      </c>
    </row>
    <row r="28" spans="2:2" x14ac:dyDescent="0.25">
      <c r="B28" t="s">
        <v>387</v>
      </c>
    </row>
    <row r="29" spans="2:2" x14ac:dyDescent="0.25">
      <c r="B29" t="s">
        <v>385</v>
      </c>
    </row>
    <row r="30" spans="2:2" x14ac:dyDescent="0.25">
      <c r="B30" t="s">
        <v>388</v>
      </c>
    </row>
    <row r="42" spans="2:2" x14ac:dyDescent="0.25">
      <c r="B42" s="74" t="s">
        <v>392</v>
      </c>
    </row>
    <row r="43" spans="2:2" x14ac:dyDescent="0.25">
      <c r="B43" t="s">
        <v>411</v>
      </c>
    </row>
    <row r="48" spans="2:2" x14ac:dyDescent="0.25">
      <c r="B48" s="74" t="s">
        <v>391</v>
      </c>
    </row>
    <row r="49" spans="2:2" x14ac:dyDescent="0.25">
      <c r="B49" t="s">
        <v>412</v>
      </c>
    </row>
    <row r="54" spans="2:2" x14ac:dyDescent="0.25">
      <c r="B54" s="74" t="s">
        <v>379</v>
      </c>
    </row>
    <row r="55" spans="2:2" x14ac:dyDescent="0.25">
      <c r="B55" t="s">
        <v>380</v>
      </c>
    </row>
  </sheetData>
  <hyperlinks>
    <hyperlink ref="B26" r:id="rId1" xr:uid="{A64843E4-D7E7-4B21-ABF8-4451D8923EEB}"/>
  </hyperlinks>
  <pageMargins left="0.7" right="0.7" top="0.75" bottom="0.75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W2565"/>
  <sheetViews>
    <sheetView workbookViewId="0">
      <pane ySplit="1" topLeftCell="A2516" activePane="bottomLeft" state="frozen"/>
      <selection activeCell="O33" sqref="O33"/>
      <selection pane="bottomLeft" activeCell="O2526" sqref="O2526"/>
    </sheetView>
  </sheetViews>
  <sheetFormatPr defaultRowHeight="15" x14ac:dyDescent="0.25"/>
  <cols>
    <col min="1" max="1" width="14.5703125" bestFit="1" customWidth="1"/>
    <col min="2" max="2" width="32.85546875" customWidth="1"/>
    <col min="3" max="3" width="11.28515625" bestFit="1" customWidth="1"/>
    <col min="4" max="4" width="45.7109375" bestFit="1" customWidth="1"/>
    <col min="5" max="5" width="16.140625" style="136" bestFit="1" customWidth="1"/>
    <col min="6" max="6" width="19.140625" bestFit="1" customWidth="1"/>
    <col min="7" max="7" width="19.85546875" bestFit="1" customWidth="1"/>
    <col min="8" max="8" width="15.7109375" bestFit="1" customWidth="1"/>
    <col min="9" max="9" width="12.42578125" bestFit="1" customWidth="1"/>
    <col min="10" max="10" width="7.5703125" bestFit="1" customWidth="1"/>
    <col min="11" max="11" width="14.42578125" bestFit="1" customWidth="1"/>
  </cols>
  <sheetData>
    <row r="1" spans="1:101" x14ac:dyDescent="0.25">
      <c r="A1" s="1" t="s">
        <v>0</v>
      </c>
      <c r="B1" s="1" t="s">
        <v>1</v>
      </c>
      <c r="C1" s="1" t="s">
        <v>2</v>
      </c>
      <c r="D1" s="1" t="s">
        <v>3</v>
      </c>
      <c r="E1" s="13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138</v>
      </c>
      <c r="L1" s="2"/>
      <c r="M1" s="2"/>
      <c r="N1" s="2"/>
      <c r="O1" s="2"/>
      <c r="P1" s="2"/>
      <c r="Q1" s="2"/>
      <c r="R1" s="2"/>
      <c r="S1" s="2"/>
      <c r="T1" s="3"/>
      <c r="U1" s="2"/>
      <c r="V1" s="2"/>
    </row>
    <row r="2" spans="1:101" x14ac:dyDescent="0.25">
      <c r="A2" s="158" t="s">
        <v>523</v>
      </c>
      <c r="B2" s="158" t="s">
        <v>524</v>
      </c>
      <c r="C2" s="158" t="s">
        <v>10</v>
      </c>
      <c r="D2" s="158" t="s">
        <v>11</v>
      </c>
      <c r="E2" s="157">
        <v>2</v>
      </c>
      <c r="F2" s="158" t="s">
        <v>525</v>
      </c>
      <c r="G2" s="159">
        <v>8970</v>
      </c>
      <c r="H2" s="159">
        <v>0</v>
      </c>
      <c r="I2" s="159">
        <v>0</v>
      </c>
      <c r="J2" s="159">
        <v>0</v>
      </c>
      <c r="K2" t="str">
        <f>VLOOKUP($C2,Lists!$C$3:$M$118,7,FALSE)</f>
        <v>Alcomix</v>
      </c>
      <c r="S2" s="4"/>
      <c r="T2" s="4"/>
      <c r="U2" s="5"/>
      <c r="V2" s="5"/>
    </row>
    <row r="3" spans="1:101" x14ac:dyDescent="0.25">
      <c r="A3" s="158" t="s">
        <v>523</v>
      </c>
      <c r="B3" s="158" t="s">
        <v>524</v>
      </c>
      <c r="C3" s="158" t="s">
        <v>12</v>
      </c>
      <c r="D3" s="158" t="s">
        <v>13</v>
      </c>
      <c r="E3" s="157">
        <v>0.25</v>
      </c>
      <c r="F3" s="158" t="s">
        <v>525</v>
      </c>
      <c r="G3" s="159">
        <v>1035.5</v>
      </c>
      <c r="H3" s="159">
        <v>0</v>
      </c>
      <c r="I3" s="159">
        <v>129.44</v>
      </c>
      <c r="J3" s="159">
        <v>12.5</v>
      </c>
      <c r="K3" t="str">
        <f>VLOOKUP($C3,Lists!$C$3:$M$118,7,FALSE)</f>
        <v>Beers</v>
      </c>
      <c r="S3" s="4"/>
      <c r="T3" s="4"/>
      <c r="U3" s="5"/>
      <c r="V3" s="5"/>
    </row>
    <row r="4" spans="1:101" x14ac:dyDescent="0.25">
      <c r="A4" s="158" t="s">
        <v>523</v>
      </c>
      <c r="B4" s="158" t="s">
        <v>524</v>
      </c>
      <c r="C4" s="158" t="s">
        <v>43</v>
      </c>
      <c r="D4" s="158" t="s">
        <v>44</v>
      </c>
      <c r="E4" s="157">
        <v>300</v>
      </c>
      <c r="F4" s="158" t="s">
        <v>525</v>
      </c>
      <c r="G4" s="159">
        <v>1340700</v>
      </c>
      <c r="H4" s="159">
        <v>0</v>
      </c>
      <c r="I4" s="159">
        <v>167586</v>
      </c>
      <c r="J4" s="159">
        <v>12.5</v>
      </c>
      <c r="K4" t="str">
        <f>VLOOKUP($C4,Lists!$C$3:$M$118,7,FALSE)</f>
        <v>Beers</v>
      </c>
      <c r="M4" s="6"/>
      <c r="N4" s="6"/>
      <c r="O4" s="6"/>
      <c r="P4" s="6"/>
      <c r="Q4" s="6"/>
      <c r="R4" s="6"/>
      <c r="S4" s="6"/>
      <c r="T4" s="7"/>
      <c r="U4" s="8"/>
      <c r="V4" s="6"/>
      <c r="W4" s="6"/>
      <c r="X4" s="6"/>
      <c r="Y4" s="6"/>
      <c r="Z4" s="6"/>
      <c r="AA4" s="6"/>
      <c r="AB4" s="6"/>
      <c r="AC4" s="7"/>
      <c r="AD4" s="8"/>
      <c r="AE4" s="6"/>
      <c r="AF4" s="6"/>
      <c r="AG4" s="6"/>
      <c r="AH4" s="6"/>
      <c r="AI4" s="6"/>
      <c r="AJ4" s="6"/>
      <c r="AK4" s="6"/>
      <c r="AL4" s="7"/>
      <c r="AM4" s="8"/>
      <c r="AN4" s="6"/>
      <c r="AO4" s="6"/>
      <c r="AP4" s="6"/>
      <c r="AQ4" s="6"/>
      <c r="AR4" s="6"/>
      <c r="AS4" s="6"/>
      <c r="AT4" s="6"/>
      <c r="AU4" s="7"/>
      <c r="AV4" s="8"/>
      <c r="AW4" s="6"/>
      <c r="AX4" s="6"/>
      <c r="AY4" s="6"/>
      <c r="AZ4" s="6"/>
      <c r="BA4" s="6"/>
      <c r="BB4" s="6"/>
      <c r="BC4" s="6"/>
      <c r="BD4" s="7"/>
      <c r="BE4" s="8"/>
      <c r="BF4" s="6"/>
      <c r="BG4" s="6"/>
      <c r="BH4" s="6"/>
      <c r="BI4" s="6"/>
      <c r="BJ4" s="6"/>
      <c r="BK4" s="6"/>
      <c r="BL4" s="6"/>
      <c r="BM4" s="7"/>
      <c r="BN4" s="8"/>
      <c r="BO4" s="6"/>
      <c r="BP4" s="6"/>
      <c r="BQ4" s="6"/>
      <c r="BR4" s="6"/>
      <c r="BS4" s="6"/>
      <c r="BT4" s="6"/>
      <c r="BU4" s="6"/>
      <c r="BV4" s="7"/>
      <c r="BW4" s="8"/>
      <c r="BX4" s="6"/>
      <c r="BY4" s="6"/>
      <c r="BZ4" s="6"/>
      <c r="CA4" s="6"/>
      <c r="CB4" s="6"/>
      <c r="CC4" s="6"/>
      <c r="CD4" s="6"/>
      <c r="CE4" s="7"/>
      <c r="CF4" s="8"/>
      <c r="CG4" s="6"/>
      <c r="CH4" s="6"/>
      <c r="CI4" s="6"/>
      <c r="CJ4" s="6"/>
      <c r="CK4" s="6"/>
      <c r="CL4" s="6"/>
      <c r="CM4" s="6"/>
      <c r="CN4" s="7"/>
      <c r="CO4" s="8"/>
      <c r="CP4" s="6"/>
      <c r="CQ4" s="6"/>
      <c r="CR4" s="6"/>
      <c r="CS4" s="6"/>
      <c r="CT4" s="6"/>
      <c r="CU4" s="6"/>
      <c r="CV4" s="6"/>
      <c r="CW4" s="7"/>
    </row>
    <row r="5" spans="1:101" x14ac:dyDescent="0.25">
      <c r="A5" s="158" t="s">
        <v>523</v>
      </c>
      <c r="B5" s="158" t="s">
        <v>524</v>
      </c>
      <c r="C5" s="158" t="s">
        <v>37</v>
      </c>
      <c r="D5" s="158" t="s">
        <v>38</v>
      </c>
      <c r="E5" s="157">
        <v>0.25</v>
      </c>
      <c r="F5" s="158" t="s">
        <v>525</v>
      </c>
      <c r="G5" s="159">
        <v>482.13</v>
      </c>
      <c r="H5" s="159">
        <v>0</v>
      </c>
      <c r="I5" s="159">
        <v>43.83</v>
      </c>
      <c r="J5" s="159">
        <v>9.1</v>
      </c>
      <c r="K5" t="str">
        <f>VLOOKUP($C5,Lists!$C$3:$M$118,7,FALSE)</f>
        <v>SOBO_RGB</v>
      </c>
      <c r="S5" s="4"/>
      <c r="T5" s="4"/>
      <c r="U5" s="5"/>
      <c r="V5" s="5"/>
    </row>
    <row r="6" spans="1:101" x14ac:dyDescent="0.25">
      <c r="A6" s="158" t="s">
        <v>523</v>
      </c>
      <c r="B6" s="158" t="s">
        <v>524</v>
      </c>
      <c r="C6" s="158" t="s">
        <v>65</v>
      </c>
      <c r="D6" s="158" t="s">
        <v>66</v>
      </c>
      <c r="E6" s="157">
        <v>-1</v>
      </c>
      <c r="F6" s="158" t="s">
        <v>525</v>
      </c>
      <c r="G6" s="159">
        <v>-4438.57</v>
      </c>
      <c r="H6" s="159">
        <v>0</v>
      </c>
      <c r="I6" s="159">
        <v>-403.51</v>
      </c>
      <c r="J6" s="159">
        <v>9.1</v>
      </c>
      <c r="K6" t="str">
        <f>VLOOKUP($C6,Lists!$C$3:$M$118,7,FALSE)</f>
        <v>Squash</v>
      </c>
      <c r="S6" s="4"/>
      <c r="T6" s="4"/>
      <c r="U6" s="5"/>
      <c r="V6" s="5"/>
    </row>
    <row r="7" spans="1:101" x14ac:dyDescent="0.25">
      <c r="A7" s="158" t="s">
        <v>523</v>
      </c>
      <c r="B7" s="158" t="s">
        <v>524</v>
      </c>
      <c r="C7" s="158" t="s">
        <v>362</v>
      </c>
      <c r="D7" s="158" t="s">
        <v>363</v>
      </c>
      <c r="E7" s="157">
        <v>2224</v>
      </c>
      <c r="F7" s="158" t="s">
        <v>525</v>
      </c>
      <c r="G7" s="159">
        <v>6711117.8399999999</v>
      </c>
      <c r="H7" s="159">
        <v>3160261.84</v>
      </c>
      <c r="I7" s="159">
        <v>-2262855.6</v>
      </c>
      <c r="J7" s="159">
        <v>-33.700000000000003</v>
      </c>
      <c r="K7" t="str">
        <f>VLOOKUP($C7,Lists!$C$3:$M$118,7,FALSE)</f>
        <v>Squash</v>
      </c>
      <c r="S7" s="4"/>
      <c r="T7" s="4"/>
      <c r="U7" s="5"/>
      <c r="V7" s="5"/>
    </row>
    <row r="8" spans="1:101" x14ac:dyDescent="0.25">
      <c r="A8" s="158" t="s">
        <v>436</v>
      </c>
      <c r="B8" s="158" t="s">
        <v>53</v>
      </c>
      <c r="C8" s="158" t="s">
        <v>12</v>
      </c>
      <c r="D8" s="158" t="s">
        <v>13</v>
      </c>
      <c r="E8" s="157">
        <v>718</v>
      </c>
      <c r="F8" s="158" t="s">
        <v>525</v>
      </c>
      <c r="G8" s="159">
        <v>4622318.8600000003</v>
      </c>
      <c r="H8" s="159">
        <v>0</v>
      </c>
      <c r="I8" s="159">
        <v>2020107.36</v>
      </c>
      <c r="J8" s="159">
        <v>43.7</v>
      </c>
      <c r="K8" t="str">
        <f>VLOOKUP($C8,Lists!$C$3:$M$118,7,FALSE)</f>
        <v>Beers</v>
      </c>
      <c r="S8" s="4"/>
      <c r="T8" s="4"/>
      <c r="U8" s="5"/>
      <c r="V8" s="5"/>
    </row>
    <row r="9" spans="1:101" x14ac:dyDescent="0.25">
      <c r="A9" s="158" t="s">
        <v>436</v>
      </c>
      <c r="B9" s="158" t="s">
        <v>53</v>
      </c>
      <c r="C9" s="158" t="s">
        <v>14</v>
      </c>
      <c r="D9" s="158" t="s">
        <v>15</v>
      </c>
      <c r="E9" s="157">
        <v>647</v>
      </c>
      <c r="F9" s="158" t="s">
        <v>525</v>
      </c>
      <c r="G9" s="159">
        <v>4998282.04</v>
      </c>
      <c r="H9" s="159">
        <v>0</v>
      </c>
      <c r="I9" s="159">
        <v>2468266.1800000002</v>
      </c>
      <c r="J9" s="159">
        <v>49.4</v>
      </c>
      <c r="K9" t="str">
        <f>VLOOKUP($C9,Lists!$C$3:$M$118,7,FALSE)</f>
        <v>Beers</v>
      </c>
      <c r="S9" s="4"/>
      <c r="T9" s="4"/>
      <c r="U9" s="5"/>
      <c r="V9" s="5"/>
    </row>
    <row r="10" spans="1:101" x14ac:dyDescent="0.25">
      <c r="A10" s="158" t="s">
        <v>436</v>
      </c>
      <c r="B10" s="158" t="s">
        <v>53</v>
      </c>
      <c r="C10" s="158" t="s">
        <v>18</v>
      </c>
      <c r="D10" s="158" t="s">
        <v>19</v>
      </c>
      <c r="E10" s="157">
        <v>144</v>
      </c>
      <c r="F10" s="158" t="s">
        <v>525</v>
      </c>
      <c r="G10" s="159">
        <v>1483261.92</v>
      </c>
      <c r="H10" s="159">
        <v>0</v>
      </c>
      <c r="I10" s="159">
        <v>769093.92</v>
      </c>
      <c r="J10" s="159">
        <v>51.9</v>
      </c>
      <c r="K10" t="str">
        <f>VLOOKUP($C10,Lists!$C$3:$M$118,7,FALSE)</f>
        <v>Beers</v>
      </c>
      <c r="S10" s="4"/>
      <c r="T10" s="4"/>
      <c r="U10" s="5"/>
      <c r="V10" s="5"/>
    </row>
    <row r="11" spans="1:101" x14ac:dyDescent="0.25">
      <c r="A11" s="158" t="s">
        <v>436</v>
      </c>
      <c r="B11" s="158" t="s">
        <v>53</v>
      </c>
      <c r="C11" s="158" t="s">
        <v>78</v>
      </c>
      <c r="D11" s="158" t="s">
        <v>526</v>
      </c>
      <c r="E11" s="157">
        <v>432</v>
      </c>
      <c r="F11" s="158" t="s">
        <v>525</v>
      </c>
      <c r="G11" s="159">
        <v>1045280.16</v>
      </c>
      <c r="H11" s="159">
        <v>0</v>
      </c>
      <c r="I11" s="159">
        <v>570710.88</v>
      </c>
      <c r="J11" s="159">
        <v>54.6</v>
      </c>
      <c r="K11" t="str">
        <f>VLOOKUP($C11,Lists!$C$3:$M$118,7,FALSE)</f>
        <v>SOBO_PET</v>
      </c>
      <c r="S11" s="4"/>
      <c r="T11" s="4"/>
      <c r="U11" s="5"/>
      <c r="V11" s="5"/>
    </row>
    <row r="12" spans="1:101" x14ac:dyDescent="0.25">
      <c r="A12" s="158" t="s">
        <v>436</v>
      </c>
      <c r="B12" s="158" t="s">
        <v>53</v>
      </c>
      <c r="C12" s="158" t="s">
        <v>24</v>
      </c>
      <c r="D12" s="158" t="s">
        <v>25</v>
      </c>
      <c r="E12" s="157">
        <v>215</v>
      </c>
      <c r="F12" s="158" t="s">
        <v>525</v>
      </c>
      <c r="G12" s="159">
        <v>1384120.55</v>
      </c>
      <c r="H12" s="159">
        <v>0</v>
      </c>
      <c r="I12" s="159">
        <v>666422.6</v>
      </c>
      <c r="J12" s="159">
        <v>48.1</v>
      </c>
      <c r="K12" t="str">
        <f>VLOOKUP($C12,Lists!$C$3:$M$118,7,FALSE)</f>
        <v>Beers</v>
      </c>
      <c r="S12" s="4"/>
      <c r="T12" s="4"/>
      <c r="U12" s="5"/>
      <c r="V12" s="5"/>
    </row>
    <row r="13" spans="1:101" x14ac:dyDescent="0.25">
      <c r="A13" s="158" t="s">
        <v>436</v>
      </c>
      <c r="B13" s="158" t="s">
        <v>53</v>
      </c>
      <c r="C13" s="158" t="s">
        <v>29</v>
      </c>
      <c r="D13" s="158" t="s">
        <v>30</v>
      </c>
      <c r="E13" s="157">
        <v>40</v>
      </c>
      <c r="F13" s="158" t="s">
        <v>525</v>
      </c>
      <c r="G13" s="159">
        <v>1455375.6</v>
      </c>
      <c r="H13" s="159">
        <v>0</v>
      </c>
      <c r="I13" s="159">
        <v>415375.6</v>
      </c>
      <c r="J13" s="159">
        <v>28.5</v>
      </c>
      <c r="K13" t="str">
        <f>VLOOKUP($C13,Lists!$C$3:$M$118,7,FALSE)</f>
        <v>Spirits</v>
      </c>
      <c r="S13" s="4"/>
      <c r="T13" s="4"/>
      <c r="U13" s="5"/>
      <c r="V13" s="5"/>
    </row>
    <row r="14" spans="1:101" x14ac:dyDescent="0.25">
      <c r="A14" s="158" t="s">
        <v>436</v>
      </c>
      <c r="B14" s="158" t="s">
        <v>53</v>
      </c>
      <c r="C14" s="158" t="s">
        <v>33</v>
      </c>
      <c r="D14" s="158" t="s">
        <v>34</v>
      </c>
      <c r="E14" s="157">
        <v>30</v>
      </c>
      <c r="F14" s="158" t="s">
        <v>525</v>
      </c>
      <c r="G14" s="159">
        <v>1670712</v>
      </c>
      <c r="H14" s="159">
        <v>0</v>
      </c>
      <c r="I14" s="159">
        <v>320712</v>
      </c>
      <c r="J14" s="159">
        <v>19.2</v>
      </c>
      <c r="K14" t="str">
        <f>VLOOKUP($C14,Lists!$C$3:$M$118,7,FALSE)</f>
        <v>Spirits</v>
      </c>
      <c r="S14" s="4"/>
      <c r="T14" s="4"/>
      <c r="U14" s="5"/>
      <c r="V14" s="5"/>
    </row>
    <row r="15" spans="1:101" x14ac:dyDescent="0.25">
      <c r="A15" s="158" t="s">
        <v>436</v>
      </c>
      <c r="B15" s="158" t="s">
        <v>53</v>
      </c>
      <c r="C15" s="158" t="s">
        <v>88</v>
      </c>
      <c r="D15" s="158" t="s">
        <v>527</v>
      </c>
      <c r="E15" s="157">
        <v>142</v>
      </c>
      <c r="F15" s="158" t="s">
        <v>525</v>
      </c>
      <c r="G15" s="159">
        <v>400851.8</v>
      </c>
      <c r="H15" s="159">
        <v>0</v>
      </c>
      <c r="I15" s="159">
        <v>235180.4</v>
      </c>
      <c r="J15" s="159">
        <v>58.7</v>
      </c>
      <c r="K15" t="str">
        <f>VLOOKUP($C15,Lists!$C$3:$M$118,7,FALSE)</f>
        <v>SOBO_PET</v>
      </c>
      <c r="S15" s="4"/>
      <c r="T15" s="4"/>
      <c r="U15" s="5"/>
      <c r="V15" s="5"/>
    </row>
    <row r="16" spans="1:101" x14ac:dyDescent="0.25">
      <c r="A16" s="158" t="s">
        <v>436</v>
      </c>
      <c r="B16" s="158" t="s">
        <v>53</v>
      </c>
      <c r="C16" s="158" t="s">
        <v>51</v>
      </c>
      <c r="D16" s="158" t="s">
        <v>52</v>
      </c>
      <c r="E16" s="157">
        <v>503</v>
      </c>
      <c r="F16" s="158" t="s">
        <v>525</v>
      </c>
      <c r="G16" s="159">
        <v>5043772.1399999997</v>
      </c>
      <c r="H16" s="159">
        <v>0</v>
      </c>
      <c r="I16" s="159">
        <v>1593016.09</v>
      </c>
      <c r="J16" s="159">
        <v>31.6</v>
      </c>
      <c r="K16" t="str">
        <f>VLOOKUP($C16,Lists!$C$3:$M$118,7,FALSE)</f>
        <v>Squash</v>
      </c>
      <c r="S16" s="4"/>
      <c r="T16" s="4"/>
      <c r="U16" s="5"/>
      <c r="V16" s="5"/>
    </row>
    <row r="17" spans="1:22" x14ac:dyDescent="0.25">
      <c r="A17" s="158" t="s">
        <v>436</v>
      </c>
      <c r="B17" s="158" t="s">
        <v>53</v>
      </c>
      <c r="C17" s="158" t="s">
        <v>26</v>
      </c>
      <c r="D17" s="158" t="s">
        <v>27</v>
      </c>
      <c r="E17" s="157">
        <v>863</v>
      </c>
      <c r="F17" s="158" t="s">
        <v>525</v>
      </c>
      <c r="G17" s="159">
        <v>1883411.2</v>
      </c>
      <c r="H17" s="159">
        <v>0</v>
      </c>
      <c r="I17" s="159">
        <v>830344.08</v>
      </c>
      <c r="J17" s="159">
        <v>44.1</v>
      </c>
      <c r="K17" t="str">
        <f>VLOOKUP($C17,Lists!$C$3:$M$118,7,FALSE)</f>
        <v>Water</v>
      </c>
      <c r="S17" s="4"/>
      <c r="T17" s="4"/>
      <c r="U17" s="5"/>
      <c r="V17" s="5"/>
    </row>
    <row r="18" spans="1:22" x14ac:dyDescent="0.25">
      <c r="A18" s="158" t="s">
        <v>528</v>
      </c>
      <c r="B18" s="158" t="s">
        <v>529</v>
      </c>
      <c r="C18" s="158" t="s">
        <v>28</v>
      </c>
      <c r="D18" s="158" t="s">
        <v>530</v>
      </c>
      <c r="E18" s="157">
        <v>144</v>
      </c>
      <c r="F18" s="158" t="s">
        <v>525</v>
      </c>
      <c r="G18" s="159">
        <v>414315.36</v>
      </c>
      <c r="H18" s="159">
        <v>0</v>
      </c>
      <c r="I18" s="159">
        <v>212852.16</v>
      </c>
      <c r="J18" s="159">
        <v>51.4</v>
      </c>
      <c r="K18" t="str">
        <f>VLOOKUP($C18,Lists!$C$3:$M$118,7,FALSE)</f>
        <v>COKE_PET</v>
      </c>
      <c r="S18" s="4"/>
      <c r="T18" s="4"/>
      <c r="U18" s="5"/>
      <c r="V18" s="5"/>
    </row>
    <row r="19" spans="1:22" x14ac:dyDescent="0.25">
      <c r="A19" s="158" t="s">
        <v>531</v>
      </c>
      <c r="B19" s="158" t="s">
        <v>532</v>
      </c>
      <c r="C19" s="158" t="s">
        <v>12</v>
      </c>
      <c r="D19" s="158" t="s">
        <v>13</v>
      </c>
      <c r="E19" s="157">
        <v>214</v>
      </c>
      <c r="F19" s="158" t="s">
        <v>525</v>
      </c>
      <c r="G19" s="159">
        <v>1403677.36</v>
      </c>
      <c r="H19" s="159">
        <v>0</v>
      </c>
      <c r="I19" s="159">
        <v>628087.86</v>
      </c>
      <c r="J19" s="159">
        <v>44.7</v>
      </c>
      <c r="K19" t="str">
        <f>VLOOKUP($C19,Lists!$C$3:$M$118,7,FALSE)</f>
        <v>Beers</v>
      </c>
      <c r="S19" s="4"/>
      <c r="T19" s="4"/>
      <c r="U19" s="5"/>
      <c r="V19" s="5"/>
    </row>
    <row r="20" spans="1:22" x14ac:dyDescent="0.25">
      <c r="A20" s="158" t="s">
        <v>531</v>
      </c>
      <c r="B20" s="158" t="s">
        <v>532</v>
      </c>
      <c r="C20" s="158" t="s">
        <v>14</v>
      </c>
      <c r="D20" s="158" t="s">
        <v>15</v>
      </c>
      <c r="E20" s="157">
        <v>144</v>
      </c>
      <c r="F20" s="158" t="s">
        <v>525</v>
      </c>
      <c r="G20" s="159">
        <v>1133435.52</v>
      </c>
      <c r="H20" s="159">
        <v>0</v>
      </c>
      <c r="I20" s="159">
        <v>570340.80000000005</v>
      </c>
      <c r="J20" s="159">
        <v>50.3</v>
      </c>
      <c r="K20" t="str">
        <f>VLOOKUP($C20,Lists!$C$3:$M$118,7,FALSE)</f>
        <v>Beers</v>
      </c>
      <c r="S20" s="4"/>
      <c r="T20" s="4"/>
      <c r="U20" s="5"/>
      <c r="V20" s="5"/>
    </row>
    <row r="21" spans="1:22" x14ac:dyDescent="0.25">
      <c r="A21" s="158" t="s">
        <v>531</v>
      </c>
      <c r="B21" s="158" t="s">
        <v>532</v>
      </c>
      <c r="C21" s="158" t="s">
        <v>16</v>
      </c>
      <c r="D21" s="158" t="s">
        <v>17</v>
      </c>
      <c r="E21" s="157">
        <v>144</v>
      </c>
      <c r="F21" s="158" t="s">
        <v>525</v>
      </c>
      <c r="G21" s="159">
        <v>1133435.52</v>
      </c>
      <c r="H21" s="159">
        <v>0</v>
      </c>
      <c r="I21" s="159">
        <v>570340.80000000005</v>
      </c>
      <c r="J21" s="159">
        <v>50.3</v>
      </c>
      <c r="K21" t="str">
        <f>VLOOKUP($C21,Lists!$C$3:$M$118,7,FALSE)</f>
        <v>Beers</v>
      </c>
      <c r="S21" s="4"/>
      <c r="T21" s="4"/>
      <c r="U21" s="5"/>
      <c r="V21" s="5"/>
    </row>
    <row r="22" spans="1:22" x14ac:dyDescent="0.25">
      <c r="A22" s="158" t="s">
        <v>531</v>
      </c>
      <c r="B22" s="158" t="s">
        <v>532</v>
      </c>
      <c r="C22" s="158" t="s">
        <v>28</v>
      </c>
      <c r="D22" s="158" t="s">
        <v>530</v>
      </c>
      <c r="E22" s="157">
        <v>719</v>
      </c>
      <c r="F22" s="158" t="s">
        <v>525</v>
      </c>
      <c r="G22" s="159">
        <v>2068699.61</v>
      </c>
      <c r="H22" s="159">
        <v>0</v>
      </c>
      <c r="I22" s="159">
        <v>1062782.6599999999</v>
      </c>
      <c r="J22" s="159">
        <v>51.4</v>
      </c>
      <c r="K22" t="str">
        <f>VLOOKUP($C22,Lists!$C$3:$M$118,7,FALSE)</f>
        <v>COKE_PET</v>
      </c>
      <c r="S22" s="4"/>
      <c r="T22" s="4"/>
      <c r="U22" s="5"/>
      <c r="V22" s="5"/>
    </row>
    <row r="23" spans="1:22" x14ac:dyDescent="0.25">
      <c r="A23" s="158" t="s">
        <v>531</v>
      </c>
      <c r="B23" s="158" t="s">
        <v>532</v>
      </c>
      <c r="C23" s="158" t="s">
        <v>78</v>
      </c>
      <c r="D23" s="158" t="s">
        <v>526</v>
      </c>
      <c r="E23" s="157">
        <v>431</v>
      </c>
      <c r="F23" s="158" t="s">
        <v>525</v>
      </c>
      <c r="G23" s="159">
        <v>1062914.96</v>
      </c>
      <c r="H23" s="159">
        <v>0</v>
      </c>
      <c r="I23" s="159">
        <v>589444.22</v>
      </c>
      <c r="J23" s="159">
        <v>55.5</v>
      </c>
      <c r="K23" t="str">
        <f>VLOOKUP($C23,Lists!$C$3:$M$118,7,FALSE)</f>
        <v>SOBO_PET</v>
      </c>
      <c r="S23" s="4"/>
      <c r="T23" s="4"/>
      <c r="U23" s="5"/>
      <c r="V23" s="5"/>
    </row>
    <row r="24" spans="1:22" x14ac:dyDescent="0.25">
      <c r="A24" s="158" t="s">
        <v>531</v>
      </c>
      <c r="B24" s="158" t="s">
        <v>532</v>
      </c>
      <c r="C24" s="158" t="s">
        <v>22</v>
      </c>
      <c r="D24" s="158" t="s">
        <v>23</v>
      </c>
      <c r="E24" s="157">
        <v>72</v>
      </c>
      <c r="F24" s="158" t="s">
        <v>525</v>
      </c>
      <c r="G24" s="159">
        <v>290355.12</v>
      </c>
      <c r="H24" s="159">
        <v>0</v>
      </c>
      <c r="I24" s="159">
        <v>120185.28</v>
      </c>
      <c r="J24" s="159">
        <v>41.4</v>
      </c>
      <c r="K24" t="str">
        <f>VLOOKUP($C24,Lists!$C$3:$M$118,7,FALSE)</f>
        <v>COKE_RGB</v>
      </c>
      <c r="S24" s="4"/>
      <c r="T24" s="4"/>
      <c r="U24" s="5"/>
      <c r="V24" s="5"/>
    </row>
    <row r="25" spans="1:22" x14ac:dyDescent="0.25">
      <c r="A25" s="158" t="s">
        <v>531</v>
      </c>
      <c r="B25" s="158" t="s">
        <v>532</v>
      </c>
      <c r="C25" s="158" t="s">
        <v>67</v>
      </c>
      <c r="D25" s="158" t="s">
        <v>533</v>
      </c>
      <c r="E25" s="157">
        <v>575</v>
      </c>
      <c r="F25" s="158" t="s">
        <v>525</v>
      </c>
      <c r="G25" s="159">
        <v>1654384.25</v>
      </c>
      <c r="H25" s="159">
        <v>0</v>
      </c>
      <c r="I25" s="159">
        <v>829673.25</v>
      </c>
      <c r="J25" s="159">
        <v>50.1</v>
      </c>
      <c r="K25" t="str">
        <f>VLOOKUP($C25,Lists!$C$3:$M$118,7,FALSE)</f>
        <v>COKE_PET</v>
      </c>
      <c r="S25" s="4"/>
      <c r="T25" s="4"/>
      <c r="U25" s="5"/>
      <c r="V25" s="5"/>
    </row>
    <row r="26" spans="1:22" x14ac:dyDescent="0.25">
      <c r="A26" s="158" t="s">
        <v>531</v>
      </c>
      <c r="B26" s="158" t="s">
        <v>532</v>
      </c>
      <c r="C26" s="158" t="s">
        <v>29</v>
      </c>
      <c r="D26" s="158" t="s">
        <v>30</v>
      </c>
      <c r="E26" s="157">
        <v>90</v>
      </c>
      <c r="F26" s="158" t="s">
        <v>525</v>
      </c>
      <c r="G26" s="159">
        <v>3336380.1</v>
      </c>
      <c r="H26" s="159">
        <v>0</v>
      </c>
      <c r="I26" s="159">
        <v>996380.1</v>
      </c>
      <c r="J26" s="159">
        <v>29.9</v>
      </c>
      <c r="K26" t="str">
        <f>VLOOKUP($C26,Lists!$C$3:$M$118,7,FALSE)</f>
        <v>Spirits</v>
      </c>
      <c r="S26" s="4"/>
      <c r="T26" s="4"/>
      <c r="U26" s="5"/>
      <c r="V26" s="5"/>
    </row>
    <row r="27" spans="1:22" x14ac:dyDescent="0.25">
      <c r="A27" s="158" t="s">
        <v>531</v>
      </c>
      <c r="B27" s="158" t="s">
        <v>532</v>
      </c>
      <c r="C27" s="158" t="s">
        <v>33</v>
      </c>
      <c r="D27" s="158" t="s">
        <v>34</v>
      </c>
      <c r="E27" s="157">
        <v>15</v>
      </c>
      <c r="F27" s="158" t="s">
        <v>525</v>
      </c>
      <c r="G27" s="159">
        <v>851117.4</v>
      </c>
      <c r="H27" s="159">
        <v>0</v>
      </c>
      <c r="I27" s="159">
        <v>176117.4</v>
      </c>
      <c r="J27" s="159">
        <v>20.7</v>
      </c>
      <c r="K27" t="str">
        <f>VLOOKUP($C27,Lists!$C$3:$M$118,7,FALSE)</f>
        <v>Spirits</v>
      </c>
      <c r="S27" s="4"/>
      <c r="T27" s="4"/>
      <c r="U27" s="5"/>
      <c r="V27" s="5"/>
    </row>
    <row r="28" spans="1:22" x14ac:dyDescent="0.25">
      <c r="A28" s="158" t="s">
        <v>531</v>
      </c>
      <c r="B28" s="158" t="s">
        <v>532</v>
      </c>
      <c r="C28" s="158" t="s">
        <v>88</v>
      </c>
      <c r="D28" s="158" t="s">
        <v>527</v>
      </c>
      <c r="E28" s="157">
        <v>144</v>
      </c>
      <c r="F28" s="158" t="s">
        <v>525</v>
      </c>
      <c r="G28" s="159">
        <v>414315.36</v>
      </c>
      <c r="H28" s="159">
        <v>0</v>
      </c>
      <c r="I28" s="159">
        <v>246310.56</v>
      </c>
      <c r="J28" s="159">
        <v>59.5</v>
      </c>
      <c r="K28" t="str">
        <f>VLOOKUP($C28,Lists!$C$3:$M$118,7,FALSE)</f>
        <v>SOBO_PET</v>
      </c>
      <c r="S28" s="4"/>
      <c r="T28" s="4"/>
      <c r="U28" s="5"/>
      <c r="V28" s="5"/>
    </row>
    <row r="29" spans="1:22" x14ac:dyDescent="0.25">
      <c r="A29" s="158" t="s">
        <v>531</v>
      </c>
      <c r="B29" s="158" t="s">
        <v>532</v>
      </c>
      <c r="C29" s="158" t="s">
        <v>68</v>
      </c>
      <c r="D29" s="158" t="s">
        <v>534</v>
      </c>
      <c r="E29" s="157">
        <v>143</v>
      </c>
      <c r="F29" s="158" t="s">
        <v>525</v>
      </c>
      <c r="G29" s="159">
        <v>411438.17</v>
      </c>
      <c r="H29" s="159">
        <v>0</v>
      </c>
      <c r="I29" s="159">
        <v>204468.55</v>
      </c>
      <c r="J29" s="159">
        <v>49.7</v>
      </c>
      <c r="K29" t="str">
        <f>VLOOKUP($C29,Lists!$C$3:$M$118,7,FALSE)</f>
        <v>COKE_PET</v>
      </c>
      <c r="S29" s="4"/>
      <c r="T29" s="4"/>
      <c r="U29" s="5"/>
      <c r="V29" s="5"/>
    </row>
    <row r="30" spans="1:22" x14ac:dyDescent="0.25">
      <c r="A30" s="158" t="s">
        <v>531</v>
      </c>
      <c r="B30" s="158" t="s">
        <v>532</v>
      </c>
      <c r="C30" s="158" t="s">
        <v>49</v>
      </c>
      <c r="D30" s="158" t="s">
        <v>50</v>
      </c>
      <c r="E30" s="157">
        <v>575</v>
      </c>
      <c r="F30" s="158" t="s">
        <v>525</v>
      </c>
      <c r="G30" s="159">
        <v>5765743.5</v>
      </c>
      <c r="H30" s="159">
        <v>0</v>
      </c>
      <c r="I30" s="159">
        <v>1836389</v>
      </c>
      <c r="J30" s="159">
        <v>31.8</v>
      </c>
      <c r="K30" t="str">
        <f>VLOOKUP($C30,Lists!$C$3:$M$118,7,FALSE)</f>
        <v>Squash</v>
      </c>
      <c r="S30" s="4"/>
      <c r="T30" s="4"/>
      <c r="U30" s="5"/>
      <c r="V30" s="5"/>
    </row>
    <row r="31" spans="1:22" x14ac:dyDescent="0.25">
      <c r="A31" s="158" t="s">
        <v>531</v>
      </c>
      <c r="B31" s="158" t="s">
        <v>532</v>
      </c>
      <c r="C31" s="158" t="s">
        <v>51</v>
      </c>
      <c r="D31" s="158" t="s">
        <v>52</v>
      </c>
      <c r="E31" s="157">
        <v>360</v>
      </c>
      <c r="F31" s="158" t="s">
        <v>525</v>
      </c>
      <c r="G31" s="159">
        <v>3609856.8</v>
      </c>
      <c r="H31" s="159">
        <v>0</v>
      </c>
      <c r="I31" s="159">
        <v>1140130.8</v>
      </c>
      <c r="J31" s="159">
        <v>31.6</v>
      </c>
      <c r="K31" t="str">
        <f>VLOOKUP($C31,Lists!$C$3:$M$118,7,FALSE)</f>
        <v>Squash</v>
      </c>
      <c r="S31" s="4"/>
      <c r="T31" s="4"/>
      <c r="U31" s="5"/>
      <c r="V31" s="5"/>
    </row>
    <row r="32" spans="1:22" x14ac:dyDescent="0.25">
      <c r="A32" s="158" t="s">
        <v>531</v>
      </c>
      <c r="B32" s="158" t="s">
        <v>532</v>
      </c>
      <c r="C32" s="158" t="s">
        <v>26</v>
      </c>
      <c r="D32" s="158" t="s">
        <v>27</v>
      </c>
      <c r="E32" s="157">
        <v>288</v>
      </c>
      <c r="F32" s="158" t="s">
        <v>525</v>
      </c>
      <c r="G32" s="159">
        <v>628531.19999999995</v>
      </c>
      <c r="H32" s="159">
        <v>0</v>
      </c>
      <c r="I32" s="159">
        <v>277102.08000000002</v>
      </c>
      <c r="J32" s="159">
        <v>44.1</v>
      </c>
      <c r="K32" t="str">
        <f>VLOOKUP($C32,Lists!$C$3:$M$118,7,FALSE)</f>
        <v>Water</v>
      </c>
      <c r="S32" s="4"/>
      <c r="T32" s="4"/>
      <c r="U32" s="5"/>
      <c r="V32" s="5"/>
    </row>
    <row r="33" spans="1:22" x14ac:dyDescent="0.25">
      <c r="A33" s="158" t="s">
        <v>535</v>
      </c>
      <c r="B33" s="158" t="s">
        <v>536</v>
      </c>
      <c r="C33" s="158" t="s">
        <v>28</v>
      </c>
      <c r="D33" s="158" t="s">
        <v>530</v>
      </c>
      <c r="E33" s="157">
        <v>144</v>
      </c>
      <c r="F33" s="158" t="s">
        <v>525</v>
      </c>
      <c r="G33" s="159">
        <v>414315.36</v>
      </c>
      <c r="H33" s="159">
        <v>0</v>
      </c>
      <c r="I33" s="159">
        <v>212852.16</v>
      </c>
      <c r="J33" s="159">
        <v>51.4</v>
      </c>
      <c r="K33" t="str">
        <f>VLOOKUP($C33,Lists!$C$3:$M$118,7,FALSE)</f>
        <v>COKE_PET</v>
      </c>
      <c r="S33" s="4"/>
      <c r="T33" s="4"/>
      <c r="U33" s="5"/>
      <c r="V33" s="5"/>
    </row>
    <row r="34" spans="1:22" x14ac:dyDescent="0.25">
      <c r="A34" s="158" t="s">
        <v>535</v>
      </c>
      <c r="B34" s="158" t="s">
        <v>536</v>
      </c>
      <c r="C34" s="158" t="s">
        <v>67</v>
      </c>
      <c r="D34" s="158" t="s">
        <v>533</v>
      </c>
      <c r="E34" s="157">
        <v>144</v>
      </c>
      <c r="F34" s="158" t="s">
        <v>525</v>
      </c>
      <c r="G34" s="159">
        <v>414315.36</v>
      </c>
      <c r="H34" s="159">
        <v>0</v>
      </c>
      <c r="I34" s="159">
        <v>207779.04</v>
      </c>
      <c r="J34" s="159">
        <v>50.1</v>
      </c>
      <c r="K34" t="str">
        <f>VLOOKUP($C34,Lists!$C$3:$M$118,7,FALSE)</f>
        <v>COKE_PET</v>
      </c>
      <c r="S34" s="4"/>
      <c r="T34" s="4"/>
      <c r="U34" s="5"/>
      <c r="V34" s="5"/>
    </row>
    <row r="35" spans="1:22" x14ac:dyDescent="0.25">
      <c r="A35" s="158" t="s">
        <v>535</v>
      </c>
      <c r="B35" s="158" t="s">
        <v>536</v>
      </c>
      <c r="C35" s="158" t="s">
        <v>49</v>
      </c>
      <c r="D35" s="158" t="s">
        <v>50</v>
      </c>
      <c r="E35" s="157">
        <v>72</v>
      </c>
      <c r="F35" s="158" t="s">
        <v>525</v>
      </c>
      <c r="G35" s="159">
        <v>721971.36</v>
      </c>
      <c r="H35" s="159">
        <v>0</v>
      </c>
      <c r="I35" s="159">
        <v>229947.84</v>
      </c>
      <c r="J35" s="159">
        <v>31.8</v>
      </c>
      <c r="K35" t="str">
        <f>VLOOKUP($C35,Lists!$C$3:$M$118,7,FALSE)</f>
        <v>Squash</v>
      </c>
      <c r="S35" s="4"/>
      <c r="T35" s="4"/>
      <c r="U35" s="5"/>
      <c r="V35" s="5"/>
    </row>
    <row r="36" spans="1:22" x14ac:dyDescent="0.25">
      <c r="A36" s="158" t="s">
        <v>437</v>
      </c>
      <c r="B36" s="158" t="s">
        <v>72</v>
      </c>
      <c r="C36" s="158" t="s">
        <v>41</v>
      </c>
      <c r="D36" s="158" t="s">
        <v>42</v>
      </c>
      <c r="E36" s="157">
        <v>72</v>
      </c>
      <c r="F36" s="158" t="s">
        <v>525</v>
      </c>
      <c r="G36" s="159">
        <v>556223.04</v>
      </c>
      <c r="H36" s="159">
        <v>0</v>
      </c>
      <c r="I36" s="159">
        <v>233303.04000000001</v>
      </c>
      <c r="J36" s="159">
        <v>41.9</v>
      </c>
      <c r="K36" t="str">
        <f>VLOOKUP($C36,Lists!$C$3:$M$118,7,FALSE)</f>
        <v>Alcomix</v>
      </c>
      <c r="S36" s="4"/>
      <c r="T36" s="4"/>
      <c r="U36" s="5"/>
      <c r="V36" s="5"/>
    </row>
    <row r="37" spans="1:22" x14ac:dyDescent="0.25">
      <c r="A37" s="158" t="s">
        <v>437</v>
      </c>
      <c r="B37" s="158" t="s">
        <v>72</v>
      </c>
      <c r="C37" s="158" t="s">
        <v>10</v>
      </c>
      <c r="D37" s="158" t="s">
        <v>11</v>
      </c>
      <c r="E37" s="157">
        <v>358</v>
      </c>
      <c r="F37" s="158" t="s">
        <v>525</v>
      </c>
      <c r="G37" s="159">
        <v>2765664.56</v>
      </c>
      <c r="H37" s="159">
        <v>0</v>
      </c>
      <c r="I37" s="159">
        <v>1160034.56</v>
      </c>
      <c r="J37" s="159">
        <v>41.9</v>
      </c>
      <c r="K37" t="str">
        <f>VLOOKUP($C37,Lists!$C$3:$M$118,7,FALSE)</f>
        <v>Alcomix</v>
      </c>
      <c r="S37" s="4"/>
      <c r="T37" s="4"/>
      <c r="U37" s="5"/>
      <c r="V37" s="5"/>
    </row>
    <row r="38" spans="1:22" x14ac:dyDescent="0.25">
      <c r="A38" s="158" t="s">
        <v>437</v>
      </c>
      <c r="B38" s="158" t="s">
        <v>72</v>
      </c>
      <c r="C38" s="158" t="s">
        <v>12</v>
      </c>
      <c r="D38" s="158" t="s">
        <v>13</v>
      </c>
      <c r="E38" s="157">
        <v>4231</v>
      </c>
      <c r="F38" s="158" t="s">
        <v>525</v>
      </c>
      <c r="G38" s="159">
        <v>27238204.870000001</v>
      </c>
      <c r="H38" s="159">
        <v>0</v>
      </c>
      <c r="I38" s="159">
        <v>11904003.1</v>
      </c>
      <c r="J38" s="159">
        <v>43.7</v>
      </c>
      <c r="K38" t="str">
        <f>VLOOKUP($C38,Lists!$C$3:$M$118,7,FALSE)</f>
        <v>Beers</v>
      </c>
      <c r="S38" s="4"/>
      <c r="T38" s="4"/>
      <c r="U38" s="5"/>
      <c r="V38" s="5"/>
    </row>
    <row r="39" spans="1:22" x14ac:dyDescent="0.25">
      <c r="A39" s="158" t="s">
        <v>437</v>
      </c>
      <c r="B39" s="158" t="s">
        <v>72</v>
      </c>
      <c r="C39" s="158" t="s">
        <v>14</v>
      </c>
      <c r="D39" s="158" t="s">
        <v>15</v>
      </c>
      <c r="E39" s="157">
        <v>2221</v>
      </c>
      <c r="F39" s="158" t="s">
        <v>525</v>
      </c>
      <c r="G39" s="159">
        <v>17157935.719999999</v>
      </c>
      <c r="H39" s="159">
        <v>0</v>
      </c>
      <c r="I39" s="159">
        <v>8472981.7400000002</v>
      </c>
      <c r="J39" s="159">
        <v>49.4</v>
      </c>
      <c r="K39" t="str">
        <f>VLOOKUP($C39,Lists!$C$3:$M$118,7,FALSE)</f>
        <v>Beers</v>
      </c>
      <c r="S39" s="4"/>
      <c r="T39" s="4"/>
      <c r="U39" s="5"/>
      <c r="V39" s="5"/>
    </row>
    <row r="40" spans="1:22" x14ac:dyDescent="0.25">
      <c r="A40" s="158" t="s">
        <v>437</v>
      </c>
      <c r="B40" s="158" t="s">
        <v>72</v>
      </c>
      <c r="C40" s="158" t="s">
        <v>54</v>
      </c>
      <c r="D40" s="158" t="s">
        <v>55</v>
      </c>
      <c r="E40" s="157">
        <v>447</v>
      </c>
      <c r="F40" s="158" t="s">
        <v>525</v>
      </c>
      <c r="G40" s="159">
        <v>3453218.04</v>
      </c>
      <c r="H40" s="159">
        <v>0</v>
      </c>
      <c r="I40" s="159">
        <v>1812839.79</v>
      </c>
      <c r="J40" s="159">
        <v>52.5</v>
      </c>
      <c r="K40" t="str">
        <f>VLOOKUP($C40,Lists!$C$3:$M$118,7,FALSE)</f>
        <v>Beers</v>
      </c>
      <c r="S40" s="4"/>
      <c r="T40" s="4"/>
      <c r="U40" s="5"/>
      <c r="V40" s="5"/>
    </row>
    <row r="41" spans="1:22" x14ac:dyDescent="0.25">
      <c r="A41" s="158" t="s">
        <v>437</v>
      </c>
      <c r="B41" s="158" t="s">
        <v>72</v>
      </c>
      <c r="C41" s="158" t="s">
        <v>16</v>
      </c>
      <c r="D41" s="158" t="s">
        <v>17</v>
      </c>
      <c r="E41" s="157">
        <v>2727</v>
      </c>
      <c r="F41" s="158" t="s">
        <v>525</v>
      </c>
      <c r="G41" s="159">
        <v>21066947.640000001</v>
      </c>
      <c r="H41" s="159">
        <v>0</v>
      </c>
      <c r="I41" s="159">
        <v>10403341.380000001</v>
      </c>
      <c r="J41" s="159">
        <v>49.4</v>
      </c>
      <c r="K41" t="str">
        <f>VLOOKUP($C41,Lists!$C$3:$M$118,7,FALSE)</f>
        <v>Beers</v>
      </c>
      <c r="S41" s="4"/>
      <c r="T41" s="4"/>
      <c r="U41" s="5"/>
      <c r="V41" s="5"/>
    </row>
    <row r="42" spans="1:22" x14ac:dyDescent="0.25">
      <c r="A42" s="158" t="s">
        <v>437</v>
      </c>
      <c r="B42" s="158" t="s">
        <v>72</v>
      </c>
      <c r="C42" s="158" t="s">
        <v>56</v>
      </c>
      <c r="D42" s="158" t="s">
        <v>57</v>
      </c>
      <c r="E42" s="157">
        <v>248</v>
      </c>
      <c r="F42" s="158" t="s">
        <v>525</v>
      </c>
      <c r="G42" s="159">
        <v>1915879.36</v>
      </c>
      <c r="H42" s="159">
        <v>0</v>
      </c>
      <c r="I42" s="159">
        <v>1005781.36</v>
      </c>
      <c r="J42" s="159">
        <v>52.5</v>
      </c>
      <c r="K42" t="str">
        <f>VLOOKUP($C42,Lists!$C$3:$M$118,7,FALSE)</f>
        <v>Beers</v>
      </c>
      <c r="S42" s="4"/>
      <c r="T42" s="4"/>
      <c r="U42" s="5"/>
      <c r="V42" s="5"/>
    </row>
    <row r="43" spans="1:22" x14ac:dyDescent="0.25">
      <c r="A43" s="158" t="s">
        <v>437</v>
      </c>
      <c r="B43" s="158" t="s">
        <v>72</v>
      </c>
      <c r="C43" s="158" t="s">
        <v>18</v>
      </c>
      <c r="D43" s="158" t="s">
        <v>19</v>
      </c>
      <c r="E43" s="157">
        <v>717</v>
      </c>
      <c r="F43" s="158" t="s">
        <v>525</v>
      </c>
      <c r="G43" s="159">
        <v>7385408.3099999996</v>
      </c>
      <c r="H43" s="159">
        <v>0</v>
      </c>
      <c r="I43" s="159">
        <v>3829446.81</v>
      </c>
      <c r="J43" s="159">
        <v>51.9</v>
      </c>
      <c r="K43" t="str">
        <f>VLOOKUP($C43,Lists!$C$3:$M$118,7,FALSE)</f>
        <v>Beers</v>
      </c>
      <c r="S43" s="4"/>
      <c r="T43" s="4"/>
      <c r="U43" s="5"/>
      <c r="V43" s="5"/>
    </row>
    <row r="44" spans="1:22" x14ac:dyDescent="0.25">
      <c r="A44" s="158" t="s">
        <v>437</v>
      </c>
      <c r="B44" s="158" t="s">
        <v>72</v>
      </c>
      <c r="C44" s="158" t="s">
        <v>20</v>
      </c>
      <c r="D44" s="158" t="s">
        <v>21</v>
      </c>
      <c r="E44" s="157">
        <v>3157</v>
      </c>
      <c r="F44" s="158" t="s">
        <v>525</v>
      </c>
      <c r="G44" s="159">
        <v>12495500.710000001</v>
      </c>
      <c r="H44" s="159">
        <v>0</v>
      </c>
      <c r="I44" s="159">
        <v>5251132.8099999996</v>
      </c>
      <c r="J44" s="159">
        <v>42</v>
      </c>
      <c r="K44" t="str">
        <f>VLOOKUP($C44,Lists!$C$3:$M$118,7,FALSE)</f>
        <v>COKE_RGB</v>
      </c>
      <c r="S44" s="4"/>
      <c r="T44" s="4"/>
      <c r="U44" s="5"/>
      <c r="V44" s="5"/>
    </row>
    <row r="45" spans="1:22" x14ac:dyDescent="0.25">
      <c r="A45" s="158" t="s">
        <v>437</v>
      </c>
      <c r="B45" s="158" t="s">
        <v>72</v>
      </c>
      <c r="C45" s="158" t="s">
        <v>28</v>
      </c>
      <c r="D45" s="158" t="s">
        <v>530</v>
      </c>
      <c r="E45" s="157">
        <v>430</v>
      </c>
      <c r="F45" s="158" t="s">
        <v>525</v>
      </c>
      <c r="G45" s="159">
        <v>1213847</v>
      </c>
      <c r="H45" s="159">
        <v>0</v>
      </c>
      <c r="I45" s="159">
        <v>612255.5</v>
      </c>
      <c r="J45" s="159">
        <v>50.4</v>
      </c>
      <c r="K45" t="str">
        <f>VLOOKUP($C45,Lists!$C$3:$M$118,7,FALSE)</f>
        <v>COKE_PET</v>
      </c>
      <c r="S45" s="4"/>
      <c r="T45" s="4"/>
      <c r="U45" s="5"/>
      <c r="V45" s="5"/>
    </row>
    <row r="46" spans="1:22" x14ac:dyDescent="0.25">
      <c r="A46" s="158" t="s">
        <v>437</v>
      </c>
      <c r="B46" s="158" t="s">
        <v>72</v>
      </c>
      <c r="C46" s="158" t="s">
        <v>58</v>
      </c>
      <c r="D46" s="158" t="s">
        <v>537</v>
      </c>
      <c r="E46" s="157">
        <v>431</v>
      </c>
      <c r="F46" s="158" t="s">
        <v>525</v>
      </c>
      <c r="G46" s="159">
        <v>1042860.53</v>
      </c>
      <c r="H46" s="159">
        <v>0</v>
      </c>
      <c r="I46" s="159">
        <v>577785.67000000004</v>
      </c>
      <c r="J46" s="159">
        <v>55.4</v>
      </c>
      <c r="K46" t="str">
        <f>VLOOKUP($C46,Lists!$C$3:$M$118,7,FALSE)</f>
        <v>SOBO_PET</v>
      </c>
      <c r="S46" s="4"/>
      <c r="T46" s="4"/>
      <c r="U46" s="5"/>
      <c r="V46" s="5"/>
    </row>
    <row r="47" spans="1:22" x14ac:dyDescent="0.25">
      <c r="A47" s="158" t="s">
        <v>437</v>
      </c>
      <c r="B47" s="158" t="s">
        <v>72</v>
      </c>
      <c r="C47" s="158" t="s">
        <v>78</v>
      </c>
      <c r="D47" s="158" t="s">
        <v>526</v>
      </c>
      <c r="E47" s="157">
        <v>144</v>
      </c>
      <c r="F47" s="158" t="s">
        <v>525</v>
      </c>
      <c r="G47" s="159">
        <v>348426.72</v>
      </c>
      <c r="H47" s="159">
        <v>0</v>
      </c>
      <c r="I47" s="159">
        <v>190236.96</v>
      </c>
      <c r="J47" s="159">
        <v>54.6</v>
      </c>
      <c r="K47" t="str">
        <f>VLOOKUP($C47,Lists!$C$3:$M$118,7,FALSE)</f>
        <v>SOBO_PET</v>
      </c>
      <c r="S47" s="4"/>
      <c r="T47" s="4"/>
      <c r="U47" s="5"/>
      <c r="V47" s="5"/>
    </row>
    <row r="48" spans="1:22" x14ac:dyDescent="0.25">
      <c r="A48" s="158" t="s">
        <v>437</v>
      </c>
      <c r="B48" s="158" t="s">
        <v>72</v>
      </c>
      <c r="C48" s="158" t="s">
        <v>43</v>
      </c>
      <c r="D48" s="158" t="s">
        <v>44</v>
      </c>
      <c r="E48" s="157">
        <v>288</v>
      </c>
      <c r="F48" s="158" t="s">
        <v>525</v>
      </c>
      <c r="G48" s="159">
        <v>2224892.16</v>
      </c>
      <c r="H48" s="159">
        <v>0</v>
      </c>
      <c r="I48" s="159">
        <v>1098702.72</v>
      </c>
      <c r="J48" s="159">
        <v>49.4</v>
      </c>
      <c r="K48" t="str">
        <f>VLOOKUP($C48,Lists!$C$3:$M$118,7,FALSE)</f>
        <v>Beers</v>
      </c>
      <c r="S48" s="4"/>
      <c r="T48" s="4"/>
      <c r="U48" s="5"/>
      <c r="V48" s="5"/>
    </row>
    <row r="49" spans="1:22" x14ac:dyDescent="0.25">
      <c r="A49" s="158" t="s">
        <v>437</v>
      </c>
      <c r="B49" s="158" t="s">
        <v>72</v>
      </c>
      <c r="C49" s="158" t="s">
        <v>59</v>
      </c>
      <c r="D49" s="158" t="s">
        <v>60</v>
      </c>
      <c r="E49" s="157">
        <v>432</v>
      </c>
      <c r="F49" s="158" t="s">
        <v>525</v>
      </c>
      <c r="G49" s="159">
        <v>1709868.96</v>
      </c>
      <c r="H49" s="159">
        <v>0</v>
      </c>
      <c r="I49" s="159">
        <v>696202.56</v>
      </c>
      <c r="J49" s="159">
        <v>40.700000000000003</v>
      </c>
      <c r="K49" t="str">
        <f>VLOOKUP($C49,Lists!$C$3:$M$118,7,FALSE)</f>
        <v>COKE_RGB</v>
      </c>
      <c r="S49" s="4"/>
      <c r="T49" s="4"/>
      <c r="U49" s="5"/>
      <c r="V49" s="5"/>
    </row>
    <row r="50" spans="1:22" x14ac:dyDescent="0.25">
      <c r="A50" s="158" t="s">
        <v>437</v>
      </c>
      <c r="B50" s="158" t="s">
        <v>72</v>
      </c>
      <c r="C50" s="158" t="s">
        <v>22</v>
      </c>
      <c r="D50" s="158" t="s">
        <v>23</v>
      </c>
      <c r="E50" s="157">
        <v>1077</v>
      </c>
      <c r="F50" s="158" t="s">
        <v>525</v>
      </c>
      <c r="G50" s="159">
        <v>4262798.3099999996</v>
      </c>
      <c r="H50" s="159">
        <v>0</v>
      </c>
      <c r="I50" s="159">
        <v>1717341.12</v>
      </c>
      <c r="J50" s="159">
        <v>40.299999999999997</v>
      </c>
      <c r="K50" t="str">
        <f>VLOOKUP($C50,Lists!$C$3:$M$118,7,FALSE)</f>
        <v>COKE_RGB</v>
      </c>
      <c r="S50" s="4"/>
      <c r="T50" s="4"/>
      <c r="U50" s="5"/>
      <c r="V50" s="5"/>
    </row>
    <row r="51" spans="1:22" x14ac:dyDescent="0.25">
      <c r="A51" s="158" t="s">
        <v>437</v>
      </c>
      <c r="B51" s="158" t="s">
        <v>72</v>
      </c>
      <c r="C51" s="158" t="s">
        <v>67</v>
      </c>
      <c r="D51" s="158" t="s">
        <v>533</v>
      </c>
      <c r="E51" s="157">
        <v>288</v>
      </c>
      <c r="F51" s="158" t="s">
        <v>525</v>
      </c>
      <c r="G51" s="159">
        <v>812995.2</v>
      </c>
      <c r="H51" s="159">
        <v>0</v>
      </c>
      <c r="I51" s="159">
        <v>399922.56</v>
      </c>
      <c r="J51" s="159">
        <v>49.2</v>
      </c>
      <c r="K51" t="str">
        <f>VLOOKUP($C51,Lists!$C$3:$M$118,7,FALSE)</f>
        <v>COKE_PET</v>
      </c>
      <c r="S51" s="4"/>
      <c r="T51" s="4"/>
      <c r="U51" s="5"/>
      <c r="V51" s="5"/>
    </row>
    <row r="52" spans="1:22" x14ac:dyDescent="0.25">
      <c r="A52" s="158" t="s">
        <v>437</v>
      </c>
      <c r="B52" s="158" t="s">
        <v>72</v>
      </c>
      <c r="C52" s="158" t="s">
        <v>261</v>
      </c>
      <c r="D52" s="158" t="s">
        <v>538</v>
      </c>
      <c r="E52" s="157">
        <v>286</v>
      </c>
      <c r="F52" s="158" t="s">
        <v>525</v>
      </c>
      <c r="G52" s="159">
        <v>1131996.58</v>
      </c>
      <c r="H52" s="159">
        <v>0</v>
      </c>
      <c r="I52" s="159">
        <v>456044.16</v>
      </c>
      <c r="J52" s="159">
        <v>40.299999999999997</v>
      </c>
      <c r="K52" t="str">
        <f>VLOOKUP($C52,Lists!$C$3:$M$118,7,FALSE)</f>
        <v>COKE_RGB</v>
      </c>
      <c r="S52" s="4"/>
      <c r="T52" s="4"/>
      <c r="U52" s="5"/>
      <c r="V52" s="5"/>
    </row>
    <row r="53" spans="1:22" x14ac:dyDescent="0.25">
      <c r="A53" s="158" t="s">
        <v>437</v>
      </c>
      <c r="B53" s="158" t="s">
        <v>72</v>
      </c>
      <c r="C53" s="158" t="s">
        <v>24</v>
      </c>
      <c r="D53" s="158" t="s">
        <v>25</v>
      </c>
      <c r="E53" s="157">
        <v>1361</v>
      </c>
      <c r="F53" s="158" t="s">
        <v>525</v>
      </c>
      <c r="G53" s="159">
        <v>8761804.9700000007</v>
      </c>
      <c r="H53" s="159">
        <v>0</v>
      </c>
      <c r="I53" s="159">
        <v>4218610.04</v>
      </c>
      <c r="J53" s="159">
        <v>48.1</v>
      </c>
      <c r="K53" t="str">
        <f>VLOOKUP($C53,Lists!$C$3:$M$118,7,FALSE)</f>
        <v>Beers</v>
      </c>
      <c r="S53" s="4"/>
      <c r="T53" s="4"/>
      <c r="U53" s="5"/>
      <c r="V53" s="5"/>
    </row>
    <row r="54" spans="1:22" x14ac:dyDescent="0.25">
      <c r="A54" s="158" t="s">
        <v>437</v>
      </c>
      <c r="B54" s="158" t="s">
        <v>72</v>
      </c>
      <c r="C54" s="158" t="s">
        <v>29</v>
      </c>
      <c r="D54" s="158" t="s">
        <v>30</v>
      </c>
      <c r="E54" s="157">
        <v>205</v>
      </c>
      <c r="F54" s="158" t="s">
        <v>525</v>
      </c>
      <c r="G54" s="159">
        <v>7458799.9500000002</v>
      </c>
      <c r="H54" s="159">
        <v>0</v>
      </c>
      <c r="I54" s="159">
        <v>2128799.9500000002</v>
      </c>
      <c r="J54" s="159">
        <v>28.5</v>
      </c>
      <c r="K54" t="str">
        <f>VLOOKUP($C54,Lists!$C$3:$M$118,7,FALSE)</f>
        <v>Spirits</v>
      </c>
      <c r="S54" s="4"/>
      <c r="T54" s="4"/>
      <c r="U54" s="5"/>
      <c r="V54" s="5"/>
    </row>
    <row r="55" spans="1:22" x14ac:dyDescent="0.25">
      <c r="A55" s="158" t="s">
        <v>437</v>
      </c>
      <c r="B55" s="158" t="s">
        <v>72</v>
      </c>
      <c r="C55" s="158" t="s">
        <v>31</v>
      </c>
      <c r="D55" s="158" t="s">
        <v>32</v>
      </c>
      <c r="E55" s="157">
        <v>10</v>
      </c>
      <c r="F55" s="158" t="s">
        <v>525</v>
      </c>
      <c r="G55" s="159">
        <v>341567.8</v>
      </c>
      <c r="H55" s="159">
        <v>0</v>
      </c>
      <c r="I55" s="159">
        <v>101567.8</v>
      </c>
      <c r="J55" s="159">
        <v>29.7</v>
      </c>
      <c r="K55" t="str">
        <f>VLOOKUP($C55,Lists!$C$3:$M$118,7,FALSE)</f>
        <v>Spirits</v>
      </c>
      <c r="S55" s="4"/>
      <c r="T55" s="4"/>
      <c r="U55" s="5"/>
      <c r="V55" s="5"/>
    </row>
    <row r="56" spans="1:22" x14ac:dyDescent="0.25">
      <c r="A56" s="158" t="s">
        <v>437</v>
      </c>
      <c r="B56" s="158" t="s">
        <v>72</v>
      </c>
      <c r="C56" s="158" t="s">
        <v>33</v>
      </c>
      <c r="D56" s="158" t="s">
        <v>34</v>
      </c>
      <c r="E56" s="157">
        <v>65</v>
      </c>
      <c r="F56" s="158" t="s">
        <v>525</v>
      </c>
      <c r="G56" s="159">
        <v>3619876</v>
      </c>
      <c r="H56" s="159">
        <v>0</v>
      </c>
      <c r="I56" s="159">
        <v>694876</v>
      </c>
      <c r="J56" s="159">
        <v>19.2</v>
      </c>
      <c r="K56" t="str">
        <f>VLOOKUP($C56,Lists!$C$3:$M$118,7,FALSE)</f>
        <v>Spirits</v>
      </c>
      <c r="S56" s="4"/>
      <c r="T56" s="4"/>
      <c r="U56" s="5"/>
      <c r="V56" s="5"/>
    </row>
    <row r="57" spans="1:22" x14ac:dyDescent="0.25">
      <c r="A57" s="158" t="s">
        <v>437</v>
      </c>
      <c r="B57" s="158" t="s">
        <v>72</v>
      </c>
      <c r="C57" s="158" t="s">
        <v>37</v>
      </c>
      <c r="D57" s="158" t="s">
        <v>38</v>
      </c>
      <c r="E57" s="157">
        <v>713</v>
      </c>
      <c r="F57" s="158" t="s">
        <v>525</v>
      </c>
      <c r="G57" s="159">
        <v>2351730.6800000002</v>
      </c>
      <c r="H57" s="159">
        <v>0</v>
      </c>
      <c r="I57" s="159">
        <v>1101706.21</v>
      </c>
      <c r="J57" s="159">
        <v>46.8</v>
      </c>
      <c r="K57" t="str">
        <f>VLOOKUP($C57,Lists!$C$3:$M$118,7,FALSE)</f>
        <v>SOBO_RGB</v>
      </c>
      <c r="S57" s="4"/>
      <c r="T57" s="4"/>
      <c r="U57" s="5"/>
      <c r="V57" s="5"/>
    </row>
    <row r="58" spans="1:22" x14ac:dyDescent="0.25">
      <c r="A58" s="158" t="s">
        <v>437</v>
      </c>
      <c r="B58" s="158" t="s">
        <v>72</v>
      </c>
      <c r="C58" s="158" t="s">
        <v>39</v>
      </c>
      <c r="D58" s="158" t="s">
        <v>40</v>
      </c>
      <c r="E58" s="157">
        <v>642</v>
      </c>
      <c r="F58" s="158" t="s">
        <v>525</v>
      </c>
      <c r="G58" s="159">
        <v>2117547.12</v>
      </c>
      <c r="H58" s="159">
        <v>0</v>
      </c>
      <c r="I58" s="159">
        <v>983229.42</v>
      </c>
      <c r="J58" s="159">
        <v>46.4</v>
      </c>
      <c r="K58" t="str">
        <f>VLOOKUP($C58,Lists!$C$3:$M$118,7,FALSE)</f>
        <v>SOBO_RGB</v>
      </c>
      <c r="S58" s="4"/>
      <c r="T58" s="4"/>
      <c r="U58" s="5"/>
      <c r="V58" s="5"/>
    </row>
    <row r="59" spans="1:22" x14ac:dyDescent="0.25">
      <c r="A59" s="158" t="s">
        <v>437</v>
      </c>
      <c r="B59" s="158" t="s">
        <v>72</v>
      </c>
      <c r="C59" s="158" t="s">
        <v>88</v>
      </c>
      <c r="D59" s="158" t="s">
        <v>527</v>
      </c>
      <c r="E59" s="157">
        <v>144</v>
      </c>
      <c r="F59" s="158" t="s">
        <v>525</v>
      </c>
      <c r="G59" s="159">
        <v>406497.6</v>
      </c>
      <c r="H59" s="159">
        <v>0</v>
      </c>
      <c r="I59" s="159">
        <v>238492.81</v>
      </c>
      <c r="J59" s="159">
        <v>58.7</v>
      </c>
      <c r="K59" t="str">
        <f>VLOOKUP($C59,Lists!$C$3:$M$118,7,FALSE)</f>
        <v>SOBO_PET</v>
      </c>
      <c r="S59" s="4"/>
      <c r="T59" s="4"/>
      <c r="U59" s="5"/>
      <c r="V59" s="5"/>
    </row>
    <row r="60" spans="1:22" x14ac:dyDescent="0.25">
      <c r="A60" s="158" t="s">
        <v>437</v>
      </c>
      <c r="B60" s="158" t="s">
        <v>72</v>
      </c>
      <c r="C60" s="158" t="s">
        <v>45</v>
      </c>
      <c r="D60" s="158" t="s">
        <v>46</v>
      </c>
      <c r="E60" s="157">
        <v>287</v>
      </c>
      <c r="F60" s="158" t="s">
        <v>525</v>
      </c>
      <c r="G60" s="159">
        <v>1135954.6100000001</v>
      </c>
      <c r="H60" s="159">
        <v>0</v>
      </c>
      <c r="I60" s="159">
        <v>559497.89</v>
      </c>
      <c r="J60" s="159">
        <v>49.3</v>
      </c>
      <c r="K60" t="str">
        <f>VLOOKUP($C60,Lists!$C$3:$M$118,7,FALSE)</f>
        <v>SOBO_RGB</v>
      </c>
      <c r="S60" s="4"/>
      <c r="T60" s="4"/>
      <c r="U60" s="5"/>
      <c r="V60" s="5"/>
    </row>
    <row r="61" spans="1:22" x14ac:dyDescent="0.25">
      <c r="A61" s="158" t="s">
        <v>437</v>
      </c>
      <c r="B61" s="158" t="s">
        <v>72</v>
      </c>
      <c r="C61" s="158" t="s">
        <v>47</v>
      </c>
      <c r="D61" s="158" t="s">
        <v>48</v>
      </c>
      <c r="E61" s="157">
        <v>429</v>
      </c>
      <c r="F61" s="158" t="s">
        <v>525</v>
      </c>
      <c r="G61" s="159">
        <v>1697994.87</v>
      </c>
      <c r="H61" s="159">
        <v>0</v>
      </c>
      <c r="I61" s="159">
        <v>741024.57</v>
      </c>
      <c r="J61" s="159">
        <v>43.6</v>
      </c>
      <c r="K61" t="str">
        <f>VLOOKUP($C61,Lists!$C$3:$M$118,7,FALSE)</f>
        <v>COKE_RGB</v>
      </c>
      <c r="S61" s="4"/>
      <c r="T61" s="4"/>
      <c r="U61" s="5"/>
      <c r="V61" s="5"/>
    </row>
    <row r="62" spans="1:22" x14ac:dyDescent="0.25">
      <c r="A62" s="158" t="s">
        <v>437</v>
      </c>
      <c r="B62" s="158" t="s">
        <v>72</v>
      </c>
      <c r="C62" s="158" t="s">
        <v>68</v>
      </c>
      <c r="D62" s="158" t="s">
        <v>534</v>
      </c>
      <c r="E62" s="157">
        <v>287</v>
      </c>
      <c r="F62" s="158" t="s">
        <v>525</v>
      </c>
      <c r="G62" s="159">
        <v>810172.3</v>
      </c>
      <c r="H62" s="159">
        <v>0</v>
      </c>
      <c r="I62" s="159">
        <v>394785.72</v>
      </c>
      <c r="J62" s="159">
        <v>48.7</v>
      </c>
      <c r="K62" t="str">
        <f>VLOOKUP($C62,Lists!$C$3:$M$118,7,FALSE)</f>
        <v>COKE_PET</v>
      </c>
      <c r="S62" s="4"/>
      <c r="T62" s="4"/>
      <c r="U62" s="5"/>
      <c r="V62" s="5"/>
    </row>
    <row r="63" spans="1:22" x14ac:dyDescent="0.25">
      <c r="A63" s="158" t="s">
        <v>437</v>
      </c>
      <c r="B63" s="158" t="s">
        <v>72</v>
      </c>
      <c r="C63" s="158" t="s">
        <v>49</v>
      </c>
      <c r="D63" s="158" t="s">
        <v>50</v>
      </c>
      <c r="E63" s="157">
        <v>215</v>
      </c>
      <c r="F63" s="158" t="s">
        <v>525</v>
      </c>
      <c r="G63" s="159">
        <v>2155886.7000000002</v>
      </c>
      <c r="H63" s="159">
        <v>0</v>
      </c>
      <c r="I63" s="159">
        <v>686649.8</v>
      </c>
      <c r="J63" s="159">
        <v>31.8</v>
      </c>
      <c r="K63" t="str">
        <f>VLOOKUP($C63,Lists!$C$3:$M$118,7,FALSE)</f>
        <v>Squash</v>
      </c>
      <c r="S63" s="4"/>
      <c r="T63" s="4"/>
      <c r="U63" s="5"/>
      <c r="V63" s="5"/>
    </row>
    <row r="64" spans="1:22" x14ac:dyDescent="0.25">
      <c r="A64" s="158" t="s">
        <v>437</v>
      </c>
      <c r="B64" s="158" t="s">
        <v>72</v>
      </c>
      <c r="C64" s="158" t="s">
        <v>51</v>
      </c>
      <c r="D64" s="158" t="s">
        <v>52</v>
      </c>
      <c r="E64" s="157">
        <v>359</v>
      </c>
      <c r="F64" s="158" t="s">
        <v>525</v>
      </c>
      <c r="G64" s="159">
        <v>3599829.42</v>
      </c>
      <c r="H64" s="159">
        <v>0</v>
      </c>
      <c r="I64" s="159">
        <v>1136963.77</v>
      </c>
      <c r="J64" s="159">
        <v>31.6</v>
      </c>
      <c r="K64" t="str">
        <f>VLOOKUP($C64,Lists!$C$3:$M$118,7,FALSE)</f>
        <v>Squash</v>
      </c>
      <c r="S64" s="4"/>
      <c r="T64" s="4"/>
      <c r="U64" s="5"/>
      <c r="V64" s="5"/>
    </row>
    <row r="65" spans="1:22" x14ac:dyDescent="0.25">
      <c r="A65" s="158" t="s">
        <v>437</v>
      </c>
      <c r="B65" s="158" t="s">
        <v>72</v>
      </c>
      <c r="C65" s="158" t="s">
        <v>26</v>
      </c>
      <c r="D65" s="158" t="s">
        <v>27</v>
      </c>
      <c r="E65" s="157">
        <v>575</v>
      </c>
      <c r="F65" s="158" t="s">
        <v>525</v>
      </c>
      <c r="G65" s="159">
        <v>1254880</v>
      </c>
      <c r="H65" s="159">
        <v>0</v>
      </c>
      <c r="I65" s="159">
        <v>553242</v>
      </c>
      <c r="J65" s="159">
        <v>44.1</v>
      </c>
      <c r="K65" t="str">
        <f>VLOOKUP($C65,Lists!$C$3:$M$118,7,FALSE)</f>
        <v>Water</v>
      </c>
      <c r="S65" s="4"/>
      <c r="T65" s="4"/>
      <c r="U65" s="5"/>
      <c r="V65" s="5"/>
    </row>
    <row r="66" spans="1:22" x14ac:dyDescent="0.25">
      <c r="A66" s="158" t="s">
        <v>438</v>
      </c>
      <c r="B66" s="158" t="s">
        <v>75</v>
      </c>
      <c r="C66" s="158" t="s">
        <v>41</v>
      </c>
      <c r="D66" s="158" t="s">
        <v>42</v>
      </c>
      <c r="E66" s="157">
        <v>71</v>
      </c>
      <c r="F66" s="158" t="s">
        <v>525</v>
      </c>
      <c r="G66" s="159">
        <v>548497.72</v>
      </c>
      <c r="H66" s="159">
        <v>0</v>
      </c>
      <c r="I66" s="159">
        <v>230062.72</v>
      </c>
      <c r="J66" s="159">
        <v>41.9</v>
      </c>
      <c r="K66" t="str">
        <f>VLOOKUP($C66,Lists!$C$3:$M$118,7,FALSE)</f>
        <v>Alcomix</v>
      </c>
      <c r="S66" s="4"/>
      <c r="T66" s="4"/>
      <c r="U66" s="5"/>
      <c r="V66" s="5"/>
    </row>
    <row r="67" spans="1:22" x14ac:dyDescent="0.25">
      <c r="A67" s="158" t="s">
        <v>438</v>
      </c>
      <c r="B67" s="158" t="s">
        <v>75</v>
      </c>
      <c r="C67" s="158" t="s">
        <v>10</v>
      </c>
      <c r="D67" s="158" t="s">
        <v>11</v>
      </c>
      <c r="E67" s="157">
        <v>502</v>
      </c>
      <c r="F67" s="158" t="s">
        <v>525</v>
      </c>
      <c r="G67" s="159">
        <v>3878110.64</v>
      </c>
      <c r="H67" s="159">
        <v>0</v>
      </c>
      <c r="I67" s="159">
        <v>1626640.64</v>
      </c>
      <c r="J67" s="159">
        <v>41.9</v>
      </c>
      <c r="K67" t="str">
        <f>VLOOKUP($C67,Lists!$C$3:$M$118,7,FALSE)</f>
        <v>Alcomix</v>
      </c>
      <c r="S67" s="4"/>
      <c r="T67" s="4"/>
      <c r="U67" s="5"/>
      <c r="V67" s="5"/>
    </row>
    <row r="68" spans="1:22" x14ac:dyDescent="0.25">
      <c r="A68" s="158" t="s">
        <v>438</v>
      </c>
      <c r="B68" s="158" t="s">
        <v>75</v>
      </c>
      <c r="C68" s="158" t="s">
        <v>12</v>
      </c>
      <c r="D68" s="158" t="s">
        <v>13</v>
      </c>
      <c r="E68" s="157">
        <v>2006</v>
      </c>
      <c r="F68" s="158" t="s">
        <v>525</v>
      </c>
      <c r="G68" s="159">
        <v>12914166.619999999</v>
      </c>
      <c r="H68" s="159">
        <v>0</v>
      </c>
      <c r="I68" s="159">
        <v>5643921.1100000003</v>
      </c>
      <c r="J68" s="159">
        <v>43.7</v>
      </c>
      <c r="K68" t="str">
        <f>VLOOKUP($C68,Lists!$C$3:$M$118,7,FALSE)</f>
        <v>Beers</v>
      </c>
      <c r="S68" s="4"/>
      <c r="T68" s="4"/>
      <c r="U68" s="5"/>
      <c r="V68" s="5"/>
    </row>
    <row r="69" spans="1:22" x14ac:dyDescent="0.25">
      <c r="A69" s="158" t="s">
        <v>438</v>
      </c>
      <c r="B69" s="158" t="s">
        <v>75</v>
      </c>
      <c r="C69" s="158" t="s">
        <v>14</v>
      </c>
      <c r="D69" s="158" t="s">
        <v>15</v>
      </c>
      <c r="E69" s="157">
        <v>4946</v>
      </c>
      <c r="F69" s="158" t="s">
        <v>525</v>
      </c>
      <c r="G69" s="159">
        <v>38209432.719999999</v>
      </c>
      <c r="H69" s="159">
        <v>0</v>
      </c>
      <c r="I69" s="159">
        <v>18868693.23</v>
      </c>
      <c r="J69" s="159">
        <v>49.4</v>
      </c>
      <c r="K69" t="str">
        <f>VLOOKUP($C69,Lists!$C$3:$M$118,7,FALSE)</f>
        <v>Beers</v>
      </c>
      <c r="S69" s="4"/>
      <c r="T69" s="4"/>
      <c r="U69" s="5"/>
      <c r="V69" s="5"/>
    </row>
    <row r="70" spans="1:22" x14ac:dyDescent="0.25">
      <c r="A70" s="158" t="s">
        <v>438</v>
      </c>
      <c r="B70" s="158" t="s">
        <v>75</v>
      </c>
      <c r="C70" s="158" t="s">
        <v>54</v>
      </c>
      <c r="D70" s="158" t="s">
        <v>55</v>
      </c>
      <c r="E70" s="157">
        <v>1295</v>
      </c>
      <c r="F70" s="158" t="s">
        <v>525</v>
      </c>
      <c r="G70" s="159">
        <v>10004289.4</v>
      </c>
      <c r="H70" s="159">
        <v>0</v>
      </c>
      <c r="I70" s="159">
        <v>5251963.1399999997</v>
      </c>
      <c r="J70" s="159">
        <v>52.5</v>
      </c>
      <c r="K70" t="str">
        <f>VLOOKUP($C70,Lists!$C$3:$M$118,7,FALSE)</f>
        <v>Beers</v>
      </c>
      <c r="S70" s="4"/>
      <c r="T70" s="4"/>
      <c r="U70" s="5"/>
      <c r="V70" s="5"/>
    </row>
    <row r="71" spans="1:22" x14ac:dyDescent="0.25">
      <c r="A71" s="158" t="s">
        <v>438</v>
      </c>
      <c r="B71" s="158" t="s">
        <v>75</v>
      </c>
      <c r="C71" s="158" t="s">
        <v>16</v>
      </c>
      <c r="D71" s="158" t="s">
        <v>17</v>
      </c>
      <c r="E71" s="157">
        <v>4726</v>
      </c>
      <c r="F71" s="158" t="s">
        <v>525</v>
      </c>
      <c r="G71" s="159">
        <v>36509862.32</v>
      </c>
      <c r="H71" s="159">
        <v>0</v>
      </c>
      <c r="I71" s="159">
        <v>18029406.440000001</v>
      </c>
      <c r="J71" s="159">
        <v>49.4</v>
      </c>
      <c r="K71" t="str">
        <f>VLOOKUP($C71,Lists!$C$3:$M$118,7,FALSE)</f>
        <v>Beers</v>
      </c>
      <c r="S71" s="4"/>
      <c r="T71" s="4"/>
      <c r="U71" s="5"/>
      <c r="V71" s="5"/>
    </row>
    <row r="72" spans="1:22" x14ac:dyDescent="0.25">
      <c r="A72" s="158" t="s">
        <v>438</v>
      </c>
      <c r="B72" s="158" t="s">
        <v>75</v>
      </c>
      <c r="C72" s="158" t="s">
        <v>56</v>
      </c>
      <c r="D72" s="158" t="s">
        <v>57</v>
      </c>
      <c r="E72" s="157">
        <v>947</v>
      </c>
      <c r="F72" s="158" t="s">
        <v>525</v>
      </c>
      <c r="G72" s="159">
        <v>7315878.04</v>
      </c>
      <c r="H72" s="159">
        <v>0</v>
      </c>
      <c r="I72" s="159">
        <v>3840624.79</v>
      </c>
      <c r="J72" s="159">
        <v>52.5</v>
      </c>
      <c r="K72" t="str">
        <f>VLOOKUP($C72,Lists!$C$3:$M$118,7,FALSE)</f>
        <v>Beers</v>
      </c>
      <c r="S72" s="4"/>
      <c r="T72" s="4"/>
      <c r="U72" s="5"/>
      <c r="V72" s="5"/>
    </row>
    <row r="73" spans="1:22" x14ac:dyDescent="0.25">
      <c r="A73" s="158" t="s">
        <v>438</v>
      </c>
      <c r="B73" s="158" t="s">
        <v>75</v>
      </c>
      <c r="C73" s="158" t="s">
        <v>18</v>
      </c>
      <c r="D73" s="158" t="s">
        <v>19</v>
      </c>
      <c r="E73" s="157">
        <v>1497</v>
      </c>
      <c r="F73" s="158" t="s">
        <v>525</v>
      </c>
      <c r="G73" s="159">
        <v>15419743.710000001</v>
      </c>
      <c r="H73" s="159">
        <v>0</v>
      </c>
      <c r="I73" s="159">
        <v>7995372.2000000002</v>
      </c>
      <c r="J73" s="159">
        <v>51.9</v>
      </c>
      <c r="K73" t="str">
        <f>VLOOKUP($C73,Lists!$C$3:$M$118,7,FALSE)</f>
        <v>Beers</v>
      </c>
      <c r="S73" s="4"/>
      <c r="T73" s="4"/>
      <c r="U73" s="5"/>
      <c r="V73" s="5"/>
    </row>
    <row r="74" spans="1:22" x14ac:dyDescent="0.25">
      <c r="A74" s="158" t="s">
        <v>438</v>
      </c>
      <c r="B74" s="158" t="s">
        <v>75</v>
      </c>
      <c r="C74" s="158" t="s">
        <v>20</v>
      </c>
      <c r="D74" s="158" t="s">
        <v>21</v>
      </c>
      <c r="E74" s="157">
        <v>5596</v>
      </c>
      <c r="F74" s="158" t="s">
        <v>525</v>
      </c>
      <c r="G74" s="159">
        <v>22149135.879999999</v>
      </c>
      <c r="H74" s="159">
        <v>0</v>
      </c>
      <c r="I74" s="159">
        <v>9307994.6600000001</v>
      </c>
      <c r="J74" s="159">
        <v>42</v>
      </c>
      <c r="K74" t="str">
        <f>VLOOKUP($C74,Lists!$C$3:$M$118,7,FALSE)</f>
        <v>COKE_RGB</v>
      </c>
      <c r="S74" s="4"/>
      <c r="T74" s="4"/>
      <c r="U74" s="5"/>
      <c r="V74" s="5"/>
    </row>
    <row r="75" spans="1:22" x14ac:dyDescent="0.25">
      <c r="A75" s="158" t="s">
        <v>438</v>
      </c>
      <c r="B75" s="158" t="s">
        <v>75</v>
      </c>
      <c r="C75" s="158" t="s">
        <v>28</v>
      </c>
      <c r="D75" s="158" t="s">
        <v>530</v>
      </c>
      <c r="E75" s="157">
        <v>999</v>
      </c>
      <c r="F75" s="158" t="s">
        <v>525</v>
      </c>
      <c r="G75" s="159">
        <v>2820077.1</v>
      </c>
      <c r="H75" s="159">
        <v>0</v>
      </c>
      <c r="I75" s="159">
        <v>1422426.15</v>
      </c>
      <c r="J75" s="159">
        <v>50.4</v>
      </c>
      <c r="K75" t="str">
        <f>VLOOKUP($C75,Lists!$C$3:$M$118,7,FALSE)</f>
        <v>COKE_PET</v>
      </c>
      <c r="S75" s="4"/>
      <c r="T75" s="4"/>
      <c r="U75" s="5"/>
      <c r="V75" s="5"/>
    </row>
    <row r="76" spans="1:22" x14ac:dyDescent="0.25">
      <c r="A76" s="158" t="s">
        <v>438</v>
      </c>
      <c r="B76" s="158" t="s">
        <v>75</v>
      </c>
      <c r="C76" s="158" t="s">
        <v>58</v>
      </c>
      <c r="D76" s="158" t="s">
        <v>537</v>
      </c>
      <c r="E76" s="157">
        <v>849</v>
      </c>
      <c r="F76" s="158" t="s">
        <v>525</v>
      </c>
      <c r="G76" s="159">
        <v>2054265.87</v>
      </c>
      <c r="H76" s="159">
        <v>0</v>
      </c>
      <c r="I76" s="159">
        <v>1138143.93</v>
      </c>
      <c r="J76" s="159">
        <v>55.4</v>
      </c>
      <c r="K76" t="str">
        <f>VLOOKUP($C76,Lists!$C$3:$M$118,7,FALSE)</f>
        <v>SOBO_PET</v>
      </c>
      <c r="S76" s="4"/>
      <c r="T76" s="4"/>
      <c r="U76" s="5"/>
      <c r="V76" s="5"/>
    </row>
    <row r="77" spans="1:22" x14ac:dyDescent="0.25">
      <c r="A77" s="158" t="s">
        <v>438</v>
      </c>
      <c r="B77" s="158" t="s">
        <v>75</v>
      </c>
      <c r="C77" s="158" t="s">
        <v>78</v>
      </c>
      <c r="D77" s="158" t="s">
        <v>526</v>
      </c>
      <c r="E77" s="157">
        <v>711</v>
      </c>
      <c r="F77" s="158" t="s">
        <v>525</v>
      </c>
      <c r="G77" s="159">
        <v>1720356.93</v>
      </c>
      <c r="H77" s="159">
        <v>0</v>
      </c>
      <c r="I77" s="159">
        <v>939294.99</v>
      </c>
      <c r="J77" s="159">
        <v>54.6</v>
      </c>
      <c r="K77" t="str">
        <f>VLOOKUP($C77,Lists!$C$3:$M$118,7,FALSE)</f>
        <v>SOBO_PET</v>
      </c>
      <c r="S77" s="4"/>
      <c r="T77" s="4"/>
      <c r="U77" s="5"/>
      <c r="V77" s="5"/>
    </row>
    <row r="78" spans="1:22" x14ac:dyDescent="0.25">
      <c r="A78" s="158" t="s">
        <v>438</v>
      </c>
      <c r="B78" s="158" t="s">
        <v>75</v>
      </c>
      <c r="C78" s="158" t="s">
        <v>43</v>
      </c>
      <c r="D78" s="158" t="s">
        <v>44</v>
      </c>
      <c r="E78" s="157">
        <v>573</v>
      </c>
      <c r="F78" s="158" t="s">
        <v>525</v>
      </c>
      <c r="G78" s="159">
        <v>4426608.3600000003</v>
      </c>
      <c r="H78" s="159">
        <v>0</v>
      </c>
      <c r="I78" s="159">
        <v>2185960.62</v>
      </c>
      <c r="J78" s="159">
        <v>49.4</v>
      </c>
      <c r="K78" t="str">
        <f>VLOOKUP($C78,Lists!$C$3:$M$118,7,FALSE)</f>
        <v>Beers</v>
      </c>
      <c r="S78" s="4"/>
      <c r="T78" s="4"/>
      <c r="U78" s="5"/>
      <c r="V78" s="5"/>
    </row>
    <row r="79" spans="1:22" x14ac:dyDescent="0.25">
      <c r="A79" s="158" t="s">
        <v>438</v>
      </c>
      <c r="B79" s="158" t="s">
        <v>75</v>
      </c>
      <c r="C79" s="158" t="s">
        <v>59</v>
      </c>
      <c r="D79" s="158" t="s">
        <v>60</v>
      </c>
      <c r="E79" s="157">
        <v>1007</v>
      </c>
      <c r="F79" s="158" t="s">
        <v>525</v>
      </c>
      <c r="G79" s="159">
        <v>3985736.21</v>
      </c>
      <c r="H79" s="159">
        <v>0</v>
      </c>
      <c r="I79" s="159">
        <v>1622861.06</v>
      </c>
      <c r="J79" s="159">
        <v>40.700000000000003</v>
      </c>
      <c r="K79" t="str">
        <f>VLOOKUP($C79,Lists!$C$3:$M$118,7,FALSE)</f>
        <v>COKE_RGB</v>
      </c>
      <c r="S79" s="4"/>
      <c r="T79" s="4"/>
      <c r="U79" s="5"/>
      <c r="V79" s="5"/>
    </row>
    <row r="80" spans="1:22" x14ac:dyDescent="0.25">
      <c r="A80" s="158" t="s">
        <v>438</v>
      </c>
      <c r="B80" s="158" t="s">
        <v>75</v>
      </c>
      <c r="C80" s="158" t="s">
        <v>22</v>
      </c>
      <c r="D80" s="158" t="s">
        <v>23</v>
      </c>
      <c r="E80" s="157">
        <v>2153</v>
      </c>
      <c r="F80" s="158" t="s">
        <v>525</v>
      </c>
      <c r="G80" s="159">
        <v>8521638.5899999999</v>
      </c>
      <c r="H80" s="159">
        <v>0</v>
      </c>
      <c r="I80" s="159">
        <v>3433087.67</v>
      </c>
      <c r="J80" s="159">
        <v>40.299999999999997</v>
      </c>
      <c r="K80" t="str">
        <f>VLOOKUP($C80,Lists!$C$3:$M$118,7,FALSE)</f>
        <v>COKE_RGB</v>
      </c>
      <c r="S80" s="4"/>
      <c r="T80" s="4"/>
      <c r="U80" s="5"/>
      <c r="V80" s="5"/>
    </row>
    <row r="81" spans="1:22" x14ac:dyDescent="0.25">
      <c r="A81" s="158" t="s">
        <v>438</v>
      </c>
      <c r="B81" s="158" t="s">
        <v>75</v>
      </c>
      <c r="C81" s="158" t="s">
        <v>67</v>
      </c>
      <c r="D81" s="158" t="s">
        <v>533</v>
      </c>
      <c r="E81" s="157">
        <v>574</v>
      </c>
      <c r="F81" s="158" t="s">
        <v>525</v>
      </c>
      <c r="G81" s="159">
        <v>1620344.6</v>
      </c>
      <c r="H81" s="159">
        <v>0</v>
      </c>
      <c r="I81" s="159">
        <v>797067.88</v>
      </c>
      <c r="J81" s="159">
        <v>49.2</v>
      </c>
      <c r="K81" t="str">
        <f>VLOOKUP($C81,Lists!$C$3:$M$118,7,FALSE)</f>
        <v>COKE_PET</v>
      </c>
      <c r="S81" s="4"/>
      <c r="T81" s="4"/>
      <c r="U81" s="5"/>
      <c r="V81" s="5"/>
    </row>
    <row r="82" spans="1:22" x14ac:dyDescent="0.25">
      <c r="A82" s="158" t="s">
        <v>438</v>
      </c>
      <c r="B82" s="158" t="s">
        <v>75</v>
      </c>
      <c r="C82" s="158" t="s">
        <v>261</v>
      </c>
      <c r="D82" s="158" t="s">
        <v>538</v>
      </c>
      <c r="E82" s="157">
        <v>574</v>
      </c>
      <c r="F82" s="158" t="s">
        <v>525</v>
      </c>
      <c r="G82" s="159">
        <v>2271909.2200000002</v>
      </c>
      <c r="H82" s="159">
        <v>0</v>
      </c>
      <c r="I82" s="159">
        <v>915277.44</v>
      </c>
      <c r="J82" s="159">
        <v>40.299999999999997</v>
      </c>
      <c r="K82" t="str">
        <f>VLOOKUP($C82,Lists!$C$3:$M$118,7,FALSE)</f>
        <v>COKE_RGB</v>
      </c>
      <c r="S82" s="4"/>
      <c r="T82" s="4"/>
      <c r="U82" s="5"/>
      <c r="V82" s="5"/>
    </row>
    <row r="83" spans="1:22" x14ac:dyDescent="0.25">
      <c r="A83" s="158" t="s">
        <v>438</v>
      </c>
      <c r="B83" s="158" t="s">
        <v>75</v>
      </c>
      <c r="C83" s="158" t="s">
        <v>24</v>
      </c>
      <c r="D83" s="158" t="s">
        <v>25</v>
      </c>
      <c r="E83" s="157">
        <v>2440</v>
      </c>
      <c r="F83" s="158" t="s">
        <v>525</v>
      </c>
      <c r="G83" s="159">
        <v>15708158.800000001</v>
      </c>
      <c r="H83" s="159">
        <v>0</v>
      </c>
      <c r="I83" s="159">
        <v>7563121.5999999996</v>
      </c>
      <c r="J83" s="159">
        <v>48.1</v>
      </c>
      <c r="K83" t="str">
        <f>VLOOKUP($C83,Lists!$C$3:$M$118,7,FALSE)</f>
        <v>Beers</v>
      </c>
      <c r="S83" s="4"/>
      <c r="T83" s="4"/>
      <c r="U83" s="5"/>
      <c r="V83" s="5"/>
    </row>
    <row r="84" spans="1:22" x14ac:dyDescent="0.25">
      <c r="A84" s="158" t="s">
        <v>438</v>
      </c>
      <c r="B84" s="158" t="s">
        <v>75</v>
      </c>
      <c r="C84" s="158" t="s">
        <v>29</v>
      </c>
      <c r="D84" s="158" t="s">
        <v>30</v>
      </c>
      <c r="E84" s="157">
        <v>420</v>
      </c>
      <c r="F84" s="158" t="s">
        <v>525</v>
      </c>
      <c r="G84" s="159">
        <v>15281443.800000001</v>
      </c>
      <c r="H84" s="159">
        <v>0</v>
      </c>
      <c r="I84" s="159">
        <v>4361443.8</v>
      </c>
      <c r="J84" s="159">
        <v>28.5</v>
      </c>
      <c r="K84" t="str">
        <f>VLOOKUP($C84,Lists!$C$3:$M$118,7,FALSE)</f>
        <v>Spirits</v>
      </c>
      <c r="S84" s="4"/>
      <c r="T84" s="4"/>
      <c r="U84" s="5"/>
      <c r="V84" s="5"/>
    </row>
    <row r="85" spans="1:22" x14ac:dyDescent="0.25">
      <c r="A85" s="158" t="s">
        <v>438</v>
      </c>
      <c r="B85" s="158" t="s">
        <v>75</v>
      </c>
      <c r="C85" s="158" t="s">
        <v>33</v>
      </c>
      <c r="D85" s="158" t="s">
        <v>34</v>
      </c>
      <c r="E85" s="157">
        <v>209</v>
      </c>
      <c r="F85" s="158" t="s">
        <v>525</v>
      </c>
      <c r="G85" s="159">
        <v>11639293.6</v>
      </c>
      <c r="H85" s="159">
        <v>0</v>
      </c>
      <c r="I85" s="159">
        <v>2234293.6</v>
      </c>
      <c r="J85" s="159">
        <v>19.2</v>
      </c>
      <c r="K85" t="str">
        <f>VLOOKUP($C85,Lists!$C$3:$M$118,7,FALSE)</f>
        <v>Spirits</v>
      </c>
      <c r="S85" s="4"/>
      <c r="T85" s="4"/>
      <c r="U85" s="5"/>
      <c r="V85" s="5"/>
    </row>
    <row r="86" spans="1:22" x14ac:dyDescent="0.25">
      <c r="A86" s="158" t="s">
        <v>438</v>
      </c>
      <c r="B86" s="158" t="s">
        <v>75</v>
      </c>
      <c r="C86" s="158" t="s">
        <v>37</v>
      </c>
      <c r="D86" s="158" t="s">
        <v>38</v>
      </c>
      <c r="E86" s="157">
        <v>1650</v>
      </c>
      <c r="F86" s="158" t="s">
        <v>525</v>
      </c>
      <c r="G86" s="159">
        <v>5442294</v>
      </c>
      <c r="H86" s="159">
        <v>0</v>
      </c>
      <c r="I86" s="159">
        <v>2549530.5</v>
      </c>
      <c r="J86" s="159">
        <v>46.8</v>
      </c>
      <c r="K86" t="str">
        <f>VLOOKUP($C86,Lists!$C$3:$M$118,7,FALSE)</f>
        <v>SOBO_RGB</v>
      </c>
      <c r="S86" s="4"/>
      <c r="T86" s="4"/>
      <c r="U86" s="5"/>
      <c r="V86" s="5"/>
    </row>
    <row r="87" spans="1:22" x14ac:dyDescent="0.25">
      <c r="A87" s="158" t="s">
        <v>438</v>
      </c>
      <c r="B87" s="158" t="s">
        <v>75</v>
      </c>
      <c r="C87" s="158" t="s">
        <v>39</v>
      </c>
      <c r="D87" s="158" t="s">
        <v>40</v>
      </c>
      <c r="E87" s="157">
        <v>1507</v>
      </c>
      <c r="F87" s="158" t="s">
        <v>525</v>
      </c>
      <c r="G87" s="159">
        <v>4970628.5199999996</v>
      </c>
      <c r="H87" s="159">
        <v>0</v>
      </c>
      <c r="I87" s="159">
        <v>2307985.56</v>
      </c>
      <c r="J87" s="159">
        <v>46.4</v>
      </c>
      <c r="K87" t="str">
        <f>VLOOKUP($C87,Lists!$C$3:$M$118,7,FALSE)</f>
        <v>SOBO_RGB</v>
      </c>
      <c r="S87" s="4"/>
      <c r="T87" s="4"/>
      <c r="U87" s="5"/>
      <c r="V87" s="5"/>
    </row>
    <row r="88" spans="1:22" x14ac:dyDescent="0.25">
      <c r="A88" s="158" t="s">
        <v>438</v>
      </c>
      <c r="B88" s="158" t="s">
        <v>75</v>
      </c>
      <c r="C88" s="158" t="s">
        <v>88</v>
      </c>
      <c r="D88" s="158" t="s">
        <v>527</v>
      </c>
      <c r="E88" s="157">
        <v>425</v>
      </c>
      <c r="F88" s="158" t="s">
        <v>525</v>
      </c>
      <c r="G88" s="159">
        <v>1199732.5</v>
      </c>
      <c r="H88" s="159">
        <v>0</v>
      </c>
      <c r="I88" s="159">
        <v>703885</v>
      </c>
      <c r="J88" s="159">
        <v>58.7</v>
      </c>
      <c r="K88" t="str">
        <f>VLOOKUP($C88,Lists!$C$3:$M$118,7,FALSE)</f>
        <v>SOBO_PET</v>
      </c>
      <c r="S88" s="4"/>
      <c r="T88" s="4"/>
      <c r="U88" s="5"/>
      <c r="V88" s="5"/>
    </row>
    <row r="89" spans="1:22" x14ac:dyDescent="0.25">
      <c r="A89" s="158" t="s">
        <v>438</v>
      </c>
      <c r="B89" s="158" t="s">
        <v>75</v>
      </c>
      <c r="C89" s="158" t="s">
        <v>45</v>
      </c>
      <c r="D89" s="158" t="s">
        <v>46</v>
      </c>
      <c r="E89" s="157">
        <v>501</v>
      </c>
      <c r="F89" s="158" t="s">
        <v>525</v>
      </c>
      <c r="G89" s="159">
        <v>1982973.03</v>
      </c>
      <c r="H89" s="159">
        <v>0</v>
      </c>
      <c r="I89" s="159">
        <v>976684.47</v>
      </c>
      <c r="J89" s="159">
        <v>49.3</v>
      </c>
      <c r="K89" t="str">
        <f>VLOOKUP($C89,Lists!$C$3:$M$118,7,FALSE)</f>
        <v>SOBO_RGB</v>
      </c>
      <c r="S89" s="4"/>
      <c r="T89" s="4"/>
      <c r="U89" s="5"/>
      <c r="V89" s="5"/>
    </row>
    <row r="90" spans="1:22" x14ac:dyDescent="0.25">
      <c r="A90" s="158" t="s">
        <v>438</v>
      </c>
      <c r="B90" s="158" t="s">
        <v>75</v>
      </c>
      <c r="C90" s="158" t="s">
        <v>47</v>
      </c>
      <c r="D90" s="158" t="s">
        <v>48</v>
      </c>
      <c r="E90" s="157">
        <v>1146</v>
      </c>
      <c r="F90" s="158" t="s">
        <v>525</v>
      </c>
      <c r="G90" s="159">
        <v>4535902.38</v>
      </c>
      <c r="H90" s="159">
        <v>0</v>
      </c>
      <c r="I90" s="159">
        <v>1979520.18</v>
      </c>
      <c r="J90" s="159">
        <v>43.6</v>
      </c>
      <c r="K90" t="str">
        <f>VLOOKUP($C90,Lists!$C$3:$M$118,7,FALSE)</f>
        <v>COKE_RGB</v>
      </c>
      <c r="S90" s="4"/>
      <c r="T90" s="4"/>
      <c r="U90" s="5"/>
      <c r="V90" s="5"/>
    </row>
    <row r="91" spans="1:22" x14ac:dyDescent="0.25">
      <c r="A91" s="158" t="s">
        <v>438</v>
      </c>
      <c r="B91" s="158" t="s">
        <v>75</v>
      </c>
      <c r="C91" s="158" t="s">
        <v>68</v>
      </c>
      <c r="D91" s="158" t="s">
        <v>534</v>
      </c>
      <c r="E91" s="157">
        <v>571</v>
      </c>
      <c r="F91" s="158" t="s">
        <v>525</v>
      </c>
      <c r="G91" s="159">
        <v>1611875.9</v>
      </c>
      <c r="H91" s="159">
        <v>0</v>
      </c>
      <c r="I91" s="159">
        <v>785444.76</v>
      </c>
      <c r="J91" s="159">
        <v>48.7</v>
      </c>
      <c r="K91" t="str">
        <f>VLOOKUP($C91,Lists!$C$3:$M$118,7,FALSE)</f>
        <v>COKE_PET</v>
      </c>
      <c r="S91" s="4"/>
      <c r="T91" s="4"/>
      <c r="U91" s="5"/>
      <c r="V91" s="5"/>
    </row>
    <row r="92" spans="1:22" x14ac:dyDescent="0.25">
      <c r="A92" s="158" t="s">
        <v>438</v>
      </c>
      <c r="B92" s="158" t="s">
        <v>75</v>
      </c>
      <c r="C92" s="158" t="s">
        <v>49</v>
      </c>
      <c r="D92" s="158" t="s">
        <v>50</v>
      </c>
      <c r="E92" s="157">
        <v>358</v>
      </c>
      <c r="F92" s="158" t="s">
        <v>525</v>
      </c>
      <c r="G92" s="159">
        <v>3589802.04</v>
      </c>
      <c r="H92" s="159">
        <v>0</v>
      </c>
      <c r="I92" s="159">
        <v>1143351.76</v>
      </c>
      <c r="J92" s="159">
        <v>31.8</v>
      </c>
      <c r="K92" t="str">
        <f>VLOOKUP($C92,Lists!$C$3:$M$118,7,FALSE)</f>
        <v>Squash</v>
      </c>
      <c r="S92" s="4"/>
      <c r="T92" s="4"/>
      <c r="U92" s="5"/>
      <c r="V92" s="5"/>
    </row>
    <row r="93" spans="1:22" x14ac:dyDescent="0.25">
      <c r="A93" s="158" t="s">
        <v>438</v>
      </c>
      <c r="B93" s="158" t="s">
        <v>75</v>
      </c>
      <c r="C93" s="158" t="s">
        <v>51</v>
      </c>
      <c r="D93" s="158" t="s">
        <v>52</v>
      </c>
      <c r="E93" s="157">
        <v>854</v>
      </c>
      <c r="F93" s="158" t="s">
        <v>525</v>
      </c>
      <c r="G93" s="159">
        <v>8563382.5199999996</v>
      </c>
      <c r="H93" s="159">
        <v>0</v>
      </c>
      <c r="I93" s="159">
        <v>2704643.62</v>
      </c>
      <c r="J93" s="159">
        <v>31.6</v>
      </c>
      <c r="K93" t="str">
        <f>VLOOKUP($C93,Lists!$C$3:$M$118,7,FALSE)</f>
        <v>Squash</v>
      </c>
      <c r="S93" s="4"/>
      <c r="T93" s="4"/>
      <c r="U93" s="5"/>
      <c r="V93" s="5"/>
    </row>
    <row r="94" spans="1:22" x14ac:dyDescent="0.25">
      <c r="A94" s="158" t="s">
        <v>539</v>
      </c>
      <c r="B94" s="158" t="s">
        <v>540</v>
      </c>
      <c r="C94" s="158" t="s">
        <v>20</v>
      </c>
      <c r="D94" s="158" t="s">
        <v>21</v>
      </c>
      <c r="E94" s="157">
        <v>72</v>
      </c>
      <c r="F94" s="158" t="s">
        <v>525</v>
      </c>
      <c r="G94" s="159">
        <v>290355.12</v>
      </c>
      <c r="H94" s="159">
        <v>0</v>
      </c>
      <c r="I94" s="159">
        <v>125136.72</v>
      </c>
      <c r="J94" s="159">
        <v>43.1</v>
      </c>
      <c r="K94" t="str">
        <f>VLOOKUP($C94,Lists!$C$3:$M$118,7,FALSE)</f>
        <v>COKE_RGB</v>
      </c>
      <c r="S94" s="4"/>
      <c r="T94" s="4"/>
      <c r="U94" s="5"/>
      <c r="V94" s="5"/>
    </row>
    <row r="95" spans="1:22" x14ac:dyDescent="0.25">
      <c r="A95" s="158" t="s">
        <v>539</v>
      </c>
      <c r="B95" s="158" t="s">
        <v>540</v>
      </c>
      <c r="C95" s="158" t="s">
        <v>58</v>
      </c>
      <c r="D95" s="158" t="s">
        <v>537</v>
      </c>
      <c r="E95" s="157">
        <v>144</v>
      </c>
      <c r="F95" s="158" t="s">
        <v>525</v>
      </c>
      <c r="G95" s="159">
        <v>355127.03999999998</v>
      </c>
      <c r="H95" s="159">
        <v>0</v>
      </c>
      <c r="I95" s="159">
        <v>199742.4</v>
      </c>
      <c r="J95" s="159">
        <v>56.2</v>
      </c>
      <c r="K95" t="str">
        <f>VLOOKUP($C95,Lists!$C$3:$M$118,7,FALSE)</f>
        <v>SOBO_PET</v>
      </c>
      <c r="S95" s="4"/>
      <c r="T95" s="4"/>
      <c r="U95" s="5"/>
      <c r="V95" s="5"/>
    </row>
    <row r="96" spans="1:22" x14ac:dyDescent="0.25">
      <c r="A96" s="158" t="s">
        <v>539</v>
      </c>
      <c r="B96" s="158" t="s">
        <v>540</v>
      </c>
      <c r="C96" s="158" t="s">
        <v>68</v>
      </c>
      <c r="D96" s="158" t="s">
        <v>534</v>
      </c>
      <c r="E96" s="157">
        <v>144</v>
      </c>
      <c r="F96" s="158" t="s">
        <v>525</v>
      </c>
      <c r="G96" s="159">
        <v>414315.36</v>
      </c>
      <c r="H96" s="159">
        <v>0</v>
      </c>
      <c r="I96" s="159">
        <v>205898.4</v>
      </c>
      <c r="J96" s="159">
        <v>49.7</v>
      </c>
      <c r="K96" t="str">
        <f>VLOOKUP($C96,Lists!$C$3:$M$118,7,FALSE)</f>
        <v>COKE_PET</v>
      </c>
      <c r="S96" s="4"/>
      <c r="T96" s="4"/>
      <c r="U96" s="5"/>
      <c r="V96" s="5"/>
    </row>
    <row r="97" spans="1:22" x14ac:dyDescent="0.25">
      <c r="A97" s="158" t="s">
        <v>539</v>
      </c>
      <c r="B97" s="158" t="s">
        <v>540</v>
      </c>
      <c r="C97" s="158" t="s">
        <v>51</v>
      </c>
      <c r="D97" s="158" t="s">
        <v>52</v>
      </c>
      <c r="E97" s="157">
        <v>576</v>
      </c>
      <c r="F97" s="158" t="s">
        <v>525</v>
      </c>
      <c r="G97" s="159">
        <v>5775770.8799999999</v>
      </c>
      <c r="H97" s="159">
        <v>0</v>
      </c>
      <c r="I97" s="159">
        <v>1824209.28</v>
      </c>
      <c r="J97" s="159">
        <v>31.6</v>
      </c>
      <c r="K97" t="str">
        <f>VLOOKUP($C97,Lists!$C$3:$M$118,7,FALSE)</f>
        <v>Squash</v>
      </c>
      <c r="S97" s="4"/>
      <c r="T97" s="4"/>
      <c r="U97" s="5"/>
      <c r="V97" s="5"/>
    </row>
    <row r="98" spans="1:22" x14ac:dyDescent="0.25">
      <c r="A98" s="158" t="s">
        <v>439</v>
      </c>
      <c r="B98" s="158" t="s">
        <v>76</v>
      </c>
      <c r="C98" s="158" t="s">
        <v>41</v>
      </c>
      <c r="D98" s="158" t="s">
        <v>42</v>
      </c>
      <c r="E98" s="157">
        <v>143</v>
      </c>
      <c r="F98" s="158" t="s">
        <v>525</v>
      </c>
      <c r="G98" s="159">
        <v>1104720.76</v>
      </c>
      <c r="H98" s="159">
        <v>0</v>
      </c>
      <c r="I98" s="159">
        <v>463365.76</v>
      </c>
      <c r="J98" s="159">
        <v>41.9</v>
      </c>
      <c r="K98" t="str">
        <f>VLOOKUP($C98,Lists!$C$3:$M$118,7,FALSE)</f>
        <v>Alcomix</v>
      </c>
      <c r="S98" s="4"/>
      <c r="T98" s="4"/>
      <c r="U98" s="5"/>
      <c r="V98" s="5"/>
    </row>
    <row r="99" spans="1:22" x14ac:dyDescent="0.25">
      <c r="A99" s="158" t="s">
        <v>439</v>
      </c>
      <c r="B99" s="158" t="s">
        <v>76</v>
      </c>
      <c r="C99" s="158" t="s">
        <v>10</v>
      </c>
      <c r="D99" s="158" t="s">
        <v>11</v>
      </c>
      <c r="E99" s="157">
        <v>715</v>
      </c>
      <c r="F99" s="158" t="s">
        <v>525</v>
      </c>
      <c r="G99" s="159">
        <v>5523603.7999999998</v>
      </c>
      <c r="H99" s="159">
        <v>0</v>
      </c>
      <c r="I99" s="159">
        <v>2316828.7999999998</v>
      </c>
      <c r="J99" s="159">
        <v>41.9</v>
      </c>
      <c r="K99" t="str">
        <f>VLOOKUP($C99,Lists!$C$3:$M$118,7,FALSE)</f>
        <v>Alcomix</v>
      </c>
      <c r="S99" s="4"/>
      <c r="T99" s="4"/>
      <c r="U99" s="5"/>
      <c r="V99" s="5"/>
    </row>
    <row r="100" spans="1:22" x14ac:dyDescent="0.25">
      <c r="A100" s="158" t="s">
        <v>439</v>
      </c>
      <c r="B100" s="158" t="s">
        <v>76</v>
      </c>
      <c r="C100" s="158" t="s">
        <v>12</v>
      </c>
      <c r="D100" s="158" t="s">
        <v>13</v>
      </c>
      <c r="E100" s="157">
        <v>6462</v>
      </c>
      <c r="F100" s="158" t="s">
        <v>525</v>
      </c>
      <c r="G100" s="159">
        <v>41600869.740000002</v>
      </c>
      <c r="H100" s="159">
        <v>0</v>
      </c>
      <c r="I100" s="159">
        <v>18180966.23</v>
      </c>
      <c r="J100" s="159">
        <v>43.7</v>
      </c>
      <c r="K100" t="str">
        <f>VLOOKUP($C100,Lists!$C$3:$M$118,7,FALSE)</f>
        <v>Beers</v>
      </c>
      <c r="S100" s="4"/>
      <c r="T100" s="4"/>
      <c r="U100" s="5"/>
      <c r="V100" s="5"/>
    </row>
    <row r="101" spans="1:22" x14ac:dyDescent="0.25">
      <c r="A101" s="158" t="s">
        <v>439</v>
      </c>
      <c r="B101" s="158" t="s">
        <v>76</v>
      </c>
      <c r="C101" s="158" t="s">
        <v>14</v>
      </c>
      <c r="D101" s="158" t="s">
        <v>15</v>
      </c>
      <c r="E101" s="157">
        <v>4019</v>
      </c>
      <c r="F101" s="158" t="s">
        <v>525</v>
      </c>
      <c r="G101" s="159">
        <v>31048061.079999998</v>
      </c>
      <c r="H101" s="159">
        <v>0</v>
      </c>
      <c r="I101" s="159">
        <v>15332243.859999999</v>
      </c>
      <c r="J101" s="159">
        <v>49.4</v>
      </c>
      <c r="K101" t="str">
        <f>VLOOKUP($C101,Lists!$C$3:$M$118,7,FALSE)</f>
        <v>Beers</v>
      </c>
      <c r="S101" s="4"/>
      <c r="T101" s="4"/>
      <c r="U101" s="5"/>
      <c r="V101" s="5"/>
    </row>
    <row r="102" spans="1:22" x14ac:dyDescent="0.25">
      <c r="A102" s="158" t="s">
        <v>439</v>
      </c>
      <c r="B102" s="158" t="s">
        <v>76</v>
      </c>
      <c r="C102" s="158" t="s">
        <v>54</v>
      </c>
      <c r="D102" s="158" t="s">
        <v>55</v>
      </c>
      <c r="E102" s="157">
        <v>1195</v>
      </c>
      <c r="F102" s="158" t="s">
        <v>525</v>
      </c>
      <c r="G102" s="159">
        <v>9231757.4000000004</v>
      </c>
      <c r="H102" s="159">
        <v>0</v>
      </c>
      <c r="I102" s="159">
        <v>4846406.1500000004</v>
      </c>
      <c r="J102" s="159">
        <v>52.5</v>
      </c>
      <c r="K102" t="str">
        <f>VLOOKUP($C102,Lists!$C$3:$M$118,7,FALSE)</f>
        <v>Beers</v>
      </c>
      <c r="S102" s="4"/>
      <c r="T102" s="4"/>
      <c r="U102" s="5"/>
      <c r="V102" s="5"/>
    </row>
    <row r="103" spans="1:22" x14ac:dyDescent="0.25">
      <c r="A103" s="158" t="s">
        <v>439</v>
      </c>
      <c r="B103" s="158" t="s">
        <v>76</v>
      </c>
      <c r="C103" s="158" t="s">
        <v>16</v>
      </c>
      <c r="D103" s="158" t="s">
        <v>17</v>
      </c>
      <c r="E103" s="157">
        <v>5381</v>
      </c>
      <c r="F103" s="158" t="s">
        <v>525</v>
      </c>
      <c r="G103" s="159">
        <v>41569946.920000002</v>
      </c>
      <c r="H103" s="159">
        <v>0</v>
      </c>
      <c r="I103" s="159">
        <v>20528192.140000001</v>
      </c>
      <c r="J103" s="159">
        <v>49.4</v>
      </c>
      <c r="K103" t="str">
        <f>VLOOKUP($C103,Lists!$C$3:$M$118,7,FALSE)</f>
        <v>Beers</v>
      </c>
      <c r="S103" s="4"/>
      <c r="T103" s="4"/>
      <c r="U103" s="5"/>
      <c r="V103" s="5"/>
    </row>
    <row r="104" spans="1:22" x14ac:dyDescent="0.25">
      <c r="A104" s="158" t="s">
        <v>439</v>
      </c>
      <c r="B104" s="158" t="s">
        <v>76</v>
      </c>
      <c r="C104" s="158" t="s">
        <v>56</v>
      </c>
      <c r="D104" s="158" t="s">
        <v>57</v>
      </c>
      <c r="E104" s="157">
        <v>997</v>
      </c>
      <c r="F104" s="158" t="s">
        <v>525</v>
      </c>
      <c r="G104" s="159">
        <v>7702144.04</v>
      </c>
      <c r="H104" s="159">
        <v>0</v>
      </c>
      <c r="I104" s="159">
        <v>4043403.29</v>
      </c>
      <c r="J104" s="159">
        <v>52.5</v>
      </c>
      <c r="K104" t="str">
        <f>VLOOKUP($C104,Lists!$C$3:$M$118,7,FALSE)</f>
        <v>Beers</v>
      </c>
      <c r="S104" s="4"/>
      <c r="T104" s="4"/>
      <c r="U104" s="5"/>
      <c r="V104" s="5"/>
    </row>
    <row r="105" spans="1:22" x14ac:dyDescent="0.25">
      <c r="A105" s="158" t="s">
        <v>439</v>
      </c>
      <c r="B105" s="158" t="s">
        <v>76</v>
      </c>
      <c r="C105" s="158" t="s">
        <v>18</v>
      </c>
      <c r="D105" s="158" t="s">
        <v>19</v>
      </c>
      <c r="E105" s="157">
        <v>1112</v>
      </c>
      <c r="F105" s="158" t="s">
        <v>525</v>
      </c>
      <c r="G105" s="159">
        <v>11454078.16</v>
      </c>
      <c r="H105" s="159">
        <v>0</v>
      </c>
      <c r="I105" s="159">
        <v>5939114.1600000001</v>
      </c>
      <c r="J105" s="159">
        <v>51.9</v>
      </c>
      <c r="K105" t="str">
        <f>VLOOKUP($C105,Lists!$C$3:$M$118,7,FALSE)</f>
        <v>Beers</v>
      </c>
      <c r="S105" s="4"/>
      <c r="T105" s="4"/>
      <c r="U105" s="5"/>
      <c r="V105" s="5"/>
    </row>
    <row r="106" spans="1:22" x14ac:dyDescent="0.25">
      <c r="A106" s="158" t="s">
        <v>439</v>
      </c>
      <c r="B106" s="158" t="s">
        <v>76</v>
      </c>
      <c r="C106" s="158" t="s">
        <v>20</v>
      </c>
      <c r="D106" s="158" t="s">
        <v>21</v>
      </c>
      <c r="E106" s="157">
        <v>5172</v>
      </c>
      <c r="F106" s="158" t="s">
        <v>525</v>
      </c>
      <c r="G106" s="159">
        <v>20470931.16</v>
      </c>
      <c r="H106" s="159">
        <v>0</v>
      </c>
      <c r="I106" s="159">
        <v>8602742.75</v>
      </c>
      <c r="J106" s="159">
        <v>42</v>
      </c>
      <c r="K106" t="str">
        <f>VLOOKUP($C106,Lists!$C$3:$M$118,7,FALSE)</f>
        <v>COKE_RGB</v>
      </c>
      <c r="S106" s="4"/>
      <c r="T106" s="4"/>
      <c r="U106" s="5"/>
      <c r="V106" s="5"/>
    </row>
    <row r="107" spans="1:22" x14ac:dyDescent="0.25">
      <c r="A107" s="158" t="s">
        <v>439</v>
      </c>
      <c r="B107" s="158" t="s">
        <v>76</v>
      </c>
      <c r="C107" s="158" t="s">
        <v>28</v>
      </c>
      <c r="D107" s="158" t="s">
        <v>530</v>
      </c>
      <c r="E107" s="157">
        <v>287</v>
      </c>
      <c r="F107" s="158" t="s">
        <v>525</v>
      </c>
      <c r="G107" s="159">
        <v>810172.3</v>
      </c>
      <c r="H107" s="159">
        <v>0</v>
      </c>
      <c r="I107" s="159">
        <v>408644.95</v>
      </c>
      <c r="J107" s="159">
        <v>50.4</v>
      </c>
      <c r="K107" t="str">
        <f>VLOOKUP($C107,Lists!$C$3:$M$118,7,FALSE)</f>
        <v>COKE_PET</v>
      </c>
      <c r="S107" s="4"/>
      <c r="T107" s="4"/>
      <c r="U107" s="5"/>
      <c r="V107" s="5"/>
    </row>
    <row r="108" spans="1:22" x14ac:dyDescent="0.25">
      <c r="A108" s="158" t="s">
        <v>439</v>
      </c>
      <c r="B108" s="158" t="s">
        <v>76</v>
      </c>
      <c r="C108" s="158" t="s">
        <v>58</v>
      </c>
      <c r="D108" s="158" t="s">
        <v>537</v>
      </c>
      <c r="E108" s="157">
        <v>719</v>
      </c>
      <c r="F108" s="158" t="s">
        <v>525</v>
      </c>
      <c r="G108" s="159">
        <v>1739713.97</v>
      </c>
      <c r="H108" s="159">
        <v>0</v>
      </c>
      <c r="I108" s="159">
        <v>963869.83</v>
      </c>
      <c r="J108" s="159">
        <v>55.4</v>
      </c>
      <c r="K108" t="str">
        <f>VLOOKUP($C108,Lists!$C$3:$M$118,7,FALSE)</f>
        <v>SOBO_PET</v>
      </c>
      <c r="S108" s="4"/>
      <c r="T108" s="4"/>
      <c r="U108" s="5"/>
      <c r="V108" s="5"/>
    </row>
    <row r="109" spans="1:22" x14ac:dyDescent="0.25">
      <c r="A109" s="158" t="s">
        <v>439</v>
      </c>
      <c r="B109" s="158" t="s">
        <v>76</v>
      </c>
      <c r="C109" s="158" t="s">
        <v>78</v>
      </c>
      <c r="D109" s="158" t="s">
        <v>526</v>
      </c>
      <c r="E109" s="157">
        <v>575</v>
      </c>
      <c r="F109" s="158" t="s">
        <v>525</v>
      </c>
      <c r="G109" s="159">
        <v>1391287.25</v>
      </c>
      <c r="H109" s="159">
        <v>0</v>
      </c>
      <c r="I109" s="159">
        <v>759626.75</v>
      </c>
      <c r="J109" s="159">
        <v>54.6</v>
      </c>
      <c r="K109" t="str">
        <f>VLOOKUP($C109,Lists!$C$3:$M$118,7,FALSE)</f>
        <v>SOBO_PET</v>
      </c>
      <c r="S109" s="4"/>
      <c r="T109" s="4"/>
      <c r="U109" s="5"/>
      <c r="V109" s="5"/>
    </row>
    <row r="110" spans="1:22" x14ac:dyDescent="0.25">
      <c r="A110" s="158" t="s">
        <v>439</v>
      </c>
      <c r="B110" s="158" t="s">
        <v>76</v>
      </c>
      <c r="C110" s="158" t="s">
        <v>43</v>
      </c>
      <c r="D110" s="158" t="s">
        <v>44</v>
      </c>
      <c r="E110" s="157">
        <v>429</v>
      </c>
      <c r="F110" s="158" t="s">
        <v>525</v>
      </c>
      <c r="G110" s="159">
        <v>3314162.28</v>
      </c>
      <c r="H110" s="159">
        <v>0</v>
      </c>
      <c r="I110" s="159">
        <v>1636609.26</v>
      </c>
      <c r="J110" s="159">
        <v>49.4</v>
      </c>
      <c r="K110" t="str">
        <f>VLOOKUP($C110,Lists!$C$3:$M$118,7,FALSE)</f>
        <v>Beers</v>
      </c>
      <c r="S110" s="4"/>
      <c r="T110" s="4"/>
      <c r="U110" s="5"/>
      <c r="V110" s="5"/>
    </row>
    <row r="111" spans="1:22" x14ac:dyDescent="0.25">
      <c r="A111" s="158" t="s">
        <v>439</v>
      </c>
      <c r="B111" s="158" t="s">
        <v>76</v>
      </c>
      <c r="C111" s="158" t="s">
        <v>59</v>
      </c>
      <c r="D111" s="158" t="s">
        <v>60</v>
      </c>
      <c r="E111" s="157">
        <v>862</v>
      </c>
      <c r="F111" s="158" t="s">
        <v>525</v>
      </c>
      <c r="G111" s="159">
        <v>3411821.86</v>
      </c>
      <c r="H111" s="159">
        <v>0</v>
      </c>
      <c r="I111" s="159">
        <v>1389181.96</v>
      </c>
      <c r="J111" s="159">
        <v>40.700000000000003</v>
      </c>
      <c r="K111" t="str">
        <f>VLOOKUP($C111,Lists!$C$3:$M$118,7,FALSE)</f>
        <v>COKE_RGB</v>
      </c>
      <c r="S111" s="4"/>
      <c r="T111" s="4"/>
      <c r="U111" s="5"/>
      <c r="V111" s="5"/>
    </row>
    <row r="112" spans="1:22" x14ac:dyDescent="0.25">
      <c r="A112" s="158" t="s">
        <v>439</v>
      </c>
      <c r="B112" s="158" t="s">
        <v>76</v>
      </c>
      <c r="C112" s="158" t="s">
        <v>22</v>
      </c>
      <c r="D112" s="158" t="s">
        <v>23</v>
      </c>
      <c r="E112" s="157">
        <v>2946</v>
      </c>
      <c r="F112" s="158" t="s">
        <v>525</v>
      </c>
      <c r="G112" s="159">
        <v>11660356.380000001</v>
      </c>
      <c r="H112" s="159">
        <v>0</v>
      </c>
      <c r="I112" s="159">
        <v>4697573.76</v>
      </c>
      <c r="J112" s="159">
        <v>40.299999999999997</v>
      </c>
      <c r="K112" t="str">
        <f>VLOOKUP($C112,Lists!$C$3:$M$118,7,FALSE)</f>
        <v>COKE_RGB</v>
      </c>
      <c r="S112" s="4"/>
      <c r="T112" s="4"/>
      <c r="U112" s="5"/>
      <c r="V112" s="5"/>
    </row>
    <row r="113" spans="1:22" x14ac:dyDescent="0.25">
      <c r="A113" s="158" t="s">
        <v>439</v>
      </c>
      <c r="B113" s="158" t="s">
        <v>76</v>
      </c>
      <c r="C113" s="158" t="s">
        <v>67</v>
      </c>
      <c r="D113" s="158" t="s">
        <v>533</v>
      </c>
      <c r="E113" s="157">
        <v>430</v>
      </c>
      <c r="F113" s="158" t="s">
        <v>525</v>
      </c>
      <c r="G113" s="159">
        <v>1213847</v>
      </c>
      <c r="H113" s="159">
        <v>0</v>
      </c>
      <c r="I113" s="159">
        <v>597106.6</v>
      </c>
      <c r="J113" s="159">
        <v>49.2</v>
      </c>
      <c r="K113" t="str">
        <f>VLOOKUP($C113,Lists!$C$3:$M$118,7,FALSE)</f>
        <v>COKE_PET</v>
      </c>
      <c r="S113" s="4"/>
      <c r="T113" s="4"/>
      <c r="U113" s="5"/>
      <c r="V113" s="5"/>
    </row>
    <row r="114" spans="1:22" x14ac:dyDescent="0.25">
      <c r="A114" s="158" t="s">
        <v>439</v>
      </c>
      <c r="B114" s="158" t="s">
        <v>76</v>
      </c>
      <c r="C114" s="158" t="s">
        <v>261</v>
      </c>
      <c r="D114" s="158" t="s">
        <v>538</v>
      </c>
      <c r="E114" s="157">
        <v>646</v>
      </c>
      <c r="F114" s="158" t="s">
        <v>525</v>
      </c>
      <c r="G114" s="159">
        <v>2556887.38</v>
      </c>
      <c r="H114" s="159">
        <v>0</v>
      </c>
      <c r="I114" s="159">
        <v>1030085.76</v>
      </c>
      <c r="J114" s="159">
        <v>40.299999999999997</v>
      </c>
      <c r="K114" t="str">
        <f>VLOOKUP($C114,Lists!$C$3:$M$118,7,FALSE)</f>
        <v>COKE_RGB</v>
      </c>
      <c r="S114" s="4"/>
      <c r="T114" s="4"/>
      <c r="U114" s="5"/>
      <c r="V114" s="5"/>
    </row>
    <row r="115" spans="1:22" x14ac:dyDescent="0.25">
      <c r="A115" s="158" t="s">
        <v>439</v>
      </c>
      <c r="B115" s="158" t="s">
        <v>76</v>
      </c>
      <c r="C115" s="158" t="s">
        <v>24</v>
      </c>
      <c r="D115" s="158" t="s">
        <v>25</v>
      </c>
      <c r="E115" s="157">
        <v>1901</v>
      </c>
      <c r="F115" s="158" t="s">
        <v>525</v>
      </c>
      <c r="G115" s="159">
        <v>12238200.77</v>
      </c>
      <c r="H115" s="159">
        <v>0</v>
      </c>
      <c r="I115" s="159">
        <v>5892415.6299999999</v>
      </c>
      <c r="J115" s="159">
        <v>48.1</v>
      </c>
      <c r="K115" t="str">
        <f>VLOOKUP($C115,Lists!$C$3:$M$118,7,FALSE)</f>
        <v>Beers</v>
      </c>
      <c r="S115" s="4"/>
      <c r="T115" s="4"/>
      <c r="U115" s="5"/>
      <c r="V115" s="5"/>
    </row>
    <row r="116" spans="1:22" x14ac:dyDescent="0.25">
      <c r="A116" s="158" t="s">
        <v>439</v>
      </c>
      <c r="B116" s="158" t="s">
        <v>76</v>
      </c>
      <c r="C116" s="158" t="s">
        <v>29</v>
      </c>
      <c r="D116" s="158" t="s">
        <v>30</v>
      </c>
      <c r="E116" s="157">
        <v>429</v>
      </c>
      <c r="F116" s="158" t="s">
        <v>525</v>
      </c>
      <c r="G116" s="159">
        <v>15608903.310000001</v>
      </c>
      <c r="H116" s="159">
        <v>0</v>
      </c>
      <c r="I116" s="159">
        <v>4454903.3099999996</v>
      </c>
      <c r="J116" s="159">
        <v>28.5</v>
      </c>
      <c r="K116" t="str">
        <f>VLOOKUP($C116,Lists!$C$3:$M$118,7,FALSE)</f>
        <v>Spirits</v>
      </c>
      <c r="S116" s="4"/>
      <c r="T116" s="4"/>
      <c r="U116" s="5"/>
      <c r="V116" s="5"/>
    </row>
    <row r="117" spans="1:22" x14ac:dyDescent="0.25">
      <c r="A117" s="158" t="s">
        <v>439</v>
      </c>
      <c r="B117" s="158" t="s">
        <v>76</v>
      </c>
      <c r="C117" s="158" t="s">
        <v>31</v>
      </c>
      <c r="D117" s="158" t="s">
        <v>32</v>
      </c>
      <c r="E117" s="157">
        <v>48</v>
      </c>
      <c r="F117" s="158" t="s">
        <v>525</v>
      </c>
      <c r="G117" s="159">
        <v>1639525.44</v>
      </c>
      <c r="H117" s="159">
        <v>0</v>
      </c>
      <c r="I117" s="159">
        <v>487525.44</v>
      </c>
      <c r="J117" s="159">
        <v>29.7</v>
      </c>
      <c r="K117" t="str">
        <f>VLOOKUP($C117,Lists!$C$3:$M$118,7,FALSE)</f>
        <v>Spirits</v>
      </c>
      <c r="S117" s="4"/>
      <c r="T117" s="4"/>
      <c r="U117" s="5"/>
      <c r="V117" s="5"/>
    </row>
    <row r="118" spans="1:22" x14ac:dyDescent="0.25">
      <c r="A118" s="158" t="s">
        <v>439</v>
      </c>
      <c r="B118" s="158" t="s">
        <v>76</v>
      </c>
      <c r="C118" s="158" t="s">
        <v>33</v>
      </c>
      <c r="D118" s="158" t="s">
        <v>34</v>
      </c>
      <c r="E118" s="157">
        <v>82</v>
      </c>
      <c r="F118" s="158" t="s">
        <v>525</v>
      </c>
      <c r="G118" s="159">
        <v>4566612.8</v>
      </c>
      <c r="H118" s="159">
        <v>0</v>
      </c>
      <c r="I118" s="159">
        <v>876612.8</v>
      </c>
      <c r="J118" s="159">
        <v>19.2</v>
      </c>
      <c r="K118" t="str">
        <f>VLOOKUP($C118,Lists!$C$3:$M$118,7,FALSE)</f>
        <v>Spirits</v>
      </c>
      <c r="S118" s="4"/>
      <c r="T118" s="4"/>
      <c r="U118" s="5"/>
      <c r="V118" s="5"/>
    </row>
    <row r="119" spans="1:22" x14ac:dyDescent="0.25">
      <c r="A119" s="158" t="s">
        <v>439</v>
      </c>
      <c r="B119" s="158" t="s">
        <v>76</v>
      </c>
      <c r="C119" s="158" t="s">
        <v>37</v>
      </c>
      <c r="D119" s="158" t="s">
        <v>38</v>
      </c>
      <c r="E119" s="157">
        <v>1866</v>
      </c>
      <c r="F119" s="158" t="s">
        <v>525</v>
      </c>
      <c r="G119" s="159">
        <v>6154739.7599999998</v>
      </c>
      <c r="H119" s="159">
        <v>0</v>
      </c>
      <c r="I119" s="159">
        <v>2883287.21</v>
      </c>
      <c r="J119" s="159">
        <v>46.8</v>
      </c>
      <c r="K119" t="str">
        <f>VLOOKUP($C119,Lists!$C$3:$M$118,7,FALSE)</f>
        <v>SOBO_RGB</v>
      </c>
      <c r="S119" s="4"/>
      <c r="T119" s="4"/>
      <c r="U119" s="5"/>
      <c r="V119" s="5"/>
    </row>
    <row r="120" spans="1:22" x14ac:dyDescent="0.25">
      <c r="A120" s="158" t="s">
        <v>439</v>
      </c>
      <c r="B120" s="158" t="s">
        <v>76</v>
      </c>
      <c r="C120" s="158" t="s">
        <v>39</v>
      </c>
      <c r="D120" s="158" t="s">
        <v>40</v>
      </c>
      <c r="E120" s="157">
        <v>1651</v>
      </c>
      <c r="F120" s="158" t="s">
        <v>525</v>
      </c>
      <c r="G120" s="159">
        <v>5445592.3600000003</v>
      </c>
      <c r="H120" s="159">
        <v>0</v>
      </c>
      <c r="I120" s="159">
        <v>2528523</v>
      </c>
      <c r="J120" s="159">
        <v>46.4</v>
      </c>
      <c r="K120" t="str">
        <f>VLOOKUP($C120,Lists!$C$3:$M$118,7,FALSE)</f>
        <v>SOBO_RGB</v>
      </c>
      <c r="S120" s="4"/>
      <c r="T120" s="4"/>
      <c r="U120" s="5"/>
      <c r="V120" s="5"/>
    </row>
    <row r="121" spans="1:22" x14ac:dyDescent="0.25">
      <c r="A121" s="158" t="s">
        <v>439</v>
      </c>
      <c r="B121" s="158" t="s">
        <v>76</v>
      </c>
      <c r="C121" s="158" t="s">
        <v>45</v>
      </c>
      <c r="D121" s="158" t="s">
        <v>46</v>
      </c>
      <c r="E121" s="157">
        <v>1077</v>
      </c>
      <c r="F121" s="158" t="s">
        <v>525</v>
      </c>
      <c r="G121" s="159">
        <v>4262798.3099999996</v>
      </c>
      <c r="H121" s="159">
        <v>0</v>
      </c>
      <c r="I121" s="159">
        <v>2099579.19</v>
      </c>
      <c r="J121" s="159">
        <v>49.3</v>
      </c>
      <c r="K121" t="str">
        <f>VLOOKUP($C121,Lists!$C$3:$M$118,7,FALSE)</f>
        <v>SOBO_RGB</v>
      </c>
      <c r="S121" s="4"/>
      <c r="T121" s="4"/>
      <c r="U121" s="5"/>
      <c r="V121" s="5"/>
    </row>
    <row r="122" spans="1:22" x14ac:dyDescent="0.25">
      <c r="A122" s="158" t="s">
        <v>439</v>
      </c>
      <c r="B122" s="158" t="s">
        <v>76</v>
      </c>
      <c r="C122" s="158" t="s">
        <v>47</v>
      </c>
      <c r="D122" s="158" t="s">
        <v>48</v>
      </c>
      <c r="E122" s="157">
        <v>1363</v>
      </c>
      <c r="F122" s="158" t="s">
        <v>525</v>
      </c>
      <c r="G122" s="159">
        <v>5394794.8899999997</v>
      </c>
      <c r="H122" s="159">
        <v>0</v>
      </c>
      <c r="I122" s="159">
        <v>2354350.79</v>
      </c>
      <c r="J122" s="159">
        <v>43.6</v>
      </c>
      <c r="K122" t="str">
        <f>VLOOKUP($C122,Lists!$C$3:$M$118,7,FALSE)</f>
        <v>COKE_RGB</v>
      </c>
      <c r="S122" s="4"/>
      <c r="T122" s="4"/>
      <c r="U122" s="5"/>
      <c r="V122" s="5"/>
    </row>
    <row r="123" spans="1:22" x14ac:dyDescent="0.25">
      <c r="A123" s="158" t="s">
        <v>439</v>
      </c>
      <c r="B123" s="158" t="s">
        <v>76</v>
      </c>
      <c r="C123" s="158" t="s">
        <v>68</v>
      </c>
      <c r="D123" s="158" t="s">
        <v>534</v>
      </c>
      <c r="E123" s="157">
        <v>431</v>
      </c>
      <c r="F123" s="158" t="s">
        <v>525</v>
      </c>
      <c r="G123" s="159">
        <v>1216669.8999999999</v>
      </c>
      <c r="H123" s="159">
        <v>0</v>
      </c>
      <c r="I123" s="159">
        <v>592866.36</v>
      </c>
      <c r="J123" s="159">
        <v>48.7</v>
      </c>
      <c r="K123" t="str">
        <f>VLOOKUP($C123,Lists!$C$3:$M$118,7,FALSE)</f>
        <v>COKE_PET</v>
      </c>
      <c r="S123" s="4"/>
      <c r="T123" s="4"/>
      <c r="U123" s="5"/>
      <c r="V123" s="5"/>
    </row>
    <row r="124" spans="1:22" x14ac:dyDescent="0.25">
      <c r="A124" s="158" t="s">
        <v>439</v>
      </c>
      <c r="B124" s="158" t="s">
        <v>76</v>
      </c>
      <c r="C124" s="158" t="s">
        <v>49</v>
      </c>
      <c r="D124" s="158" t="s">
        <v>50</v>
      </c>
      <c r="E124" s="157">
        <v>359</v>
      </c>
      <c r="F124" s="158" t="s">
        <v>525</v>
      </c>
      <c r="G124" s="159">
        <v>3599829.42</v>
      </c>
      <c r="H124" s="159">
        <v>0</v>
      </c>
      <c r="I124" s="159">
        <v>1146545.48</v>
      </c>
      <c r="J124" s="159">
        <v>31.8</v>
      </c>
      <c r="K124" t="str">
        <f>VLOOKUP($C124,Lists!$C$3:$M$118,7,FALSE)</f>
        <v>Squash</v>
      </c>
      <c r="S124" s="4"/>
      <c r="T124" s="4"/>
      <c r="U124" s="5"/>
      <c r="V124" s="5"/>
    </row>
    <row r="125" spans="1:22" x14ac:dyDescent="0.25">
      <c r="A125" s="158" t="s">
        <v>439</v>
      </c>
      <c r="B125" s="158" t="s">
        <v>76</v>
      </c>
      <c r="C125" s="158" t="s">
        <v>51</v>
      </c>
      <c r="D125" s="158" t="s">
        <v>52</v>
      </c>
      <c r="E125" s="157">
        <v>573</v>
      </c>
      <c r="F125" s="158" t="s">
        <v>525</v>
      </c>
      <c r="G125" s="159">
        <v>5745688.7400000002</v>
      </c>
      <c r="H125" s="159">
        <v>0</v>
      </c>
      <c r="I125" s="159">
        <v>1814708.19</v>
      </c>
      <c r="J125" s="159">
        <v>31.6</v>
      </c>
      <c r="K125" t="str">
        <f>VLOOKUP($C125,Lists!$C$3:$M$118,7,FALSE)</f>
        <v>Squash</v>
      </c>
      <c r="S125" s="4"/>
      <c r="T125" s="4"/>
      <c r="U125" s="5"/>
      <c r="V125" s="5"/>
    </row>
    <row r="126" spans="1:22" x14ac:dyDescent="0.25">
      <c r="A126" s="158" t="s">
        <v>439</v>
      </c>
      <c r="B126" s="158" t="s">
        <v>76</v>
      </c>
      <c r="C126" s="158" t="s">
        <v>26</v>
      </c>
      <c r="D126" s="158" t="s">
        <v>27</v>
      </c>
      <c r="E126" s="157">
        <v>1151</v>
      </c>
      <c r="F126" s="158" t="s">
        <v>525</v>
      </c>
      <c r="G126" s="159">
        <v>2511942.4</v>
      </c>
      <c r="H126" s="159">
        <v>0</v>
      </c>
      <c r="I126" s="159">
        <v>1107446.1599999999</v>
      </c>
      <c r="J126" s="159">
        <v>44.1</v>
      </c>
      <c r="K126" t="str">
        <f>VLOOKUP($C126,Lists!$C$3:$M$118,7,FALSE)</f>
        <v>Water</v>
      </c>
      <c r="S126" s="4"/>
      <c r="T126" s="4"/>
      <c r="U126" s="5"/>
      <c r="V126" s="5"/>
    </row>
    <row r="127" spans="1:22" x14ac:dyDescent="0.25">
      <c r="A127" s="158" t="s">
        <v>440</v>
      </c>
      <c r="B127" s="158" t="s">
        <v>77</v>
      </c>
      <c r="C127" s="158" t="s">
        <v>41</v>
      </c>
      <c r="D127" s="158" t="s">
        <v>42</v>
      </c>
      <c r="E127" s="157">
        <v>71</v>
      </c>
      <c r="F127" s="158" t="s">
        <v>525</v>
      </c>
      <c r="G127" s="159">
        <v>548497.72</v>
      </c>
      <c r="H127" s="159">
        <v>0</v>
      </c>
      <c r="I127" s="159">
        <v>230062.72</v>
      </c>
      <c r="J127" s="159">
        <v>41.9</v>
      </c>
      <c r="K127" t="str">
        <f>VLOOKUP($C127,Lists!$C$3:$M$118,7,FALSE)</f>
        <v>Alcomix</v>
      </c>
      <c r="S127" s="4"/>
      <c r="T127" s="4"/>
      <c r="U127" s="5"/>
      <c r="V127" s="5"/>
    </row>
    <row r="128" spans="1:22" x14ac:dyDescent="0.25">
      <c r="A128" s="158" t="s">
        <v>440</v>
      </c>
      <c r="B128" s="158" t="s">
        <v>77</v>
      </c>
      <c r="C128" s="158" t="s">
        <v>10</v>
      </c>
      <c r="D128" s="158" t="s">
        <v>11</v>
      </c>
      <c r="E128" s="157">
        <v>359</v>
      </c>
      <c r="F128" s="158" t="s">
        <v>525</v>
      </c>
      <c r="G128" s="159">
        <v>2773389.88</v>
      </c>
      <c r="H128" s="159">
        <v>0</v>
      </c>
      <c r="I128" s="159">
        <v>1163274.8799999999</v>
      </c>
      <c r="J128" s="159">
        <v>41.9</v>
      </c>
      <c r="K128" t="str">
        <f>VLOOKUP($C128,Lists!$C$3:$M$118,7,FALSE)</f>
        <v>Alcomix</v>
      </c>
      <c r="S128" s="4"/>
      <c r="T128" s="4"/>
      <c r="U128" s="5"/>
      <c r="V128" s="5"/>
    </row>
    <row r="129" spans="1:22" x14ac:dyDescent="0.25">
      <c r="A129" s="158" t="s">
        <v>440</v>
      </c>
      <c r="B129" s="158" t="s">
        <v>77</v>
      </c>
      <c r="C129" s="158" t="s">
        <v>12</v>
      </c>
      <c r="D129" s="158" t="s">
        <v>13</v>
      </c>
      <c r="E129" s="157">
        <v>3518</v>
      </c>
      <c r="F129" s="158" t="s">
        <v>525</v>
      </c>
      <c r="G129" s="159">
        <v>22648074.859999999</v>
      </c>
      <c r="H129" s="159">
        <v>0</v>
      </c>
      <c r="I129" s="159">
        <v>9897963.3599999994</v>
      </c>
      <c r="J129" s="159">
        <v>43.7</v>
      </c>
      <c r="K129" t="str">
        <f>VLOOKUP($C129,Lists!$C$3:$M$118,7,FALSE)</f>
        <v>Beers</v>
      </c>
      <c r="S129" s="4"/>
      <c r="T129" s="4"/>
      <c r="U129" s="5"/>
      <c r="V129" s="5"/>
    </row>
    <row r="130" spans="1:22" x14ac:dyDescent="0.25">
      <c r="A130" s="158" t="s">
        <v>440</v>
      </c>
      <c r="B130" s="158" t="s">
        <v>77</v>
      </c>
      <c r="C130" s="158" t="s">
        <v>14</v>
      </c>
      <c r="D130" s="158" t="s">
        <v>15</v>
      </c>
      <c r="E130" s="157">
        <v>1932</v>
      </c>
      <c r="F130" s="158" t="s">
        <v>525</v>
      </c>
      <c r="G130" s="159">
        <v>14925318.24</v>
      </c>
      <c r="H130" s="159">
        <v>0</v>
      </c>
      <c r="I130" s="159">
        <v>7370464.0800000001</v>
      </c>
      <c r="J130" s="159">
        <v>49.4</v>
      </c>
      <c r="K130" t="str">
        <f>VLOOKUP($C130,Lists!$C$3:$M$118,7,FALSE)</f>
        <v>Beers</v>
      </c>
      <c r="S130" s="4"/>
      <c r="T130" s="4"/>
      <c r="U130" s="5"/>
      <c r="V130" s="5"/>
    </row>
    <row r="131" spans="1:22" x14ac:dyDescent="0.25">
      <c r="A131" s="158" t="s">
        <v>440</v>
      </c>
      <c r="B131" s="158" t="s">
        <v>77</v>
      </c>
      <c r="C131" s="158" t="s">
        <v>54</v>
      </c>
      <c r="D131" s="158" t="s">
        <v>55</v>
      </c>
      <c r="E131" s="157">
        <v>749</v>
      </c>
      <c r="F131" s="158" t="s">
        <v>525</v>
      </c>
      <c r="G131" s="159">
        <v>5786264.6799999997</v>
      </c>
      <c r="H131" s="159">
        <v>0</v>
      </c>
      <c r="I131" s="159">
        <v>3037621.93</v>
      </c>
      <c r="J131" s="159">
        <v>52.5</v>
      </c>
      <c r="K131" t="str">
        <f>VLOOKUP($C131,Lists!$C$3:$M$118,7,FALSE)</f>
        <v>Beers</v>
      </c>
      <c r="S131" s="4"/>
      <c r="T131" s="4"/>
      <c r="U131" s="5"/>
      <c r="V131" s="5"/>
    </row>
    <row r="132" spans="1:22" x14ac:dyDescent="0.25">
      <c r="A132" s="158" t="s">
        <v>440</v>
      </c>
      <c r="B132" s="158" t="s">
        <v>77</v>
      </c>
      <c r="C132" s="158" t="s">
        <v>16</v>
      </c>
      <c r="D132" s="158" t="s">
        <v>17</v>
      </c>
      <c r="E132" s="157">
        <v>2945</v>
      </c>
      <c r="F132" s="158" t="s">
        <v>525</v>
      </c>
      <c r="G132" s="159">
        <v>22751067.399999999</v>
      </c>
      <c r="H132" s="159">
        <v>0</v>
      </c>
      <c r="I132" s="159">
        <v>11234998.300000001</v>
      </c>
      <c r="J132" s="159">
        <v>49.4</v>
      </c>
      <c r="K132" t="str">
        <f>VLOOKUP($C132,Lists!$C$3:$M$118,7,FALSE)</f>
        <v>Beers</v>
      </c>
      <c r="S132" s="4"/>
      <c r="T132" s="4"/>
      <c r="U132" s="5"/>
      <c r="V132" s="5"/>
    </row>
    <row r="133" spans="1:22" x14ac:dyDescent="0.25">
      <c r="A133" s="158" t="s">
        <v>440</v>
      </c>
      <c r="B133" s="158" t="s">
        <v>77</v>
      </c>
      <c r="C133" s="158" t="s">
        <v>56</v>
      </c>
      <c r="D133" s="158" t="s">
        <v>57</v>
      </c>
      <c r="E133" s="157">
        <v>598</v>
      </c>
      <c r="F133" s="158" t="s">
        <v>525</v>
      </c>
      <c r="G133" s="159">
        <v>4619741.3600000003</v>
      </c>
      <c r="H133" s="159">
        <v>0</v>
      </c>
      <c r="I133" s="159">
        <v>2425230.86</v>
      </c>
      <c r="J133" s="159">
        <v>52.5</v>
      </c>
      <c r="K133" t="str">
        <f>VLOOKUP($C133,Lists!$C$3:$M$118,7,FALSE)</f>
        <v>Beers</v>
      </c>
      <c r="S133" s="4"/>
      <c r="T133" s="4"/>
      <c r="U133" s="5"/>
      <c r="V133" s="5"/>
    </row>
    <row r="134" spans="1:22" x14ac:dyDescent="0.25">
      <c r="A134" s="158" t="s">
        <v>440</v>
      </c>
      <c r="B134" s="158" t="s">
        <v>77</v>
      </c>
      <c r="C134" s="158" t="s">
        <v>18</v>
      </c>
      <c r="D134" s="158" t="s">
        <v>19</v>
      </c>
      <c r="E134" s="157">
        <v>356</v>
      </c>
      <c r="F134" s="158" t="s">
        <v>525</v>
      </c>
      <c r="G134" s="159">
        <v>3666953.08</v>
      </c>
      <c r="H134" s="159">
        <v>0</v>
      </c>
      <c r="I134" s="159">
        <v>1901371.08</v>
      </c>
      <c r="J134" s="159">
        <v>51.9</v>
      </c>
      <c r="K134" t="str">
        <f>VLOOKUP($C134,Lists!$C$3:$M$118,7,FALSE)</f>
        <v>Beers</v>
      </c>
      <c r="S134" s="4"/>
      <c r="T134" s="4"/>
      <c r="U134" s="5"/>
      <c r="V134" s="5"/>
    </row>
    <row r="135" spans="1:22" x14ac:dyDescent="0.25">
      <c r="A135" s="158" t="s">
        <v>440</v>
      </c>
      <c r="B135" s="158" t="s">
        <v>77</v>
      </c>
      <c r="C135" s="158" t="s">
        <v>20</v>
      </c>
      <c r="D135" s="158" t="s">
        <v>21</v>
      </c>
      <c r="E135" s="157">
        <v>2083</v>
      </c>
      <c r="F135" s="158" t="s">
        <v>525</v>
      </c>
      <c r="G135" s="159">
        <v>8244576.4900000002</v>
      </c>
      <c r="H135" s="159">
        <v>0</v>
      </c>
      <c r="I135" s="159">
        <v>3464716.39</v>
      </c>
      <c r="J135" s="159">
        <v>42</v>
      </c>
      <c r="K135" t="str">
        <f>VLOOKUP($C135,Lists!$C$3:$M$118,7,FALSE)</f>
        <v>COKE_RGB</v>
      </c>
      <c r="S135" s="4"/>
      <c r="T135" s="4"/>
      <c r="U135" s="5"/>
      <c r="V135" s="5"/>
    </row>
    <row r="136" spans="1:22" x14ac:dyDescent="0.25">
      <c r="A136" s="158" t="s">
        <v>440</v>
      </c>
      <c r="B136" s="158" t="s">
        <v>77</v>
      </c>
      <c r="C136" s="158" t="s">
        <v>28</v>
      </c>
      <c r="D136" s="158" t="s">
        <v>530</v>
      </c>
      <c r="E136" s="157">
        <v>288</v>
      </c>
      <c r="F136" s="158" t="s">
        <v>525</v>
      </c>
      <c r="G136" s="159">
        <v>812995.2</v>
      </c>
      <c r="H136" s="159">
        <v>0</v>
      </c>
      <c r="I136" s="159">
        <v>410068.8</v>
      </c>
      <c r="J136" s="159">
        <v>50.4</v>
      </c>
      <c r="K136" t="str">
        <f>VLOOKUP($C136,Lists!$C$3:$M$118,7,FALSE)</f>
        <v>COKE_PET</v>
      </c>
      <c r="S136" s="4"/>
      <c r="T136" s="4"/>
      <c r="U136" s="5"/>
      <c r="V136" s="5"/>
    </row>
    <row r="137" spans="1:22" x14ac:dyDescent="0.25">
      <c r="A137" s="158" t="s">
        <v>440</v>
      </c>
      <c r="B137" s="158" t="s">
        <v>77</v>
      </c>
      <c r="C137" s="158" t="s">
        <v>58</v>
      </c>
      <c r="D137" s="158" t="s">
        <v>537</v>
      </c>
      <c r="E137" s="157">
        <v>575</v>
      </c>
      <c r="F137" s="158" t="s">
        <v>525</v>
      </c>
      <c r="G137" s="159">
        <v>1391287.25</v>
      </c>
      <c r="H137" s="159">
        <v>0</v>
      </c>
      <c r="I137" s="159">
        <v>770827.75</v>
      </c>
      <c r="J137" s="159">
        <v>55.4</v>
      </c>
      <c r="K137" t="str">
        <f>VLOOKUP($C137,Lists!$C$3:$M$118,7,FALSE)</f>
        <v>SOBO_PET</v>
      </c>
      <c r="S137" s="4"/>
      <c r="T137" s="4"/>
      <c r="U137" s="5"/>
      <c r="V137" s="5"/>
    </row>
    <row r="138" spans="1:22" x14ac:dyDescent="0.25">
      <c r="A138" s="158" t="s">
        <v>440</v>
      </c>
      <c r="B138" s="158" t="s">
        <v>77</v>
      </c>
      <c r="C138" s="158" t="s">
        <v>78</v>
      </c>
      <c r="D138" s="158" t="s">
        <v>526</v>
      </c>
      <c r="E138" s="157">
        <v>144</v>
      </c>
      <c r="F138" s="158" t="s">
        <v>525</v>
      </c>
      <c r="G138" s="159">
        <v>348426.72</v>
      </c>
      <c r="H138" s="159">
        <v>0</v>
      </c>
      <c r="I138" s="159">
        <v>190236.96</v>
      </c>
      <c r="J138" s="159">
        <v>54.6</v>
      </c>
      <c r="K138" t="str">
        <f>VLOOKUP($C138,Lists!$C$3:$M$118,7,FALSE)</f>
        <v>SOBO_PET</v>
      </c>
      <c r="S138" s="4"/>
      <c r="T138" s="4"/>
      <c r="U138" s="5"/>
      <c r="V138" s="5"/>
    </row>
    <row r="139" spans="1:22" x14ac:dyDescent="0.25">
      <c r="A139" s="158" t="s">
        <v>440</v>
      </c>
      <c r="B139" s="158" t="s">
        <v>77</v>
      </c>
      <c r="C139" s="158" t="s">
        <v>43</v>
      </c>
      <c r="D139" s="158" t="s">
        <v>44</v>
      </c>
      <c r="E139" s="157">
        <v>286</v>
      </c>
      <c r="F139" s="158" t="s">
        <v>525</v>
      </c>
      <c r="G139" s="159">
        <v>2209441.52</v>
      </c>
      <c r="H139" s="159">
        <v>0</v>
      </c>
      <c r="I139" s="159">
        <v>1091072.8400000001</v>
      </c>
      <c r="J139" s="159">
        <v>49.4</v>
      </c>
      <c r="K139" t="str">
        <f>VLOOKUP($C139,Lists!$C$3:$M$118,7,FALSE)</f>
        <v>Beers</v>
      </c>
      <c r="S139" s="4"/>
      <c r="T139" s="4"/>
      <c r="U139" s="5"/>
      <c r="V139" s="5"/>
    </row>
    <row r="140" spans="1:22" x14ac:dyDescent="0.25">
      <c r="A140" s="158" t="s">
        <v>440</v>
      </c>
      <c r="B140" s="158" t="s">
        <v>77</v>
      </c>
      <c r="C140" s="158" t="s">
        <v>59</v>
      </c>
      <c r="D140" s="158" t="s">
        <v>60</v>
      </c>
      <c r="E140" s="157">
        <v>574</v>
      </c>
      <c r="F140" s="158" t="s">
        <v>525</v>
      </c>
      <c r="G140" s="159">
        <v>2271909.2200000002</v>
      </c>
      <c r="H140" s="159">
        <v>0</v>
      </c>
      <c r="I140" s="159">
        <v>925046.92</v>
      </c>
      <c r="J140" s="159">
        <v>40.700000000000003</v>
      </c>
      <c r="K140" t="str">
        <f>VLOOKUP($C140,Lists!$C$3:$M$118,7,FALSE)</f>
        <v>COKE_RGB</v>
      </c>
      <c r="S140" s="4"/>
      <c r="T140" s="4"/>
      <c r="U140" s="5"/>
      <c r="V140" s="5"/>
    </row>
    <row r="141" spans="1:22" x14ac:dyDescent="0.25">
      <c r="A141" s="158" t="s">
        <v>440</v>
      </c>
      <c r="B141" s="158" t="s">
        <v>77</v>
      </c>
      <c r="C141" s="158" t="s">
        <v>22</v>
      </c>
      <c r="D141" s="158" t="s">
        <v>23</v>
      </c>
      <c r="E141" s="157">
        <v>789</v>
      </c>
      <c r="F141" s="158" t="s">
        <v>525</v>
      </c>
      <c r="G141" s="159">
        <v>3122885.67</v>
      </c>
      <c r="H141" s="159">
        <v>0</v>
      </c>
      <c r="I141" s="159">
        <v>1258107.8400000001</v>
      </c>
      <c r="J141" s="159">
        <v>40.299999999999997</v>
      </c>
      <c r="K141" t="str">
        <f>VLOOKUP($C141,Lists!$C$3:$M$118,7,FALSE)</f>
        <v>COKE_RGB</v>
      </c>
      <c r="S141" s="4"/>
      <c r="T141" s="4"/>
      <c r="U141" s="5"/>
      <c r="V141" s="5"/>
    </row>
    <row r="142" spans="1:22" x14ac:dyDescent="0.25">
      <c r="A142" s="158" t="s">
        <v>440</v>
      </c>
      <c r="B142" s="158" t="s">
        <v>77</v>
      </c>
      <c r="C142" s="158" t="s">
        <v>67</v>
      </c>
      <c r="D142" s="158" t="s">
        <v>533</v>
      </c>
      <c r="E142" s="157">
        <v>144</v>
      </c>
      <c r="F142" s="158" t="s">
        <v>525</v>
      </c>
      <c r="G142" s="159">
        <v>406497.6</v>
      </c>
      <c r="H142" s="159">
        <v>0</v>
      </c>
      <c r="I142" s="159">
        <v>199961.28</v>
      </c>
      <c r="J142" s="159">
        <v>49.2</v>
      </c>
      <c r="K142" t="str">
        <f>VLOOKUP($C142,Lists!$C$3:$M$118,7,FALSE)</f>
        <v>COKE_PET</v>
      </c>
      <c r="S142" s="4"/>
      <c r="T142" s="4"/>
      <c r="U142" s="5"/>
      <c r="V142" s="5"/>
    </row>
    <row r="143" spans="1:22" x14ac:dyDescent="0.25">
      <c r="A143" s="158" t="s">
        <v>440</v>
      </c>
      <c r="B143" s="158" t="s">
        <v>77</v>
      </c>
      <c r="C143" s="158" t="s">
        <v>261</v>
      </c>
      <c r="D143" s="158" t="s">
        <v>538</v>
      </c>
      <c r="E143" s="157">
        <v>72</v>
      </c>
      <c r="F143" s="158" t="s">
        <v>525</v>
      </c>
      <c r="G143" s="159">
        <v>284978.15999999997</v>
      </c>
      <c r="H143" s="159">
        <v>0</v>
      </c>
      <c r="I143" s="159">
        <v>114808.32000000001</v>
      </c>
      <c r="J143" s="159">
        <v>40.299999999999997</v>
      </c>
      <c r="K143" t="str">
        <f>VLOOKUP($C143,Lists!$C$3:$M$118,7,FALSE)</f>
        <v>COKE_RGB</v>
      </c>
      <c r="S143" s="4"/>
      <c r="T143" s="4"/>
      <c r="U143" s="5"/>
      <c r="V143" s="5"/>
    </row>
    <row r="144" spans="1:22" x14ac:dyDescent="0.25">
      <c r="A144" s="158" t="s">
        <v>440</v>
      </c>
      <c r="B144" s="158" t="s">
        <v>77</v>
      </c>
      <c r="C144" s="158" t="s">
        <v>24</v>
      </c>
      <c r="D144" s="158" t="s">
        <v>25</v>
      </c>
      <c r="E144" s="157">
        <v>1219</v>
      </c>
      <c r="F144" s="158" t="s">
        <v>525</v>
      </c>
      <c r="G144" s="159">
        <v>7847641.6299999999</v>
      </c>
      <c r="H144" s="159">
        <v>0</v>
      </c>
      <c r="I144" s="159">
        <v>3778461.15</v>
      </c>
      <c r="J144" s="159">
        <v>48.1</v>
      </c>
      <c r="K144" t="str">
        <f>VLOOKUP($C144,Lists!$C$3:$M$118,7,FALSE)</f>
        <v>Beers</v>
      </c>
      <c r="S144" s="4"/>
      <c r="T144" s="4"/>
      <c r="U144" s="5"/>
      <c r="V144" s="5"/>
    </row>
    <row r="145" spans="1:22" x14ac:dyDescent="0.25">
      <c r="A145" s="158" t="s">
        <v>440</v>
      </c>
      <c r="B145" s="158" t="s">
        <v>77</v>
      </c>
      <c r="C145" s="158" t="s">
        <v>29</v>
      </c>
      <c r="D145" s="158" t="s">
        <v>30</v>
      </c>
      <c r="E145" s="157">
        <v>170</v>
      </c>
      <c r="F145" s="158" t="s">
        <v>525</v>
      </c>
      <c r="G145" s="159">
        <v>6185346.2999999998</v>
      </c>
      <c r="H145" s="159">
        <v>0</v>
      </c>
      <c r="I145" s="159">
        <v>1765346.3</v>
      </c>
      <c r="J145" s="159">
        <v>28.5</v>
      </c>
      <c r="K145" t="str">
        <f>VLOOKUP($C145,Lists!$C$3:$M$118,7,FALSE)</f>
        <v>Spirits</v>
      </c>
      <c r="S145" s="4"/>
      <c r="T145" s="4"/>
      <c r="U145" s="5"/>
      <c r="V145" s="5"/>
    </row>
    <row r="146" spans="1:22" x14ac:dyDescent="0.25">
      <c r="A146" s="158" t="s">
        <v>440</v>
      </c>
      <c r="B146" s="158" t="s">
        <v>77</v>
      </c>
      <c r="C146" s="158" t="s">
        <v>31</v>
      </c>
      <c r="D146" s="158" t="s">
        <v>32</v>
      </c>
      <c r="E146" s="157">
        <v>10</v>
      </c>
      <c r="F146" s="158" t="s">
        <v>525</v>
      </c>
      <c r="G146" s="159">
        <v>341567.8</v>
      </c>
      <c r="H146" s="159">
        <v>0</v>
      </c>
      <c r="I146" s="159">
        <v>101567.8</v>
      </c>
      <c r="J146" s="159">
        <v>29.7</v>
      </c>
      <c r="K146" t="str">
        <f>VLOOKUP($C146,Lists!$C$3:$M$118,7,FALSE)</f>
        <v>Spirits</v>
      </c>
      <c r="S146" s="4"/>
      <c r="T146" s="4"/>
      <c r="U146" s="5"/>
      <c r="V146" s="5"/>
    </row>
    <row r="147" spans="1:22" x14ac:dyDescent="0.25">
      <c r="A147" s="158" t="s">
        <v>440</v>
      </c>
      <c r="B147" s="158" t="s">
        <v>77</v>
      </c>
      <c r="C147" s="158" t="s">
        <v>33</v>
      </c>
      <c r="D147" s="158" t="s">
        <v>34</v>
      </c>
      <c r="E147" s="157">
        <v>30</v>
      </c>
      <c r="F147" s="158" t="s">
        <v>525</v>
      </c>
      <c r="G147" s="159">
        <v>1670712</v>
      </c>
      <c r="H147" s="159">
        <v>0</v>
      </c>
      <c r="I147" s="159">
        <v>320712</v>
      </c>
      <c r="J147" s="159">
        <v>19.2</v>
      </c>
      <c r="K147" t="str">
        <f>VLOOKUP($C147,Lists!$C$3:$M$118,7,FALSE)</f>
        <v>Spirits</v>
      </c>
      <c r="S147" s="4"/>
      <c r="T147" s="4"/>
      <c r="U147" s="5"/>
      <c r="V147" s="5"/>
    </row>
    <row r="148" spans="1:22" x14ac:dyDescent="0.25">
      <c r="A148" s="158" t="s">
        <v>440</v>
      </c>
      <c r="B148" s="158" t="s">
        <v>77</v>
      </c>
      <c r="C148" s="158" t="s">
        <v>37</v>
      </c>
      <c r="D148" s="158" t="s">
        <v>38</v>
      </c>
      <c r="E148" s="157">
        <v>574</v>
      </c>
      <c r="F148" s="158" t="s">
        <v>525</v>
      </c>
      <c r="G148" s="159">
        <v>1893258.64</v>
      </c>
      <c r="H148" s="159">
        <v>0</v>
      </c>
      <c r="I148" s="159">
        <v>886927.58</v>
      </c>
      <c r="J148" s="159">
        <v>46.8</v>
      </c>
      <c r="K148" t="str">
        <f>VLOOKUP($C148,Lists!$C$3:$M$118,7,FALSE)</f>
        <v>SOBO_RGB</v>
      </c>
      <c r="S148" s="4"/>
      <c r="T148" s="4"/>
      <c r="U148" s="5"/>
      <c r="V148" s="5"/>
    </row>
    <row r="149" spans="1:22" x14ac:dyDescent="0.25">
      <c r="A149" s="158" t="s">
        <v>440</v>
      </c>
      <c r="B149" s="158" t="s">
        <v>77</v>
      </c>
      <c r="C149" s="158" t="s">
        <v>39</v>
      </c>
      <c r="D149" s="158" t="s">
        <v>40</v>
      </c>
      <c r="E149" s="157">
        <v>572</v>
      </c>
      <c r="F149" s="158" t="s">
        <v>525</v>
      </c>
      <c r="G149" s="159">
        <v>1886661.92</v>
      </c>
      <c r="H149" s="159">
        <v>0</v>
      </c>
      <c r="I149" s="159">
        <v>876023.72</v>
      </c>
      <c r="J149" s="159">
        <v>46.4</v>
      </c>
      <c r="K149" t="str">
        <f>VLOOKUP($C149,Lists!$C$3:$M$118,7,FALSE)</f>
        <v>SOBO_RGB</v>
      </c>
      <c r="S149" s="4"/>
      <c r="T149" s="4"/>
      <c r="U149" s="5"/>
      <c r="V149" s="5"/>
    </row>
    <row r="150" spans="1:22" x14ac:dyDescent="0.25">
      <c r="A150" s="158" t="s">
        <v>440</v>
      </c>
      <c r="B150" s="158" t="s">
        <v>77</v>
      </c>
      <c r="C150" s="158" t="s">
        <v>88</v>
      </c>
      <c r="D150" s="158" t="s">
        <v>527</v>
      </c>
      <c r="E150" s="157">
        <v>0</v>
      </c>
      <c r="F150" s="158" t="s">
        <v>525</v>
      </c>
      <c r="G150" s="159">
        <v>0</v>
      </c>
      <c r="H150" s="159">
        <v>0</v>
      </c>
      <c r="I150" s="159">
        <v>0</v>
      </c>
      <c r="J150" s="159">
        <v>0</v>
      </c>
      <c r="K150" t="str">
        <f>VLOOKUP($C150,Lists!$C$3:$M$118,7,FALSE)</f>
        <v>SOBO_PET</v>
      </c>
      <c r="S150" s="4"/>
      <c r="T150" s="4"/>
      <c r="U150" s="5"/>
      <c r="V150" s="5"/>
    </row>
    <row r="151" spans="1:22" x14ac:dyDescent="0.25">
      <c r="A151" s="158" t="s">
        <v>440</v>
      </c>
      <c r="B151" s="158" t="s">
        <v>77</v>
      </c>
      <c r="C151" s="158" t="s">
        <v>45</v>
      </c>
      <c r="D151" s="158" t="s">
        <v>46</v>
      </c>
      <c r="E151" s="157">
        <v>144</v>
      </c>
      <c r="F151" s="158" t="s">
        <v>525</v>
      </c>
      <c r="G151" s="159">
        <v>569956.31999999995</v>
      </c>
      <c r="H151" s="159">
        <v>0</v>
      </c>
      <c r="I151" s="159">
        <v>280723.68</v>
      </c>
      <c r="J151" s="159">
        <v>49.3</v>
      </c>
      <c r="K151" t="str">
        <f>VLOOKUP($C151,Lists!$C$3:$M$118,7,FALSE)</f>
        <v>SOBO_RGB</v>
      </c>
      <c r="S151" s="4"/>
      <c r="T151" s="4"/>
      <c r="U151" s="5"/>
      <c r="V151" s="5"/>
    </row>
    <row r="152" spans="1:22" x14ac:dyDescent="0.25">
      <c r="A152" s="158" t="s">
        <v>440</v>
      </c>
      <c r="B152" s="158" t="s">
        <v>77</v>
      </c>
      <c r="C152" s="158" t="s">
        <v>47</v>
      </c>
      <c r="D152" s="158" t="s">
        <v>48</v>
      </c>
      <c r="E152" s="157">
        <v>430</v>
      </c>
      <c r="F152" s="158" t="s">
        <v>525</v>
      </c>
      <c r="G152" s="159">
        <v>1701952.9</v>
      </c>
      <c r="H152" s="159">
        <v>0</v>
      </c>
      <c r="I152" s="159">
        <v>742751.9</v>
      </c>
      <c r="J152" s="159">
        <v>43.6</v>
      </c>
      <c r="K152" t="str">
        <f>VLOOKUP($C152,Lists!$C$3:$M$118,7,FALSE)</f>
        <v>COKE_RGB</v>
      </c>
      <c r="S152" s="4"/>
      <c r="T152" s="4"/>
      <c r="U152" s="5"/>
      <c r="V152" s="5"/>
    </row>
    <row r="153" spans="1:22" x14ac:dyDescent="0.25">
      <c r="A153" s="158" t="s">
        <v>440</v>
      </c>
      <c r="B153" s="158" t="s">
        <v>77</v>
      </c>
      <c r="C153" s="158" t="s">
        <v>49</v>
      </c>
      <c r="D153" s="158" t="s">
        <v>50</v>
      </c>
      <c r="E153" s="157">
        <v>143</v>
      </c>
      <c r="F153" s="158" t="s">
        <v>525</v>
      </c>
      <c r="G153" s="159">
        <v>1433915.34</v>
      </c>
      <c r="H153" s="159">
        <v>0</v>
      </c>
      <c r="I153" s="159">
        <v>456701.96</v>
      </c>
      <c r="J153" s="159">
        <v>31.8</v>
      </c>
      <c r="K153" t="str">
        <f>VLOOKUP($C153,Lists!$C$3:$M$118,7,FALSE)</f>
        <v>Squash</v>
      </c>
      <c r="S153" s="4"/>
      <c r="T153" s="4"/>
      <c r="U153" s="5"/>
      <c r="V153" s="5"/>
    </row>
    <row r="154" spans="1:22" x14ac:dyDescent="0.25">
      <c r="A154" s="158" t="s">
        <v>440</v>
      </c>
      <c r="B154" s="158" t="s">
        <v>77</v>
      </c>
      <c r="C154" s="158" t="s">
        <v>51</v>
      </c>
      <c r="D154" s="158" t="s">
        <v>52</v>
      </c>
      <c r="E154" s="157">
        <v>213</v>
      </c>
      <c r="F154" s="158" t="s">
        <v>525</v>
      </c>
      <c r="G154" s="159">
        <v>2135831.94</v>
      </c>
      <c r="H154" s="159">
        <v>0</v>
      </c>
      <c r="I154" s="159">
        <v>674577.39</v>
      </c>
      <c r="J154" s="159">
        <v>31.6</v>
      </c>
      <c r="K154" t="str">
        <f>VLOOKUP($C154,Lists!$C$3:$M$118,7,FALSE)</f>
        <v>Squash</v>
      </c>
      <c r="S154" s="4"/>
      <c r="T154" s="4"/>
      <c r="U154" s="5"/>
      <c r="V154" s="5"/>
    </row>
    <row r="155" spans="1:22" x14ac:dyDescent="0.25">
      <c r="A155" s="158" t="s">
        <v>541</v>
      </c>
      <c r="B155" s="158" t="s">
        <v>542</v>
      </c>
      <c r="C155" s="158" t="s">
        <v>41</v>
      </c>
      <c r="D155" s="158" t="s">
        <v>42</v>
      </c>
      <c r="E155" s="157">
        <v>72</v>
      </c>
      <c r="F155" s="158" t="s">
        <v>525</v>
      </c>
      <c r="G155" s="159">
        <v>566717.76</v>
      </c>
      <c r="H155" s="159">
        <v>0</v>
      </c>
      <c r="I155" s="159">
        <v>243797.76000000001</v>
      </c>
      <c r="J155" s="159">
        <v>43</v>
      </c>
      <c r="K155" t="str">
        <f>VLOOKUP($C155,Lists!$C$3:$M$118,7,FALSE)</f>
        <v>Alcomix</v>
      </c>
      <c r="S155" s="4"/>
      <c r="T155" s="4"/>
      <c r="U155" s="5"/>
      <c r="V155" s="5"/>
    </row>
    <row r="156" spans="1:22" x14ac:dyDescent="0.25">
      <c r="A156" s="158" t="s">
        <v>541</v>
      </c>
      <c r="B156" s="158" t="s">
        <v>542</v>
      </c>
      <c r="C156" s="158" t="s">
        <v>10</v>
      </c>
      <c r="D156" s="158" t="s">
        <v>11</v>
      </c>
      <c r="E156" s="157">
        <v>72</v>
      </c>
      <c r="F156" s="158" t="s">
        <v>525</v>
      </c>
      <c r="G156" s="159">
        <v>566717.76</v>
      </c>
      <c r="H156" s="159">
        <v>0</v>
      </c>
      <c r="I156" s="159">
        <v>243797.76000000001</v>
      </c>
      <c r="J156" s="159">
        <v>43</v>
      </c>
      <c r="K156" t="str">
        <f>VLOOKUP($C156,Lists!$C$3:$M$118,7,FALSE)</f>
        <v>Alcomix</v>
      </c>
      <c r="S156" s="4"/>
      <c r="T156" s="4"/>
      <c r="U156" s="5"/>
      <c r="V156" s="5"/>
    </row>
    <row r="157" spans="1:22" x14ac:dyDescent="0.25">
      <c r="A157" s="158" t="s">
        <v>541</v>
      </c>
      <c r="B157" s="158" t="s">
        <v>542</v>
      </c>
      <c r="C157" s="158" t="s">
        <v>12</v>
      </c>
      <c r="D157" s="158" t="s">
        <v>13</v>
      </c>
      <c r="E157" s="157">
        <v>502</v>
      </c>
      <c r="F157" s="158" t="s">
        <v>525</v>
      </c>
      <c r="G157" s="159">
        <v>3292738.48</v>
      </c>
      <c r="H157" s="159">
        <v>0</v>
      </c>
      <c r="I157" s="159">
        <v>1473364.98</v>
      </c>
      <c r="J157" s="159">
        <v>44.7</v>
      </c>
      <c r="K157" t="str">
        <f>VLOOKUP($C157,Lists!$C$3:$M$118,7,FALSE)</f>
        <v>Beers</v>
      </c>
      <c r="S157" s="4"/>
      <c r="T157" s="4"/>
      <c r="U157" s="5"/>
      <c r="V157" s="5"/>
    </row>
    <row r="158" spans="1:22" x14ac:dyDescent="0.25">
      <c r="A158" s="158" t="s">
        <v>541</v>
      </c>
      <c r="B158" s="158" t="s">
        <v>542</v>
      </c>
      <c r="C158" s="158" t="s">
        <v>14</v>
      </c>
      <c r="D158" s="158" t="s">
        <v>15</v>
      </c>
      <c r="E158" s="157">
        <v>428</v>
      </c>
      <c r="F158" s="158" t="s">
        <v>525</v>
      </c>
      <c r="G158" s="159">
        <v>3368822.24</v>
      </c>
      <c r="H158" s="159">
        <v>0</v>
      </c>
      <c r="I158" s="159">
        <v>1695179.6</v>
      </c>
      <c r="J158" s="159">
        <v>50.3</v>
      </c>
      <c r="K158" t="str">
        <f>VLOOKUP($C158,Lists!$C$3:$M$118,7,FALSE)</f>
        <v>Beers</v>
      </c>
      <c r="S158" s="4"/>
      <c r="T158" s="4"/>
      <c r="U158" s="5"/>
      <c r="V158" s="5"/>
    </row>
    <row r="159" spans="1:22" x14ac:dyDescent="0.25">
      <c r="A159" s="158" t="s">
        <v>541</v>
      </c>
      <c r="B159" s="158" t="s">
        <v>542</v>
      </c>
      <c r="C159" s="158" t="s">
        <v>54</v>
      </c>
      <c r="D159" s="158" t="s">
        <v>55</v>
      </c>
      <c r="E159" s="157">
        <v>50</v>
      </c>
      <c r="F159" s="158" t="s">
        <v>525</v>
      </c>
      <c r="G159" s="159">
        <v>393554</v>
      </c>
      <c r="H159" s="159">
        <v>0</v>
      </c>
      <c r="I159" s="159">
        <v>210066.5</v>
      </c>
      <c r="J159" s="159">
        <v>53.4</v>
      </c>
      <c r="K159" t="str">
        <f>VLOOKUP($C159,Lists!$C$3:$M$118,7,FALSE)</f>
        <v>Beers</v>
      </c>
      <c r="S159" s="4"/>
      <c r="T159" s="4"/>
      <c r="U159" s="5"/>
      <c r="V159" s="5"/>
    </row>
    <row r="160" spans="1:22" x14ac:dyDescent="0.25">
      <c r="A160" s="158" t="s">
        <v>541</v>
      </c>
      <c r="B160" s="158" t="s">
        <v>542</v>
      </c>
      <c r="C160" s="158" t="s">
        <v>16</v>
      </c>
      <c r="D160" s="158" t="s">
        <v>17</v>
      </c>
      <c r="E160" s="157">
        <v>286</v>
      </c>
      <c r="F160" s="158" t="s">
        <v>525</v>
      </c>
      <c r="G160" s="159">
        <v>2251128.88</v>
      </c>
      <c r="H160" s="159">
        <v>0</v>
      </c>
      <c r="I160" s="159">
        <v>1132760.2</v>
      </c>
      <c r="J160" s="159">
        <v>50.3</v>
      </c>
      <c r="K160" t="str">
        <f>VLOOKUP($C160,Lists!$C$3:$M$118,7,FALSE)</f>
        <v>Beers</v>
      </c>
      <c r="S160" s="4"/>
      <c r="T160" s="4"/>
      <c r="U160" s="5"/>
      <c r="V160" s="5"/>
    </row>
    <row r="161" spans="1:22" x14ac:dyDescent="0.25">
      <c r="A161" s="158" t="s">
        <v>541</v>
      </c>
      <c r="B161" s="158" t="s">
        <v>542</v>
      </c>
      <c r="C161" s="158" t="s">
        <v>18</v>
      </c>
      <c r="D161" s="158" t="s">
        <v>19</v>
      </c>
      <c r="E161" s="157">
        <v>141</v>
      </c>
      <c r="F161" s="158" t="s">
        <v>525</v>
      </c>
      <c r="G161" s="159">
        <v>1479762.57</v>
      </c>
      <c r="H161" s="159">
        <v>0</v>
      </c>
      <c r="I161" s="159">
        <v>780473.07</v>
      </c>
      <c r="J161" s="159">
        <v>52.7</v>
      </c>
      <c r="K161" t="str">
        <f>VLOOKUP($C161,Lists!$C$3:$M$118,7,FALSE)</f>
        <v>Beers</v>
      </c>
      <c r="S161" s="4"/>
      <c r="T161" s="4"/>
      <c r="U161" s="5"/>
      <c r="V161" s="5"/>
    </row>
    <row r="162" spans="1:22" x14ac:dyDescent="0.25">
      <c r="A162" s="158" t="s">
        <v>541</v>
      </c>
      <c r="B162" s="158" t="s">
        <v>542</v>
      </c>
      <c r="C162" s="158" t="s">
        <v>20</v>
      </c>
      <c r="D162" s="158" t="s">
        <v>21</v>
      </c>
      <c r="E162" s="157">
        <v>215</v>
      </c>
      <c r="F162" s="158" t="s">
        <v>525</v>
      </c>
      <c r="G162" s="159">
        <v>867032.65</v>
      </c>
      <c r="H162" s="159">
        <v>0</v>
      </c>
      <c r="I162" s="159">
        <v>373672.15</v>
      </c>
      <c r="J162" s="159">
        <v>43.1</v>
      </c>
      <c r="K162" t="str">
        <f>VLOOKUP($C162,Lists!$C$3:$M$118,7,FALSE)</f>
        <v>COKE_RGB</v>
      </c>
      <c r="S162" s="4"/>
      <c r="T162" s="4"/>
      <c r="U162" s="5"/>
      <c r="V162" s="5"/>
    </row>
    <row r="163" spans="1:22" x14ac:dyDescent="0.25">
      <c r="A163" s="158" t="s">
        <v>541</v>
      </c>
      <c r="B163" s="158" t="s">
        <v>542</v>
      </c>
      <c r="C163" s="158" t="s">
        <v>28</v>
      </c>
      <c r="D163" s="158" t="s">
        <v>530</v>
      </c>
      <c r="E163" s="157">
        <v>431</v>
      </c>
      <c r="F163" s="158" t="s">
        <v>525</v>
      </c>
      <c r="G163" s="159">
        <v>1240068.8899999999</v>
      </c>
      <c r="H163" s="159">
        <v>0</v>
      </c>
      <c r="I163" s="159">
        <v>637078.34</v>
      </c>
      <c r="J163" s="159">
        <v>51.4</v>
      </c>
      <c r="K163" t="str">
        <f>VLOOKUP($C163,Lists!$C$3:$M$118,7,FALSE)</f>
        <v>COKE_PET</v>
      </c>
      <c r="S163" s="4"/>
      <c r="T163" s="4"/>
      <c r="U163" s="5"/>
      <c r="V163" s="5"/>
    </row>
    <row r="164" spans="1:22" x14ac:dyDescent="0.25">
      <c r="A164" s="158" t="s">
        <v>541</v>
      </c>
      <c r="B164" s="158" t="s">
        <v>542</v>
      </c>
      <c r="C164" s="158" t="s">
        <v>58</v>
      </c>
      <c r="D164" s="158" t="s">
        <v>537</v>
      </c>
      <c r="E164" s="157">
        <v>144</v>
      </c>
      <c r="F164" s="158" t="s">
        <v>525</v>
      </c>
      <c r="G164" s="159">
        <v>355127.03999999998</v>
      </c>
      <c r="H164" s="159">
        <v>0</v>
      </c>
      <c r="I164" s="159">
        <v>199742.4</v>
      </c>
      <c r="J164" s="159">
        <v>56.2</v>
      </c>
      <c r="K164" t="str">
        <f>VLOOKUP($C164,Lists!$C$3:$M$118,7,FALSE)</f>
        <v>SOBO_PET</v>
      </c>
      <c r="S164" s="4"/>
      <c r="T164" s="4"/>
      <c r="U164" s="5"/>
      <c r="V164" s="5"/>
    </row>
    <row r="165" spans="1:22" x14ac:dyDescent="0.25">
      <c r="A165" s="158" t="s">
        <v>541</v>
      </c>
      <c r="B165" s="158" t="s">
        <v>542</v>
      </c>
      <c r="C165" s="158" t="s">
        <v>78</v>
      </c>
      <c r="D165" s="158" t="s">
        <v>526</v>
      </c>
      <c r="E165" s="157">
        <v>432</v>
      </c>
      <c r="F165" s="158" t="s">
        <v>525</v>
      </c>
      <c r="G165" s="159">
        <v>1065381.1200000001</v>
      </c>
      <c r="H165" s="159">
        <v>0</v>
      </c>
      <c r="I165" s="159">
        <v>590811.84</v>
      </c>
      <c r="J165" s="159">
        <v>55.5</v>
      </c>
      <c r="K165" t="str">
        <f>VLOOKUP($C165,Lists!$C$3:$M$118,7,FALSE)</f>
        <v>SOBO_PET</v>
      </c>
      <c r="S165" s="4"/>
      <c r="T165" s="4"/>
      <c r="U165" s="5"/>
      <c r="V165" s="5"/>
    </row>
    <row r="166" spans="1:22" x14ac:dyDescent="0.25">
      <c r="A166" s="158" t="s">
        <v>541</v>
      </c>
      <c r="B166" s="158" t="s">
        <v>542</v>
      </c>
      <c r="C166" s="158" t="s">
        <v>43</v>
      </c>
      <c r="D166" s="158" t="s">
        <v>44</v>
      </c>
      <c r="E166" s="157">
        <v>72</v>
      </c>
      <c r="F166" s="158" t="s">
        <v>525</v>
      </c>
      <c r="G166" s="159">
        <v>566717.76</v>
      </c>
      <c r="H166" s="159">
        <v>0</v>
      </c>
      <c r="I166" s="159">
        <v>285170.40000000002</v>
      </c>
      <c r="J166" s="159">
        <v>50.3</v>
      </c>
      <c r="K166" t="str">
        <f>VLOOKUP($C166,Lists!$C$3:$M$118,7,FALSE)</f>
        <v>Beers</v>
      </c>
      <c r="S166" s="4"/>
      <c r="T166" s="4"/>
      <c r="U166" s="5"/>
      <c r="V166" s="5"/>
    </row>
    <row r="167" spans="1:22" x14ac:dyDescent="0.25">
      <c r="A167" s="158" t="s">
        <v>541</v>
      </c>
      <c r="B167" s="158" t="s">
        <v>542</v>
      </c>
      <c r="C167" s="158" t="s">
        <v>59</v>
      </c>
      <c r="D167" s="158" t="s">
        <v>60</v>
      </c>
      <c r="E167" s="157">
        <v>71</v>
      </c>
      <c r="F167" s="158" t="s">
        <v>525</v>
      </c>
      <c r="G167" s="159">
        <v>286322.40999999997</v>
      </c>
      <c r="H167" s="159">
        <v>0</v>
      </c>
      <c r="I167" s="159">
        <v>119724.46</v>
      </c>
      <c r="J167" s="159">
        <v>41.8</v>
      </c>
      <c r="K167" t="str">
        <f>VLOOKUP($C167,Lists!$C$3:$M$118,7,FALSE)</f>
        <v>COKE_RGB</v>
      </c>
      <c r="S167" s="4"/>
      <c r="T167" s="4"/>
      <c r="U167" s="5"/>
      <c r="V167" s="5"/>
    </row>
    <row r="168" spans="1:22" x14ac:dyDescent="0.25">
      <c r="A168" s="158" t="s">
        <v>541</v>
      </c>
      <c r="B168" s="158" t="s">
        <v>542</v>
      </c>
      <c r="C168" s="158" t="s">
        <v>22</v>
      </c>
      <c r="D168" s="158" t="s">
        <v>23</v>
      </c>
      <c r="E168" s="157">
        <v>144</v>
      </c>
      <c r="F168" s="158" t="s">
        <v>525</v>
      </c>
      <c r="G168" s="159">
        <v>580710.24</v>
      </c>
      <c r="H168" s="159">
        <v>0</v>
      </c>
      <c r="I168" s="159">
        <v>240370.56</v>
      </c>
      <c r="J168" s="159">
        <v>41.4</v>
      </c>
      <c r="K168" t="str">
        <f>VLOOKUP($C168,Lists!$C$3:$M$118,7,FALSE)</f>
        <v>COKE_RGB</v>
      </c>
      <c r="S168" s="4"/>
      <c r="T168" s="4"/>
      <c r="U168" s="5"/>
      <c r="V168" s="5"/>
    </row>
    <row r="169" spans="1:22" x14ac:dyDescent="0.25">
      <c r="A169" s="158" t="s">
        <v>541</v>
      </c>
      <c r="B169" s="158" t="s">
        <v>542</v>
      </c>
      <c r="C169" s="158" t="s">
        <v>261</v>
      </c>
      <c r="D169" s="158" t="s">
        <v>538</v>
      </c>
      <c r="E169" s="157">
        <v>71</v>
      </c>
      <c r="F169" s="158" t="s">
        <v>525</v>
      </c>
      <c r="G169" s="159">
        <v>286322.40999999997</v>
      </c>
      <c r="H169" s="159">
        <v>0</v>
      </c>
      <c r="I169" s="159">
        <v>118516.04</v>
      </c>
      <c r="J169" s="159">
        <v>41.4</v>
      </c>
      <c r="K169" t="str">
        <f>VLOOKUP($C169,Lists!$C$3:$M$118,7,FALSE)</f>
        <v>COKE_RGB</v>
      </c>
      <c r="S169" s="4"/>
      <c r="T169" s="4"/>
      <c r="U169" s="5"/>
      <c r="V169" s="5"/>
    </row>
    <row r="170" spans="1:22" x14ac:dyDescent="0.25">
      <c r="A170" s="158" t="s">
        <v>541</v>
      </c>
      <c r="B170" s="158" t="s">
        <v>542</v>
      </c>
      <c r="C170" s="158" t="s">
        <v>24</v>
      </c>
      <c r="D170" s="158" t="s">
        <v>25</v>
      </c>
      <c r="E170" s="157">
        <v>72</v>
      </c>
      <c r="F170" s="158" t="s">
        <v>525</v>
      </c>
      <c r="G170" s="159">
        <v>472265.28</v>
      </c>
      <c r="H170" s="159">
        <v>0</v>
      </c>
      <c r="I170" s="159">
        <v>231919.92</v>
      </c>
      <c r="J170" s="159">
        <v>49.1</v>
      </c>
      <c r="K170" t="str">
        <f>VLOOKUP($C170,Lists!$C$3:$M$118,7,FALSE)</f>
        <v>Beers</v>
      </c>
      <c r="S170" s="4"/>
      <c r="T170" s="4"/>
      <c r="U170" s="5"/>
      <c r="V170" s="5"/>
    </row>
    <row r="171" spans="1:22" x14ac:dyDescent="0.25">
      <c r="A171" s="158" t="s">
        <v>541</v>
      </c>
      <c r="B171" s="158" t="s">
        <v>542</v>
      </c>
      <c r="C171" s="158" t="s">
        <v>29</v>
      </c>
      <c r="D171" s="158" t="s">
        <v>30</v>
      </c>
      <c r="E171" s="157">
        <v>150</v>
      </c>
      <c r="F171" s="158" t="s">
        <v>525</v>
      </c>
      <c r="G171" s="159">
        <v>5560633.5</v>
      </c>
      <c r="H171" s="159">
        <v>0</v>
      </c>
      <c r="I171" s="159">
        <v>1660633.5</v>
      </c>
      <c r="J171" s="159">
        <v>29.9</v>
      </c>
      <c r="K171" t="str">
        <f>VLOOKUP($C171,Lists!$C$3:$M$118,7,FALSE)</f>
        <v>Spirits</v>
      </c>
      <c r="S171" s="4"/>
      <c r="T171" s="4"/>
      <c r="U171" s="5"/>
      <c r="V171" s="5"/>
    </row>
    <row r="172" spans="1:22" x14ac:dyDescent="0.25">
      <c r="A172" s="158" t="s">
        <v>541</v>
      </c>
      <c r="B172" s="158" t="s">
        <v>542</v>
      </c>
      <c r="C172" s="158" t="s">
        <v>33</v>
      </c>
      <c r="D172" s="158" t="s">
        <v>34</v>
      </c>
      <c r="E172" s="157">
        <v>30</v>
      </c>
      <c r="F172" s="158" t="s">
        <v>525</v>
      </c>
      <c r="G172" s="159">
        <v>1702234.8</v>
      </c>
      <c r="H172" s="159">
        <v>0</v>
      </c>
      <c r="I172" s="159">
        <v>352234.8</v>
      </c>
      <c r="J172" s="159">
        <v>20.7</v>
      </c>
      <c r="K172" t="str">
        <f>VLOOKUP($C172,Lists!$C$3:$M$118,7,FALSE)</f>
        <v>Spirits</v>
      </c>
      <c r="S172" s="4"/>
      <c r="T172" s="4"/>
      <c r="U172" s="5"/>
      <c r="V172" s="5"/>
    </row>
    <row r="173" spans="1:22" x14ac:dyDescent="0.25">
      <c r="A173" s="158" t="s">
        <v>541</v>
      </c>
      <c r="B173" s="158" t="s">
        <v>542</v>
      </c>
      <c r="C173" s="158" t="s">
        <v>37</v>
      </c>
      <c r="D173" s="158" t="s">
        <v>38</v>
      </c>
      <c r="E173" s="157">
        <v>143</v>
      </c>
      <c r="F173" s="158" t="s">
        <v>525</v>
      </c>
      <c r="G173" s="159">
        <v>480564.37</v>
      </c>
      <c r="H173" s="159">
        <v>0</v>
      </c>
      <c r="I173" s="159">
        <v>229858.2</v>
      </c>
      <c r="J173" s="159">
        <v>47.8</v>
      </c>
      <c r="K173" t="str">
        <f>VLOOKUP($C173,Lists!$C$3:$M$118,7,FALSE)</f>
        <v>SOBO_RGB</v>
      </c>
      <c r="S173" s="4"/>
      <c r="T173" s="4"/>
      <c r="U173" s="5"/>
      <c r="V173" s="5"/>
    </row>
    <row r="174" spans="1:22" x14ac:dyDescent="0.25">
      <c r="A174" s="158" t="s">
        <v>541</v>
      </c>
      <c r="B174" s="158" t="s">
        <v>542</v>
      </c>
      <c r="C174" s="158" t="s">
        <v>39</v>
      </c>
      <c r="D174" s="158" t="s">
        <v>40</v>
      </c>
      <c r="E174" s="157">
        <v>71</v>
      </c>
      <c r="F174" s="158" t="s">
        <v>525</v>
      </c>
      <c r="G174" s="159">
        <v>238601.89</v>
      </c>
      <c r="H174" s="159">
        <v>0</v>
      </c>
      <c r="I174" s="159">
        <v>113155.54</v>
      </c>
      <c r="J174" s="159">
        <v>47.4</v>
      </c>
      <c r="K174" t="str">
        <f>VLOOKUP($C174,Lists!$C$3:$M$118,7,FALSE)</f>
        <v>SOBO_RGB</v>
      </c>
      <c r="S174" s="4"/>
      <c r="T174" s="4"/>
      <c r="U174" s="5"/>
      <c r="V174" s="5"/>
    </row>
    <row r="175" spans="1:22" x14ac:dyDescent="0.25">
      <c r="A175" s="158" t="s">
        <v>541</v>
      </c>
      <c r="B175" s="158" t="s">
        <v>542</v>
      </c>
      <c r="C175" s="158" t="s">
        <v>88</v>
      </c>
      <c r="D175" s="158" t="s">
        <v>527</v>
      </c>
      <c r="E175" s="157">
        <v>288</v>
      </c>
      <c r="F175" s="158" t="s">
        <v>525</v>
      </c>
      <c r="G175" s="159">
        <v>828630.72</v>
      </c>
      <c r="H175" s="159">
        <v>0</v>
      </c>
      <c r="I175" s="159">
        <v>492621.12</v>
      </c>
      <c r="J175" s="159">
        <v>59.5</v>
      </c>
      <c r="K175" t="str">
        <f>VLOOKUP($C175,Lists!$C$3:$M$118,7,FALSE)</f>
        <v>SOBO_PET</v>
      </c>
      <c r="S175" s="4"/>
      <c r="T175" s="4"/>
      <c r="U175" s="5"/>
      <c r="V175" s="5"/>
    </row>
    <row r="176" spans="1:22" x14ac:dyDescent="0.25">
      <c r="A176" s="158" t="s">
        <v>541</v>
      </c>
      <c r="B176" s="158" t="s">
        <v>542</v>
      </c>
      <c r="C176" s="158" t="s">
        <v>47</v>
      </c>
      <c r="D176" s="158" t="s">
        <v>48</v>
      </c>
      <c r="E176" s="157">
        <v>71</v>
      </c>
      <c r="F176" s="158" t="s">
        <v>525</v>
      </c>
      <c r="G176" s="159">
        <v>286322.40999999997</v>
      </c>
      <c r="H176" s="159">
        <v>0</v>
      </c>
      <c r="I176" s="159">
        <v>127942.71</v>
      </c>
      <c r="J176" s="159">
        <v>44.7</v>
      </c>
      <c r="K176" t="str">
        <f>VLOOKUP($C176,Lists!$C$3:$M$118,7,FALSE)</f>
        <v>COKE_RGB</v>
      </c>
      <c r="S176" s="4"/>
      <c r="T176" s="4"/>
      <c r="U176" s="5"/>
      <c r="V176" s="5"/>
    </row>
    <row r="177" spans="1:22" x14ac:dyDescent="0.25">
      <c r="A177" s="158" t="s">
        <v>541</v>
      </c>
      <c r="B177" s="158" t="s">
        <v>542</v>
      </c>
      <c r="C177" s="158" t="s">
        <v>68</v>
      </c>
      <c r="D177" s="158" t="s">
        <v>534</v>
      </c>
      <c r="E177" s="157">
        <v>288</v>
      </c>
      <c r="F177" s="158" t="s">
        <v>525</v>
      </c>
      <c r="G177" s="159">
        <v>828630.72</v>
      </c>
      <c r="H177" s="159">
        <v>0</v>
      </c>
      <c r="I177" s="159">
        <v>411796.8</v>
      </c>
      <c r="J177" s="159">
        <v>49.7</v>
      </c>
      <c r="K177" t="str">
        <f>VLOOKUP($C177,Lists!$C$3:$M$118,7,FALSE)</f>
        <v>COKE_PET</v>
      </c>
      <c r="S177" s="4"/>
      <c r="T177" s="4"/>
      <c r="U177" s="5"/>
      <c r="V177" s="5"/>
    </row>
    <row r="178" spans="1:22" x14ac:dyDescent="0.25">
      <c r="A178" s="158" t="s">
        <v>541</v>
      </c>
      <c r="B178" s="158" t="s">
        <v>542</v>
      </c>
      <c r="C178" s="158" t="s">
        <v>49</v>
      </c>
      <c r="D178" s="158" t="s">
        <v>50</v>
      </c>
      <c r="E178" s="157">
        <v>934</v>
      </c>
      <c r="F178" s="158" t="s">
        <v>525</v>
      </c>
      <c r="G178" s="159">
        <v>9365572.9199999999</v>
      </c>
      <c r="H178" s="159">
        <v>0</v>
      </c>
      <c r="I178" s="159">
        <v>2982934.48</v>
      </c>
      <c r="J178" s="159">
        <v>31.8</v>
      </c>
      <c r="K178" t="str">
        <f>VLOOKUP($C178,Lists!$C$3:$M$118,7,FALSE)</f>
        <v>Squash</v>
      </c>
      <c r="S178" s="4"/>
      <c r="T178" s="4"/>
      <c r="U178" s="5"/>
      <c r="V178" s="5"/>
    </row>
    <row r="179" spans="1:22" x14ac:dyDescent="0.25">
      <c r="A179" s="158" t="s">
        <v>541</v>
      </c>
      <c r="B179" s="158" t="s">
        <v>542</v>
      </c>
      <c r="C179" s="158" t="s">
        <v>51</v>
      </c>
      <c r="D179" s="158" t="s">
        <v>52</v>
      </c>
      <c r="E179" s="157">
        <v>1439</v>
      </c>
      <c r="F179" s="158" t="s">
        <v>525</v>
      </c>
      <c r="G179" s="159">
        <v>14429399.82</v>
      </c>
      <c r="H179" s="159">
        <v>0</v>
      </c>
      <c r="I179" s="159">
        <v>4557356.16</v>
      </c>
      <c r="J179" s="159">
        <v>31.6</v>
      </c>
      <c r="K179" t="str">
        <f>VLOOKUP($C179,Lists!$C$3:$M$118,7,FALSE)</f>
        <v>Squash</v>
      </c>
      <c r="S179" s="4"/>
      <c r="T179" s="4"/>
      <c r="U179" s="5"/>
      <c r="V179" s="5"/>
    </row>
    <row r="180" spans="1:22" x14ac:dyDescent="0.25">
      <c r="A180" s="158" t="s">
        <v>541</v>
      </c>
      <c r="B180" s="158" t="s">
        <v>542</v>
      </c>
      <c r="C180" s="158" t="s">
        <v>26</v>
      </c>
      <c r="D180" s="158" t="s">
        <v>27</v>
      </c>
      <c r="E180" s="157">
        <v>576</v>
      </c>
      <c r="F180" s="158" t="s">
        <v>525</v>
      </c>
      <c r="G180" s="159">
        <v>1257062.3999999999</v>
      </c>
      <c r="H180" s="159">
        <v>0</v>
      </c>
      <c r="I180" s="159">
        <v>554204.16000000003</v>
      </c>
      <c r="J180" s="159">
        <v>44.1</v>
      </c>
      <c r="K180" t="str">
        <f>VLOOKUP($C180,Lists!$C$3:$M$118,7,FALSE)</f>
        <v>Water</v>
      </c>
      <c r="S180" s="4"/>
      <c r="T180" s="4"/>
      <c r="U180" s="5"/>
      <c r="V180" s="5"/>
    </row>
    <row r="181" spans="1:22" x14ac:dyDescent="0.25">
      <c r="A181" s="158" t="s">
        <v>543</v>
      </c>
      <c r="B181" s="158" t="s">
        <v>544</v>
      </c>
      <c r="C181" s="158" t="s">
        <v>20</v>
      </c>
      <c r="D181" s="158" t="s">
        <v>21</v>
      </c>
      <c r="E181" s="157">
        <v>285</v>
      </c>
      <c r="F181" s="158" t="s">
        <v>525</v>
      </c>
      <c r="G181" s="159">
        <v>1149322.3500000001</v>
      </c>
      <c r="H181" s="159">
        <v>0</v>
      </c>
      <c r="I181" s="159">
        <v>495332.85</v>
      </c>
      <c r="J181" s="159">
        <v>43.1</v>
      </c>
      <c r="K181" t="str">
        <f>VLOOKUP($C181,Lists!$C$3:$M$118,7,FALSE)</f>
        <v>COKE_RGB</v>
      </c>
      <c r="S181" s="4"/>
      <c r="T181" s="4"/>
      <c r="U181" s="5"/>
      <c r="V181" s="5"/>
    </row>
    <row r="182" spans="1:22" x14ac:dyDescent="0.25">
      <c r="A182" s="158" t="s">
        <v>543</v>
      </c>
      <c r="B182" s="158" t="s">
        <v>544</v>
      </c>
      <c r="C182" s="158" t="s">
        <v>28</v>
      </c>
      <c r="D182" s="158" t="s">
        <v>530</v>
      </c>
      <c r="E182" s="157">
        <v>431</v>
      </c>
      <c r="F182" s="158" t="s">
        <v>525</v>
      </c>
      <c r="G182" s="159">
        <v>1240068.8899999999</v>
      </c>
      <c r="H182" s="159">
        <v>0</v>
      </c>
      <c r="I182" s="159">
        <v>637078.34</v>
      </c>
      <c r="J182" s="159">
        <v>51.4</v>
      </c>
      <c r="K182" t="str">
        <f>VLOOKUP($C182,Lists!$C$3:$M$118,7,FALSE)</f>
        <v>COKE_PET</v>
      </c>
      <c r="S182" s="4"/>
      <c r="T182" s="4"/>
      <c r="U182" s="5"/>
      <c r="V182" s="5"/>
    </row>
    <row r="183" spans="1:22" x14ac:dyDescent="0.25">
      <c r="A183" s="158" t="s">
        <v>543</v>
      </c>
      <c r="B183" s="158" t="s">
        <v>544</v>
      </c>
      <c r="C183" s="158" t="s">
        <v>58</v>
      </c>
      <c r="D183" s="158" t="s">
        <v>537</v>
      </c>
      <c r="E183" s="157">
        <v>1292</v>
      </c>
      <c r="F183" s="158" t="s">
        <v>525</v>
      </c>
      <c r="G183" s="159">
        <v>3186278.72</v>
      </c>
      <c r="H183" s="159">
        <v>0</v>
      </c>
      <c r="I183" s="159">
        <v>1792133.2</v>
      </c>
      <c r="J183" s="159">
        <v>56.2</v>
      </c>
      <c r="K183" t="str">
        <f>VLOOKUP($C183,Lists!$C$3:$M$118,7,FALSE)</f>
        <v>SOBO_PET</v>
      </c>
      <c r="S183" s="4"/>
      <c r="T183" s="4"/>
      <c r="U183" s="5"/>
      <c r="V183" s="5"/>
    </row>
    <row r="184" spans="1:22" x14ac:dyDescent="0.25">
      <c r="A184" s="158" t="s">
        <v>543</v>
      </c>
      <c r="B184" s="158" t="s">
        <v>544</v>
      </c>
      <c r="C184" s="158" t="s">
        <v>78</v>
      </c>
      <c r="D184" s="158" t="s">
        <v>526</v>
      </c>
      <c r="E184" s="157">
        <v>432</v>
      </c>
      <c r="F184" s="158" t="s">
        <v>525</v>
      </c>
      <c r="G184" s="159">
        <v>1065381.1200000001</v>
      </c>
      <c r="H184" s="159">
        <v>0</v>
      </c>
      <c r="I184" s="159">
        <v>590811.84</v>
      </c>
      <c r="J184" s="159">
        <v>55.5</v>
      </c>
      <c r="K184" t="str">
        <f>VLOOKUP($C184,Lists!$C$3:$M$118,7,FALSE)</f>
        <v>SOBO_PET</v>
      </c>
      <c r="S184" s="4"/>
      <c r="T184" s="4"/>
      <c r="U184" s="5"/>
      <c r="V184" s="5"/>
    </row>
    <row r="185" spans="1:22" x14ac:dyDescent="0.25">
      <c r="A185" s="158" t="s">
        <v>543</v>
      </c>
      <c r="B185" s="158" t="s">
        <v>544</v>
      </c>
      <c r="C185" s="158" t="s">
        <v>22</v>
      </c>
      <c r="D185" s="158" t="s">
        <v>23</v>
      </c>
      <c r="E185" s="157">
        <v>144</v>
      </c>
      <c r="F185" s="158" t="s">
        <v>525</v>
      </c>
      <c r="G185" s="159">
        <v>580710.24</v>
      </c>
      <c r="H185" s="159">
        <v>0</v>
      </c>
      <c r="I185" s="159">
        <v>240370.56</v>
      </c>
      <c r="J185" s="159">
        <v>41.4</v>
      </c>
      <c r="K185" t="str">
        <f>VLOOKUP($C185,Lists!$C$3:$M$118,7,FALSE)</f>
        <v>COKE_RGB</v>
      </c>
      <c r="S185" s="4"/>
      <c r="T185" s="4"/>
      <c r="U185" s="5"/>
      <c r="V185" s="5"/>
    </row>
    <row r="186" spans="1:22" x14ac:dyDescent="0.25">
      <c r="A186" s="158" t="s">
        <v>543</v>
      </c>
      <c r="B186" s="158" t="s">
        <v>544</v>
      </c>
      <c r="C186" s="158" t="s">
        <v>88</v>
      </c>
      <c r="D186" s="158" t="s">
        <v>527</v>
      </c>
      <c r="E186" s="157">
        <v>859</v>
      </c>
      <c r="F186" s="158" t="s">
        <v>525</v>
      </c>
      <c r="G186" s="159">
        <v>2471506.21</v>
      </c>
      <c r="H186" s="159">
        <v>0</v>
      </c>
      <c r="I186" s="159">
        <v>1469310.91</v>
      </c>
      <c r="J186" s="159">
        <v>59.5</v>
      </c>
      <c r="K186" t="str">
        <f>VLOOKUP($C186,Lists!$C$3:$M$118,7,FALSE)</f>
        <v>SOBO_PET</v>
      </c>
      <c r="S186" s="4"/>
      <c r="T186" s="4"/>
      <c r="U186" s="5"/>
      <c r="V186" s="5"/>
    </row>
    <row r="187" spans="1:22" x14ac:dyDescent="0.25">
      <c r="A187" s="158" t="s">
        <v>543</v>
      </c>
      <c r="B187" s="158" t="s">
        <v>544</v>
      </c>
      <c r="C187" s="158" t="s">
        <v>47</v>
      </c>
      <c r="D187" s="158" t="s">
        <v>48</v>
      </c>
      <c r="E187" s="157">
        <v>0</v>
      </c>
      <c r="F187" s="158" t="s">
        <v>525</v>
      </c>
      <c r="G187" s="159">
        <v>0</v>
      </c>
      <c r="H187" s="159">
        <v>0</v>
      </c>
      <c r="I187" s="159">
        <v>0</v>
      </c>
      <c r="J187" s="159">
        <v>0</v>
      </c>
      <c r="K187" t="str">
        <f>VLOOKUP($C187,Lists!$C$3:$M$118,7,FALSE)</f>
        <v>COKE_RGB</v>
      </c>
      <c r="S187" s="4"/>
      <c r="T187" s="4"/>
      <c r="U187" s="5"/>
      <c r="V187" s="5"/>
    </row>
    <row r="188" spans="1:22" x14ac:dyDescent="0.25">
      <c r="A188" s="158" t="s">
        <v>543</v>
      </c>
      <c r="B188" s="158" t="s">
        <v>544</v>
      </c>
      <c r="C188" s="158" t="s">
        <v>68</v>
      </c>
      <c r="D188" s="158" t="s">
        <v>534</v>
      </c>
      <c r="E188" s="157">
        <v>1294</v>
      </c>
      <c r="F188" s="158" t="s">
        <v>525</v>
      </c>
      <c r="G188" s="159">
        <v>3723083.86</v>
      </c>
      <c r="H188" s="159">
        <v>0</v>
      </c>
      <c r="I188" s="159">
        <v>1850225.9</v>
      </c>
      <c r="J188" s="159">
        <v>49.7</v>
      </c>
      <c r="K188" t="str">
        <f>VLOOKUP($C188,Lists!$C$3:$M$118,7,FALSE)</f>
        <v>COKE_PET</v>
      </c>
      <c r="S188" s="4"/>
      <c r="T188" s="4"/>
      <c r="U188" s="5"/>
      <c r="V188" s="5"/>
    </row>
    <row r="189" spans="1:22" x14ac:dyDescent="0.25">
      <c r="A189" s="158" t="s">
        <v>543</v>
      </c>
      <c r="B189" s="158" t="s">
        <v>544</v>
      </c>
      <c r="C189" s="158" t="s">
        <v>49</v>
      </c>
      <c r="D189" s="158" t="s">
        <v>50</v>
      </c>
      <c r="E189" s="157">
        <v>576</v>
      </c>
      <c r="F189" s="158" t="s">
        <v>525</v>
      </c>
      <c r="G189" s="159">
        <v>5775770.8799999999</v>
      </c>
      <c r="H189" s="159">
        <v>0</v>
      </c>
      <c r="I189" s="159">
        <v>1839582.72</v>
      </c>
      <c r="J189" s="159">
        <v>31.8</v>
      </c>
      <c r="K189" t="str">
        <f>VLOOKUP($C189,Lists!$C$3:$M$118,7,FALSE)</f>
        <v>Squash</v>
      </c>
      <c r="S189" s="4"/>
      <c r="T189" s="4"/>
      <c r="U189" s="5"/>
      <c r="V189" s="5"/>
    </row>
    <row r="190" spans="1:22" x14ac:dyDescent="0.25">
      <c r="A190" s="158" t="s">
        <v>543</v>
      </c>
      <c r="B190" s="158" t="s">
        <v>544</v>
      </c>
      <c r="C190" s="158" t="s">
        <v>51</v>
      </c>
      <c r="D190" s="158" t="s">
        <v>52</v>
      </c>
      <c r="E190" s="157">
        <v>1078</v>
      </c>
      <c r="F190" s="158" t="s">
        <v>525</v>
      </c>
      <c r="G190" s="159">
        <v>10809515.640000001</v>
      </c>
      <c r="H190" s="159">
        <v>0</v>
      </c>
      <c r="I190" s="159">
        <v>3414058.34</v>
      </c>
      <c r="J190" s="159">
        <v>31.6</v>
      </c>
      <c r="K190" t="str">
        <f>VLOOKUP($C190,Lists!$C$3:$M$118,7,FALSE)</f>
        <v>Squash</v>
      </c>
      <c r="S190" s="4"/>
      <c r="T190" s="4"/>
      <c r="U190" s="5"/>
      <c r="V190" s="5"/>
    </row>
    <row r="191" spans="1:22" x14ac:dyDescent="0.25">
      <c r="A191" s="158" t="s">
        <v>545</v>
      </c>
      <c r="B191" s="158" t="s">
        <v>546</v>
      </c>
      <c r="C191" s="158" t="s">
        <v>20</v>
      </c>
      <c r="D191" s="158" t="s">
        <v>21</v>
      </c>
      <c r="E191" s="157">
        <v>717</v>
      </c>
      <c r="F191" s="158" t="s">
        <v>525</v>
      </c>
      <c r="G191" s="159">
        <v>2891453.07</v>
      </c>
      <c r="H191" s="159">
        <v>0</v>
      </c>
      <c r="I191" s="159">
        <v>1246153.17</v>
      </c>
      <c r="J191" s="159">
        <v>43.1</v>
      </c>
      <c r="K191" t="str">
        <f>VLOOKUP($C191,Lists!$C$3:$M$118,7,FALSE)</f>
        <v>COKE_RGB</v>
      </c>
      <c r="S191" s="4"/>
      <c r="T191" s="4"/>
      <c r="U191" s="5"/>
      <c r="V191" s="5"/>
    </row>
    <row r="192" spans="1:22" x14ac:dyDescent="0.25">
      <c r="A192" s="158" t="s">
        <v>545</v>
      </c>
      <c r="B192" s="158" t="s">
        <v>546</v>
      </c>
      <c r="C192" s="158" t="s">
        <v>28</v>
      </c>
      <c r="D192" s="158" t="s">
        <v>530</v>
      </c>
      <c r="E192" s="157">
        <v>1007</v>
      </c>
      <c r="F192" s="158" t="s">
        <v>525</v>
      </c>
      <c r="G192" s="159">
        <v>2897330.33</v>
      </c>
      <c r="H192" s="159">
        <v>0</v>
      </c>
      <c r="I192" s="159">
        <v>1488486.98</v>
      </c>
      <c r="J192" s="159">
        <v>51.4</v>
      </c>
      <c r="K192" t="str">
        <f>VLOOKUP($C192,Lists!$C$3:$M$118,7,FALSE)</f>
        <v>COKE_PET</v>
      </c>
      <c r="S192" s="4"/>
      <c r="T192" s="4"/>
      <c r="U192" s="5"/>
      <c r="V192" s="5"/>
    </row>
    <row r="193" spans="1:22" x14ac:dyDescent="0.25">
      <c r="A193" s="158" t="s">
        <v>545</v>
      </c>
      <c r="B193" s="158" t="s">
        <v>546</v>
      </c>
      <c r="C193" s="158" t="s">
        <v>58</v>
      </c>
      <c r="D193" s="158" t="s">
        <v>537</v>
      </c>
      <c r="E193" s="157">
        <v>576</v>
      </c>
      <c r="F193" s="158" t="s">
        <v>525</v>
      </c>
      <c r="G193" s="159">
        <v>1420508.1599999999</v>
      </c>
      <c r="H193" s="159">
        <v>0</v>
      </c>
      <c r="I193" s="159">
        <v>798969.6</v>
      </c>
      <c r="J193" s="159">
        <v>56.2</v>
      </c>
      <c r="K193" t="str">
        <f>VLOOKUP($C193,Lists!$C$3:$M$118,7,FALSE)</f>
        <v>SOBO_PET</v>
      </c>
      <c r="S193" s="4"/>
      <c r="T193" s="4"/>
      <c r="U193" s="5"/>
      <c r="V193" s="5"/>
    </row>
    <row r="194" spans="1:22" x14ac:dyDescent="0.25">
      <c r="A194" s="158" t="s">
        <v>545</v>
      </c>
      <c r="B194" s="158" t="s">
        <v>546</v>
      </c>
      <c r="C194" s="158" t="s">
        <v>78</v>
      </c>
      <c r="D194" s="158" t="s">
        <v>526</v>
      </c>
      <c r="E194" s="157">
        <v>288</v>
      </c>
      <c r="F194" s="158" t="s">
        <v>525</v>
      </c>
      <c r="G194" s="159">
        <v>710254.07999999996</v>
      </c>
      <c r="H194" s="159">
        <v>0</v>
      </c>
      <c r="I194" s="159">
        <v>393874.56</v>
      </c>
      <c r="J194" s="159">
        <v>55.5</v>
      </c>
      <c r="K194" t="str">
        <f>VLOOKUP($C194,Lists!$C$3:$M$118,7,FALSE)</f>
        <v>SOBO_PET</v>
      </c>
      <c r="S194" s="4"/>
      <c r="T194" s="4"/>
      <c r="U194" s="5"/>
      <c r="V194" s="5"/>
    </row>
    <row r="195" spans="1:22" x14ac:dyDescent="0.25">
      <c r="A195" s="158" t="s">
        <v>545</v>
      </c>
      <c r="B195" s="158" t="s">
        <v>546</v>
      </c>
      <c r="C195" s="158" t="s">
        <v>22</v>
      </c>
      <c r="D195" s="158" t="s">
        <v>23</v>
      </c>
      <c r="E195" s="157">
        <v>402</v>
      </c>
      <c r="F195" s="158" t="s">
        <v>525</v>
      </c>
      <c r="G195" s="159">
        <v>1621149.42</v>
      </c>
      <c r="H195" s="159">
        <v>0</v>
      </c>
      <c r="I195" s="159">
        <v>671034.48</v>
      </c>
      <c r="J195" s="159">
        <v>41.4</v>
      </c>
      <c r="K195" t="str">
        <f>VLOOKUP($C195,Lists!$C$3:$M$118,7,FALSE)</f>
        <v>COKE_RGB</v>
      </c>
      <c r="S195" s="4"/>
      <c r="T195" s="4"/>
      <c r="U195" s="5"/>
      <c r="V195" s="5"/>
    </row>
    <row r="196" spans="1:22" x14ac:dyDescent="0.25">
      <c r="A196" s="158" t="s">
        <v>545</v>
      </c>
      <c r="B196" s="158" t="s">
        <v>546</v>
      </c>
      <c r="C196" s="158" t="s">
        <v>67</v>
      </c>
      <c r="D196" s="158" t="s">
        <v>533</v>
      </c>
      <c r="E196" s="157">
        <v>861</v>
      </c>
      <c r="F196" s="158" t="s">
        <v>525</v>
      </c>
      <c r="G196" s="159">
        <v>2477260.59</v>
      </c>
      <c r="H196" s="159">
        <v>0</v>
      </c>
      <c r="I196" s="159">
        <v>1242345.51</v>
      </c>
      <c r="J196" s="159">
        <v>50.1</v>
      </c>
      <c r="K196" t="str">
        <f>VLOOKUP($C196,Lists!$C$3:$M$118,7,FALSE)</f>
        <v>COKE_PET</v>
      </c>
      <c r="S196" s="4"/>
      <c r="T196" s="4"/>
      <c r="U196" s="5"/>
      <c r="V196" s="5"/>
    </row>
    <row r="197" spans="1:22" x14ac:dyDescent="0.25">
      <c r="A197" s="158" t="s">
        <v>545</v>
      </c>
      <c r="B197" s="158" t="s">
        <v>546</v>
      </c>
      <c r="C197" s="158" t="s">
        <v>261</v>
      </c>
      <c r="D197" s="158" t="s">
        <v>538</v>
      </c>
      <c r="E197" s="157">
        <v>71</v>
      </c>
      <c r="F197" s="158" t="s">
        <v>525</v>
      </c>
      <c r="G197" s="159">
        <v>286322.40999999997</v>
      </c>
      <c r="H197" s="159">
        <v>0</v>
      </c>
      <c r="I197" s="159">
        <v>118516.04</v>
      </c>
      <c r="J197" s="159">
        <v>41.4</v>
      </c>
      <c r="K197" t="str">
        <f>VLOOKUP($C197,Lists!$C$3:$M$118,7,FALSE)</f>
        <v>COKE_RGB</v>
      </c>
      <c r="S197" s="4"/>
      <c r="T197" s="4"/>
      <c r="U197" s="5"/>
      <c r="V197" s="5"/>
    </row>
    <row r="198" spans="1:22" x14ac:dyDescent="0.25">
      <c r="A198" s="158" t="s">
        <v>545</v>
      </c>
      <c r="B198" s="158" t="s">
        <v>546</v>
      </c>
      <c r="C198" s="158" t="s">
        <v>37</v>
      </c>
      <c r="D198" s="158" t="s">
        <v>38</v>
      </c>
      <c r="E198" s="157">
        <v>427</v>
      </c>
      <c r="F198" s="158" t="s">
        <v>525</v>
      </c>
      <c r="G198" s="159">
        <v>1434971.93</v>
      </c>
      <c r="H198" s="159">
        <v>0</v>
      </c>
      <c r="I198" s="159">
        <v>686359.8</v>
      </c>
      <c r="J198" s="159">
        <v>47.8</v>
      </c>
      <c r="K198" t="str">
        <f>VLOOKUP($C198,Lists!$C$3:$M$118,7,FALSE)</f>
        <v>SOBO_RGB</v>
      </c>
      <c r="S198" s="4"/>
      <c r="T198" s="4"/>
      <c r="U198" s="5"/>
      <c r="V198" s="5"/>
    </row>
    <row r="199" spans="1:22" x14ac:dyDescent="0.25">
      <c r="A199" s="158" t="s">
        <v>545</v>
      </c>
      <c r="B199" s="158" t="s">
        <v>546</v>
      </c>
      <c r="C199" s="158" t="s">
        <v>39</v>
      </c>
      <c r="D199" s="158" t="s">
        <v>40</v>
      </c>
      <c r="E199" s="157">
        <v>428</v>
      </c>
      <c r="F199" s="158" t="s">
        <v>525</v>
      </c>
      <c r="G199" s="159">
        <v>1438332.52</v>
      </c>
      <c r="H199" s="159">
        <v>0</v>
      </c>
      <c r="I199" s="159">
        <v>682120.72</v>
      </c>
      <c r="J199" s="159">
        <v>47.4</v>
      </c>
      <c r="K199" t="str">
        <f>VLOOKUP($C199,Lists!$C$3:$M$118,7,FALSE)</f>
        <v>SOBO_RGB</v>
      </c>
      <c r="S199" s="4"/>
      <c r="T199" s="4"/>
      <c r="U199" s="5"/>
      <c r="V199" s="5"/>
    </row>
    <row r="200" spans="1:22" x14ac:dyDescent="0.25">
      <c r="A200" s="158" t="s">
        <v>545</v>
      </c>
      <c r="B200" s="158" t="s">
        <v>546</v>
      </c>
      <c r="C200" s="158" t="s">
        <v>88</v>
      </c>
      <c r="D200" s="158" t="s">
        <v>527</v>
      </c>
      <c r="E200" s="157">
        <v>288</v>
      </c>
      <c r="F200" s="158" t="s">
        <v>525</v>
      </c>
      <c r="G200" s="159">
        <v>828630.72</v>
      </c>
      <c r="H200" s="159">
        <v>0</v>
      </c>
      <c r="I200" s="159">
        <v>492621.12</v>
      </c>
      <c r="J200" s="159">
        <v>59.5</v>
      </c>
      <c r="K200" t="str">
        <f>VLOOKUP($C200,Lists!$C$3:$M$118,7,FALSE)</f>
        <v>SOBO_PET</v>
      </c>
      <c r="S200" s="4"/>
      <c r="T200" s="4"/>
      <c r="U200" s="5"/>
      <c r="V200" s="5"/>
    </row>
    <row r="201" spans="1:22" x14ac:dyDescent="0.25">
      <c r="A201" s="158" t="s">
        <v>545</v>
      </c>
      <c r="B201" s="158" t="s">
        <v>546</v>
      </c>
      <c r="C201" s="158" t="s">
        <v>45</v>
      </c>
      <c r="D201" s="158" t="s">
        <v>46</v>
      </c>
      <c r="E201" s="157">
        <v>71</v>
      </c>
      <c r="F201" s="158" t="s">
        <v>525</v>
      </c>
      <c r="G201" s="159">
        <v>286322.40999999997</v>
      </c>
      <c r="H201" s="159">
        <v>0</v>
      </c>
      <c r="I201" s="159">
        <v>143714.65</v>
      </c>
      <c r="J201" s="159">
        <v>50.2</v>
      </c>
      <c r="K201" t="str">
        <f>VLOOKUP($C201,Lists!$C$3:$M$118,7,FALSE)</f>
        <v>SOBO_RGB</v>
      </c>
      <c r="S201" s="4"/>
      <c r="T201" s="4"/>
      <c r="U201" s="5"/>
      <c r="V201" s="5"/>
    </row>
    <row r="202" spans="1:22" x14ac:dyDescent="0.25">
      <c r="A202" s="158" t="s">
        <v>545</v>
      </c>
      <c r="B202" s="158" t="s">
        <v>546</v>
      </c>
      <c r="C202" s="158" t="s">
        <v>47</v>
      </c>
      <c r="D202" s="158" t="s">
        <v>48</v>
      </c>
      <c r="E202" s="157">
        <v>142</v>
      </c>
      <c r="F202" s="158" t="s">
        <v>525</v>
      </c>
      <c r="G202" s="159">
        <v>572644.81999999995</v>
      </c>
      <c r="H202" s="159">
        <v>0</v>
      </c>
      <c r="I202" s="159">
        <v>255885.42</v>
      </c>
      <c r="J202" s="159">
        <v>44.7</v>
      </c>
      <c r="K202" t="str">
        <f>VLOOKUP($C202,Lists!$C$3:$M$118,7,FALSE)</f>
        <v>COKE_RGB</v>
      </c>
      <c r="S202" s="4"/>
      <c r="T202" s="4"/>
      <c r="U202" s="5"/>
      <c r="V202" s="5"/>
    </row>
    <row r="203" spans="1:22" x14ac:dyDescent="0.25">
      <c r="A203" s="158" t="s">
        <v>545</v>
      </c>
      <c r="B203" s="158" t="s">
        <v>546</v>
      </c>
      <c r="C203" s="158" t="s">
        <v>68</v>
      </c>
      <c r="D203" s="158" t="s">
        <v>534</v>
      </c>
      <c r="E203" s="157">
        <v>576</v>
      </c>
      <c r="F203" s="158" t="s">
        <v>525</v>
      </c>
      <c r="G203" s="159">
        <v>1657261.44</v>
      </c>
      <c r="H203" s="159">
        <v>0</v>
      </c>
      <c r="I203" s="159">
        <v>823593.6</v>
      </c>
      <c r="J203" s="159">
        <v>49.7</v>
      </c>
      <c r="K203" t="str">
        <f>VLOOKUP($C203,Lists!$C$3:$M$118,7,FALSE)</f>
        <v>COKE_PET</v>
      </c>
      <c r="S203" s="4"/>
      <c r="T203" s="4"/>
      <c r="U203" s="5"/>
      <c r="V203" s="5"/>
    </row>
    <row r="204" spans="1:22" x14ac:dyDescent="0.25">
      <c r="A204" s="158" t="s">
        <v>545</v>
      </c>
      <c r="B204" s="158" t="s">
        <v>546</v>
      </c>
      <c r="C204" s="158" t="s">
        <v>49</v>
      </c>
      <c r="D204" s="158" t="s">
        <v>50</v>
      </c>
      <c r="E204" s="157">
        <v>501</v>
      </c>
      <c r="F204" s="158" t="s">
        <v>525</v>
      </c>
      <c r="G204" s="159">
        <v>5023717.38</v>
      </c>
      <c r="H204" s="159">
        <v>0</v>
      </c>
      <c r="I204" s="159">
        <v>1600053.72</v>
      </c>
      <c r="J204" s="159">
        <v>31.8</v>
      </c>
      <c r="K204" t="str">
        <f>VLOOKUP($C204,Lists!$C$3:$M$118,7,FALSE)</f>
        <v>Squash</v>
      </c>
      <c r="S204" s="4"/>
      <c r="T204" s="4"/>
      <c r="U204" s="5"/>
      <c r="V204" s="5"/>
    </row>
    <row r="205" spans="1:22" x14ac:dyDescent="0.25">
      <c r="A205" s="158" t="s">
        <v>545</v>
      </c>
      <c r="B205" s="158" t="s">
        <v>546</v>
      </c>
      <c r="C205" s="158" t="s">
        <v>51</v>
      </c>
      <c r="D205" s="158" t="s">
        <v>52</v>
      </c>
      <c r="E205" s="157">
        <v>935</v>
      </c>
      <c r="F205" s="158" t="s">
        <v>525</v>
      </c>
      <c r="G205" s="159">
        <v>9375600.3000000007</v>
      </c>
      <c r="H205" s="159">
        <v>0</v>
      </c>
      <c r="I205" s="159">
        <v>2961173.05</v>
      </c>
      <c r="J205" s="159">
        <v>31.6</v>
      </c>
      <c r="K205" t="str">
        <f>VLOOKUP($C205,Lists!$C$3:$M$118,7,FALSE)</f>
        <v>Squash</v>
      </c>
      <c r="S205" s="4"/>
      <c r="T205" s="4"/>
      <c r="U205" s="5"/>
      <c r="V205" s="5"/>
    </row>
    <row r="206" spans="1:22" x14ac:dyDescent="0.25">
      <c r="A206" s="158" t="s">
        <v>545</v>
      </c>
      <c r="B206" s="158" t="s">
        <v>546</v>
      </c>
      <c r="C206" s="158" t="s">
        <v>26</v>
      </c>
      <c r="D206" s="158" t="s">
        <v>27</v>
      </c>
      <c r="E206" s="157">
        <v>1007</v>
      </c>
      <c r="F206" s="158" t="s">
        <v>525</v>
      </c>
      <c r="G206" s="159">
        <v>2197676.7999999998</v>
      </c>
      <c r="H206" s="159">
        <v>0</v>
      </c>
      <c r="I206" s="159">
        <v>968895.12</v>
      </c>
      <c r="J206" s="159">
        <v>44.1</v>
      </c>
      <c r="K206" t="str">
        <f>VLOOKUP($C206,Lists!$C$3:$M$118,7,FALSE)</f>
        <v>Water</v>
      </c>
      <c r="S206" s="4"/>
      <c r="T206" s="4"/>
      <c r="U206" s="5"/>
      <c r="V206" s="5"/>
    </row>
    <row r="207" spans="1:22" x14ac:dyDescent="0.25">
      <c r="A207" s="158" t="s">
        <v>547</v>
      </c>
      <c r="B207" s="158" t="s">
        <v>548</v>
      </c>
      <c r="C207" s="158" t="s">
        <v>49</v>
      </c>
      <c r="D207" s="158" t="s">
        <v>50</v>
      </c>
      <c r="E207" s="157">
        <v>72</v>
      </c>
      <c r="F207" s="158" t="s">
        <v>525</v>
      </c>
      <c r="G207" s="159">
        <v>721971.36</v>
      </c>
      <c r="H207" s="159">
        <v>0</v>
      </c>
      <c r="I207" s="159">
        <v>229947.84</v>
      </c>
      <c r="J207" s="159">
        <v>31.8</v>
      </c>
      <c r="K207" t="str">
        <f>VLOOKUP($C207,Lists!$C$3:$M$118,7,FALSE)</f>
        <v>Squash</v>
      </c>
      <c r="S207" s="4"/>
      <c r="T207" s="4"/>
      <c r="U207" s="5"/>
      <c r="V207" s="5"/>
    </row>
    <row r="208" spans="1:22" x14ac:dyDescent="0.25">
      <c r="A208" s="158" t="s">
        <v>547</v>
      </c>
      <c r="B208" s="158" t="s">
        <v>548</v>
      </c>
      <c r="C208" s="158" t="s">
        <v>51</v>
      </c>
      <c r="D208" s="158" t="s">
        <v>52</v>
      </c>
      <c r="E208" s="157">
        <v>72</v>
      </c>
      <c r="F208" s="158" t="s">
        <v>525</v>
      </c>
      <c r="G208" s="159">
        <v>721971.36</v>
      </c>
      <c r="H208" s="159">
        <v>0</v>
      </c>
      <c r="I208" s="159">
        <v>228026.16</v>
      </c>
      <c r="J208" s="159">
        <v>31.6</v>
      </c>
      <c r="K208" t="str">
        <f>VLOOKUP($C208,Lists!$C$3:$M$118,7,FALSE)</f>
        <v>Squash</v>
      </c>
      <c r="S208" s="4"/>
      <c r="T208" s="4"/>
      <c r="U208" s="5"/>
      <c r="V208" s="5"/>
    </row>
    <row r="209" spans="1:22" x14ac:dyDescent="0.25">
      <c r="A209" s="158" t="s">
        <v>549</v>
      </c>
      <c r="B209" s="158" t="s">
        <v>550</v>
      </c>
      <c r="C209" s="158" t="s">
        <v>12</v>
      </c>
      <c r="D209" s="158" t="s">
        <v>13</v>
      </c>
      <c r="E209" s="157">
        <v>72</v>
      </c>
      <c r="F209" s="158" t="s">
        <v>525</v>
      </c>
      <c r="G209" s="159">
        <v>472265.28</v>
      </c>
      <c r="H209" s="159">
        <v>0</v>
      </c>
      <c r="I209" s="159">
        <v>211319.28</v>
      </c>
      <c r="J209" s="159">
        <v>44.7</v>
      </c>
      <c r="K209" t="str">
        <f>VLOOKUP($C209,Lists!$C$3:$M$118,7,FALSE)</f>
        <v>Beers</v>
      </c>
      <c r="S209" s="4"/>
      <c r="T209" s="4"/>
      <c r="U209" s="5"/>
      <c r="V209" s="5"/>
    </row>
    <row r="210" spans="1:22" x14ac:dyDescent="0.25">
      <c r="A210" s="158" t="s">
        <v>549</v>
      </c>
      <c r="B210" s="158" t="s">
        <v>550</v>
      </c>
      <c r="C210" s="158" t="s">
        <v>14</v>
      </c>
      <c r="D210" s="158" t="s">
        <v>15</v>
      </c>
      <c r="E210" s="157">
        <v>72</v>
      </c>
      <c r="F210" s="158" t="s">
        <v>525</v>
      </c>
      <c r="G210" s="159">
        <v>566717.76</v>
      </c>
      <c r="H210" s="159">
        <v>0</v>
      </c>
      <c r="I210" s="159">
        <v>285170.40000000002</v>
      </c>
      <c r="J210" s="159">
        <v>50.3</v>
      </c>
      <c r="K210" t="str">
        <f>VLOOKUP($C210,Lists!$C$3:$M$118,7,FALSE)</f>
        <v>Beers</v>
      </c>
      <c r="S210" s="4"/>
      <c r="T210" s="4"/>
      <c r="U210" s="5"/>
      <c r="V210" s="5"/>
    </row>
    <row r="211" spans="1:22" x14ac:dyDescent="0.25">
      <c r="A211" s="158" t="s">
        <v>549</v>
      </c>
      <c r="B211" s="158" t="s">
        <v>550</v>
      </c>
      <c r="C211" s="158" t="s">
        <v>20</v>
      </c>
      <c r="D211" s="158" t="s">
        <v>21</v>
      </c>
      <c r="E211" s="157">
        <v>72</v>
      </c>
      <c r="F211" s="158" t="s">
        <v>525</v>
      </c>
      <c r="G211" s="159">
        <v>290355.12</v>
      </c>
      <c r="H211" s="159">
        <v>0</v>
      </c>
      <c r="I211" s="159">
        <v>125136.71</v>
      </c>
      <c r="J211" s="159">
        <v>43.1</v>
      </c>
      <c r="K211" t="str">
        <f>VLOOKUP($C211,Lists!$C$3:$M$118,7,FALSE)</f>
        <v>COKE_RGB</v>
      </c>
      <c r="S211" s="4"/>
      <c r="T211" s="4"/>
      <c r="U211" s="5"/>
      <c r="V211" s="5"/>
    </row>
    <row r="212" spans="1:22" x14ac:dyDescent="0.25">
      <c r="A212" s="158" t="s">
        <v>549</v>
      </c>
      <c r="B212" s="158" t="s">
        <v>550</v>
      </c>
      <c r="C212" s="158" t="s">
        <v>58</v>
      </c>
      <c r="D212" s="158" t="s">
        <v>537</v>
      </c>
      <c r="E212" s="157">
        <v>144</v>
      </c>
      <c r="F212" s="158" t="s">
        <v>525</v>
      </c>
      <c r="G212" s="159">
        <v>355127.03999999998</v>
      </c>
      <c r="H212" s="159">
        <v>0</v>
      </c>
      <c r="I212" s="159">
        <v>199742.4</v>
      </c>
      <c r="J212" s="159">
        <v>56.2</v>
      </c>
      <c r="K212" t="str">
        <f>VLOOKUP($C212,Lists!$C$3:$M$118,7,FALSE)</f>
        <v>SOBO_PET</v>
      </c>
      <c r="S212" s="4"/>
      <c r="T212" s="4"/>
      <c r="U212" s="5"/>
      <c r="V212" s="5"/>
    </row>
    <row r="213" spans="1:22" x14ac:dyDescent="0.25">
      <c r="A213" s="158" t="s">
        <v>549</v>
      </c>
      <c r="B213" s="158" t="s">
        <v>550</v>
      </c>
      <c r="C213" s="158" t="s">
        <v>22</v>
      </c>
      <c r="D213" s="158" t="s">
        <v>23</v>
      </c>
      <c r="E213" s="157">
        <v>72</v>
      </c>
      <c r="F213" s="158" t="s">
        <v>525</v>
      </c>
      <c r="G213" s="159">
        <v>290355.12</v>
      </c>
      <c r="H213" s="159">
        <v>0</v>
      </c>
      <c r="I213" s="159">
        <v>120185.28</v>
      </c>
      <c r="J213" s="159">
        <v>41.4</v>
      </c>
      <c r="K213" t="str">
        <f>VLOOKUP($C213,Lists!$C$3:$M$118,7,FALSE)</f>
        <v>COKE_RGB</v>
      </c>
      <c r="S213" s="4"/>
      <c r="T213" s="4"/>
      <c r="U213" s="5"/>
      <c r="V213" s="5"/>
    </row>
    <row r="214" spans="1:22" x14ac:dyDescent="0.25">
      <c r="A214" s="158" t="s">
        <v>549</v>
      </c>
      <c r="B214" s="158" t="s">
        <v>550</v>
      </c>
      <c r="C214" s="158" t="s">
        <v>29</v>
      </c>
      <c r="D214" s="158" t="s">
        <v>30</v>
      </c>
      <c r="E214" s="157">
        <v>144</v>
      </c>
      <c r="F214" s="158" t="s">
        <v>525</v>
      </c>
      <c r="G214" s="159">
        <v>5338208.16</v>
      </c>
      <c r="H214" s="159">
        <v>0</v>
      </c>
      <c r="I214" s="159">
        <v>1594208.16</v>
      </c>
      <c r="J214" s="159">
        <v>29.9</v>
      </c>
      <c r="K214" t="str">
        <f>VLOOKUP($C214,Lists!$C$3:$M$118,7,FALSE)</f>
        <v>Spirits</v>
      </c>
      <c r="S214" s="4"/>
      <c r="T214" s="4"/>
      <c r="U214" s="5"/>
      <c r="V214" s="5"/>
    </row>
    <row r="215" spans="1:22" x14ac:dyDescent="0.25">
      <c r="A215" s="158" t="s">
        <v>549</v>
      </c>
      <c r="B215" s="158" t="s">
        <v>550</v>
      </c>
      <c r="C215" s="158" t="s">
        <v>31</v>
      </c>
      <c r="D215" s="158" t="s">
        <v>32</v>
      </c>
      <c r="E215" s="157">
        <v>2</v>
      </c>
      <c r="F215" s="158" t="s">
        <v>525</v>
      </c>
      <c r="G215" s="159">
        <v>69602.48</v>
      </c>
      <c r="H215" s="159">
        <v>0</v>
      </c>
      <c r="I215" s="159">
        <v>21602.48</v>
      </c>
      <c r="J215" s="159">
        <v>31</v>
      </c>
      <c r="K215" t="str">
        <f>VLOOKUP($C215,Lists!$C$3:$M$118,7,FALSE)</f>
        <v>Spirits</v>
      </c>
      <c r="S215" s="4"/>
      <c r="T215" s="4"/>
      <c r="U215" s="5"/>
      <c r="V215" s="5"/>
    </row>
    <row r="216" spans="1:22" x14ac:dyDescent="0.25">
      <c r="A216" s="158" t="s">
        <v>549</v>
      </c>
      <c r="B216" s="158" t="s">
        <v>550</v>
      </c>
      <c r="C216" s="158" t="s">
        <v>37</v>
      </c>
      <c r="D216" s="158" t="s">
        <v>38</v>
      </c>
      <c r="E216" s="157">
        <v>0</v>
      </c>
      <c r="F216" s="158" t="s">
        <v>525</v>
      </c>
      <c r="G216" s="159">
        <v>0</v>
      </c>
      <c r="H216" s="159">
        <v>0</v>
      </c>
      <c r="I216" s="159">
        <v>0</v>
      </c>
      <c r="J216" s="159">
        <v>0</v>
      </c>
      <c r="K216" t="str">
        <f>VLOOKUP($C216,Lists!$C$3:$M$118,7,FALSE)</f>
        <v>SOBO_RGB</v>
      </c>
      <c r="S216" s="4"/>
      <c r="T216" s="4"/>
      <c r="U216" s="5"/>
      <c r="V216" s="5"/>
    </row>
    <row r="217" spans="1:22" x14ac:dyDescent="0.25">
      <c r="A217" s="158" t="s">
        <v>549</v>
      </c>
      <c r="B217" s="158" t="s">
        <v>550</v>
      </c>
      <c r="C217" s="158" t="s">
        <v>39</v>
      </c>
      <c r="D217" s="158" t="s">
        <v>40</v>
      </c>
      <c r="E217" s="157">
        <v>72</v>
      </c>
      <c r="F217" s="158" t="s">
        <v>525</v>
      </c>
      <c r="G217" s="159">
        <v>241962.48</v>
      </c>
      <c r="H217" s="159">
        <v>0</v>
      </c>
      <c r="I217" s="159">
        <v>114749.28</v>
      </c>
      <c r="J217" s="159">
        <v>47.4</v>
      </c>
      <c r="K217" t="str">
        <f>VLOOKUP($C217,Lists!$C$3:$M$118,7,FALSE)</f>
        <v>SOBO_RGB</v>
      </c>
      <c r="S217" s="4"/>
      <c r="T217" s="4"/>
      <c r="U217" s="5"/>
      <c r="V217" s="5"/>
    </row>
    <row r="218" spans="1:22" x14ac:dyDescent="0.25">
      <c r="A218" s="158" t="s">
        <v>549</v>
      </c>
      <c r="B218" s="158" t="s">
        <v>550</v>
      </c>
      <c r="C218" s="158" t="s">
        <v>47</v>
      </c>
      <c r="D218" s="158" t="s">
        <v>48</v>
      </c>
      <c r="E218" s="157">
        <v>72</v>
      </c>
      <c r="F218" s="158" t="s">
        <v>525</v>
      </c>
      <c r="G218" s="159">
        <v>290355.12</v>
      </c>
      <c r="H218" s="159">
        <v>0</v>
      </c>
      <c r="I218" s="159">
        <v>129744.72</v>
      </c>
      <c r="J218" s="159">
        <v>44.7</v>
      </c>
      <c r="K218" t="str">
        <f>VLOOKUP($C218,Lists!$C$3:$M$118,7,FALSE)</f>
        <v>COKE_RGB</v>
      </c>
      <c r="S218" s="4"/>
      <c r="T218" s="4"/>
      <c r="U218" s="5"/>
      <c r="V218" s="5"/>
    </row>
    <row r="219" spans="1:22" x14ac:dyDescent="0.25">
      <c r="A219" s="158" t="s">
        <v>549</v>
      </c>
      <c r="B219" s="158" t="s">
        <v>550</v>
      </c>
      <c r="C219" s="158" t="s">
        <v>68</v>
      </c>
      <c r="D219" s="158" t="s">
        <v>534</v>
      </c>
      <c r="E219" s="157">
        <v>144</v>
      </c>
      <c r="F219" s="158" t="s">
        <v>525</v>
      </c>
      <c r="G219" s="159">
        <v>414315.36</v>
      </c>
      <c r="H219" s="159">
        <v>0</v>
      </c>
      <c r="I219" s="159">
        <v>205898.4</v>
      </c>
      <c r="J219" s="159">
        <v>49.7</v>
      </c>
      <c r="K219" t="str">
        <f>VLOOKUP($C219,Lists!$C$3:$M$118,7,FALSE)</f>
        <v>COKE_PET</v>
      </c>
      <c r="S219" s="4"/>
      <c r="T219" s="4"/>
      <c r="U219" s="5"/>
      <c r="V219" s="5"/>
    </row>
    <row r="220" spans="1:22" x14ac:dyDescent="0.25">
      <c r="A220" s="158" t="s">
        <v>549</v>
      </c>
      <c r="B220" s="158" t="s">
        <v>550</v>
      </c>
      <c r="C220" s="158" t="s">
        <v>49</v>
      </c>
      <c r="D220" s="158" t="s">
        <v>50</v>
      </c>
      <c r="E220" s="157">
        <v>506</v>
      </c>
      <c r="F220" s="158" t="s">
        <v>525</v>
      </c>
      <c r="G220" s="159">
        <v>5073854.28</v>
      </c>
      <c r="H220" s="159">
        <v>0</v>
      </c>
      <c r="I220" s="159">
        <v>1616022.32</v>
      </c>
      <c r="J220" s="159">
        <v>31.8</v>
      </c>
      <c r="K220" t="str">
        <f>VLOOKUP($C220,Lists!$C$3:$M$118,7,FALSE)</f>
        <v>Squash</v>
      </c>
      <c r="S220" s="4"/>
      <c r="T220" s="4"/>
      <c r="U220" s="5"/>
      <c r="V220" s="5"/>
    </row>
    <row r="221" spans="1:22" x14ac:dyDescent="0.25">
      <c r="A221" s="158" t="s">
        <v>549</v>
      </c>
      <c r="B221" s="158" t="s">
        <v>550</v>
      </c>
      <c r="C221" s="158" t="s">
        <v>51</v>
      </c>
      <c r="D221" s="158" t="s">
        <v>52</v>
      </c>
      <c r="E221" s="157">
        <v>434</v>
      </c>
      <c r="F221" s="158" t="s">
        <v>525</v>
      </c>
      <c r="G221" s="159">
        <v>4351882.92</v>
      </c>
      <c r="H221" s="159">
        <v>0</v>
      </c>
      <c r="I221" s="159">
        <v>1374491.02</v>
      </c>
      <c r="J221" s="159">
        <v>31.6</v>
      </c>
      <c r="K221" t="str">
        <f>VLOOKUP($C221,Lists!$C$3:$M$118,7,FALSE)</f>
        <v>Squash</v>
      </c>
      <c r="S221" s="4"/>
      <c r="T221" s="4"/>
      <c r="U221" s="5"/>
      <c r="V221" s="5"/>
    </row>
    <row r="222" spans="1:22" x14ac:dyDescent="0.25">
      <c r="A222" s="158" t="s">
        <v>549</v>
      </c>
      <c r="B222" s="158" t="s">
        <v>550</v>
      </c>
      <c r="C222" s="158" t="s">
        <v>26</v>
      </c>
      <c r="D222" s="158" t="s">
        <v>27</v>
      </c>
      <c r="E222" s="157">
        <v>144</v>
      </c>
      <c r="F222" s="158" t="s">
        <v>525</v>
      </c>
      <c r="G222" s="159">
        <v>314265.59999999998</v>
      </c>
      <c r="H222" s="159">
        <v>0</v>
      </c>
      <c r="I222" s="159">
        <v>138551.04000000001</v>
      </c>
      <c r="J222" s="159">
        <v>44.1</v>
      </c>
      <c r="K222" t="str">
        <f>VLOOKUP($C222,Lists!$C$3:$M$118,7,FALSE)</f>
        <v>Water</v>
      </c>
      <c r="S222" s="4"/>
      <c r="T222" s="4"/>
      <c r="U222" s="5"/>
      <c r="V222" s="5"/>
    </row>
    <row r="223" spans="1:22" x14ac:dyDescent="0.25">
      <c r="A223" s="158" t="s">
        <v>441</v>
      </c>
      <c r="B223" s="158" t="s">
        <v>442</v>
      </c>
      <c r="C223" s="158" t="s">
        <v>41</v>
      </c>
      <c r="D223" s="158" t="s">
        <v>42</v>
      </c>
      <c r="E223" s="157">
        <v>83</v>
      </c>
      <c r="F223" s="158" t="s">
        <v>525</v>
      </c>
      <c r="G223" s="159">
        <v>641201.56000000006</v>
      </c>
      <c r="H223" s="159">
        <v>0</v>
      </c>
      <c r="I223" s="159">
        <v>268946.56</v>
      </c>
      <c r="J223" s="159">
        <v>41.9</v>
      </c>
      <c r="K223" t="str">
        <f>VLOOKUP($C223,Lists!$C$3:$M$118,7,FALSE)</f>
        <v>Alcomix</v>
      </c>
      <c r="S223" s="4"/>
      <c r="T223" s="4"/>
      <c r="U223" s="5"/>
      <c r="V223" s="5"/>
    </row>
    <row r="224" spans="1:22" x14ac:dyDescent="0.25">
      <c r="A224" s="158" t="s">
        <v>441</v>
      </c>
      <c r="B224" s="158" t="s">
        <v>442</v>
      </c>
      <c r="C224" s="158" t="s">
        <v>10</v>
      </c>
      <c r="D224" s="158" t="s">
        <v>11</v>
      </c>
      <c r="E224" s="157">
        <v>167</v>
      </c>
      <c r="F224" s="158" t="s">
        <v>525</v>
      </c>
      <c r="G224" s="159">
        <v>1290128.44</v>
      </c>
      <c r="H224" s="159">
        <v>0</v>
      </c>
      <c r="I224" s="159">
        <v>541133.43999999994</v>
      </c>
      <c r="J224" s="159">
        <v>41.9</v>
      </c>
      <c r="K224" t="str">
        <f>VLOOKUP($C224,Lists!$C$3:$M$118,7,FALSE)</f>
        <v>Alcomix</v>
      </c>
      <c r="S224" s="4"/>
      <c r="T224" s="4"/>
      <c r="U224" s="5"/>
      <c r="V224" s="5"/>
    </row>
    <row r="225" spans="1:22" x14ac:dyDescent="0.25">
      <c r="A225" s="158" t="s">
        <v>441</v>
      </c>
      <c r="B225" s="158" t="s">
        <v>442</v>
      </c>
      <c r="C225" s="158" t="s">
        <v>12</v>
      </c>
      <c r="D225" s="158" t="s">
        <v>13</v>
      </c>
      <c r="E225" s="157">
        <v>502</v>
      </c>
      <c r="F225" s="158" t="s">
        <v>525</v>
      </c>
      <c r="G225" s="159">
        <v>3231760.54</v>
      </c>
      <c r="H225" s="159">
        <v>0</v>
      </c>
      <c r="I225" s="159">
        <v>1412387.04</v>
      </c>
      <c r="J225" s="159">
        <v>43.7</v>
      </c>
      <c r="K225" t="str">
        <f>VLOOKUP($C225,Lists!$C$3:$M$118,7,FALSE)</f>
        <v>Beers</v>
      </c>
      <c r="S225" s="4"/>
      <c r="T225" s="4"/>
      <c r="U225" s="5"/>
      <c r="V225" s="5"/>
    </row>
    <row r="226" spans="1:22" x14ac:dyDescent="0.25">
      <c r="A226" s="158" t="s">
        <v>441</v>
      </c>
      <c r="B226" s="158" t="s">
        <v>442</v>
      </c>
      <c r="C226" s="158" t="s">
        <v>14</v>
      </c>
      <c r="D226" s="158" t="s">
        <v>15</v>
      </c>
      <c r="E226" s="157">
        <v>1558</v>
      </c>
      <c r="F226" s="158" t="s">
        <v>525</v>
      </c>
      <c r="G226" s="159">
        <v>12036048.560000001</v>
      </c>
      <c r="H226" s="159">
        <v>0</v>
      </c>
      <c r="I226" s="159">
        <v>5943676.5199999996</v>
      </c>
      <c r="J226" s="159">
        <v>49.4</v>
      </c>
      <c r="K226" t="str">
        <f>VLOOKUP($C226,Lists!$C$3:$M$118,7,FALSE)</f>
        <v>Beers</v>
      </c>
      <c r="S226" s="4"/>
      <c r="T226" s="4"/>
      <c r="U226" s="5"/>
      <c r="V226" s="5"/>
    </row>
    <row r="227" spans="1:22" x14ac:dyDescent="0.25">
      <c r="A227" s="158" t="s">
        <v>441</v>
      </c>
      <c r="B227" s="158" t="s">
        <v>442</v>
      </c>
      <c r="C227" s="158" t="s">
        <v>54</v>
      </c>
      <c r="D227" s="158" t="s">
        <v>55</v>
      </c>
      <c r="E227" s="157">
        <v>286</v>
      </c>
      <c r="F227" s="158" t="s">
        <v>525</v>
      </c>
      <c r="G227" s="159">
        <v>2209441.52</v>
      </c>
      <c r="H227" s="159">
        <v>0</v>
      </c>
      <c r="I227" s="159">
        <v>1159893.02</v>
      </c>
      <c r="J227" s="159">
        <v>52.5</v>
      </c>
      <c r="K227" t="str">
        <f>VLOOKUP($C227,Lists!$C$3:$M$118,7,FALSE)</f>
        <v>Beers</v>
      </c>
      <c r="S227" s="4"/>
      <c r="T227" s="4"/>
      <c r="U227" s="5"/>
      <c r="V227" s="5"/>
    </row>
    <row r="228" spans="1:22" x14ac:dyDescent="0.25">
      <c r="A228" s="158" t="s">
        <v>441</v>
      </c>
      <c r="B228" s="158" t="s">
        <v>442</v>
      </c>
      <c r="C228" s="158" t="s">
        <v>16</v>
      </c>
      <c r="D228" s="158" t="s">
        <v>17</v>
      </c>
      <c r="E228" s="157">
        <v>1701</v>
      </c>
      <c r="F228" s="158" t="s">
        <v>525</v>
      </c>
      <c r="G228" s="159">
        <v>13140769.32</v>
      </c>
      <c r="H228" s="159">
        <v>0</v>
      </c>
      <c r="I228" s="159">
        <v>6489212.9400000004</v>
      </c>
      <c r="J228" s="159">
        <v>49.4</v>
      </c>
      <c r="K228" t="str">
        <f>VLOOKUP($C228,Lists!$C$3:$M$118,7,FALSE)</f>
        <v>Beers</v>
      </c>
      <c r="S228" s="4"/>
      <c r="T228" s="4"/>
      <c r="U228" s="5"/>
      <c r="V228" s="5"/>
    </row>
    <row r="229" spans="1:22" x14ac:dyDescent="0.25">
      <c r="A229" s="158" t="s">
        <v>441</v>
      </c>
      <c r="B229" s="158" t="s">
        <v>442</v>
      </c>
      <c r="C229" s="158" t="s">
        <v>56</v>
      </c>
      <c r="D229" s="158" t="s">
        <v>57</v>
      </c>
      <c r="E229" s="157">
        <v>279</v>
      </c>
      <c r="F229" s="158" t="s">
        <v>525</v>
      </c>
      <c r="G229" s="159">
        <v>2155364.2799999998</v>
      </c>
      <c r="H229" s="159">
        <v>0</v>
      </c>
      <c r="I229" s="159">
        <v>1131504.02</v>
      </c>
      <c r="J229" s="159">
        <v>52.5</v>
      </c>
      <c r="K229" t="str">
        <f>VLOOKUP($C229,Lists!$C$3:$M$118,7,FALSE)</f>
        <v>Beers</v>
      </c>
      <c r="S229" s="4"/>
      <c r="T229" s="4"/>
      <c r="U229" s="5"/>
      <c r="V229" s="5"/>
    </row>
    <row r="230" spans="1:22" x14ac:dyDescent="0.25">
      <c r="A230" s="158" t="s">
        <v>441</v>
      </c>
      <c r="B230" s="158" t="s">
        <v>442</v>
      </c>
      <c r="C230" s="158" t="s">
        <v>18</v>
      </c>
      <c r="D230" s="158" t="s">
        <v>19</v>
      </c>
      <c r="E230" s="157">
        <v>640</v>
      </c>
      <c r="F230" s="158" t="s">
        <v>525</v>
      </c>
      <c r="G230" s="159">
        <v>6592275.2000000002</v>
      </c>
      <c r="H230" s="159">
        <v>0</v>
      </c>
      <c r="I230" s="159">
        <v>3418195.14</v>
      </c>
      <c r="J230" s="159">
        <v>51.9</v>
      </c>
      <c r="K230" t="str">
        <f>VLOOKUP($C230,Lists!$C$3:$M$118,7,FALSE)</f>
        <v>Beers</v>
      </c>
      <c r="S230" s="4"/>
      <c r="T230" s="4"/>
      <c r="U230" s="5"/>
      <c r="V230" s="5"/>
    </row>
    <row r="231" spans="1:22" x14ac:dyDescent="0.25">
      <c r="A231" s="158" t="s">
        <v>441</v>
      </c>
      <c r="B231" s="158" t="s">
        <v>442</v>
      </c>
      <c r="C231" s="158" t="s">
        <v>20</v>
      </c>
      <c r="D231" s="158" t="s">
        <v>21</v>
      </c>
      <c r="E231" s="157">
        <v>2263</v>
      </c>
      <c r="F231" s="158" t="s">
        <v>525</v>
      </c>
      <c r="G231" s="159">
        <v>8957021.8900000006</v>
      </c>
      <c r="H231" s="159">
        <v>0</v>
      </c>
      <c r="I231" s="159">
        <v>3764115.79</v>
      </c>
      <c r="J231" s="159">
        <v>42</v>
      </c>
      <c r="K231" t="str">
        <f>VLOOKUP($C231,Lists!$C$3:$M$118,7,FALSE)</f>
        <v>COKE_RGB</v>
      </c>
      <c r="S231" s="4"/>
      <c r="T231" s="4"/>
      <c r="U231" s="5"/>
      <c r="V231" s="5"/>
    </row>
    <row r="232" spans="1:22" x14ac:dyDescent="0.25">
      <c r="A232" s="158" t="s">
        <v>441</v>
      </c>
      <c r="B232" s="158" t="s">
        <v>442</v>
      </c>
      <c r="C232" s="158" t="s">
        <v>28</v>
      </c>
      <c r="D232" s="158" t="s">
        <v>530</v>
      </c>
      <c r="E232" s="157">
        <v>430</v>
      </c>
      <c r="F232" s="158" t="s">
        <v>525</v>
      </c>
      <c r="G232" s="159">
        <v>1213847</v>
      </c>
      <c r="H232" s="159">
        <v>0</v>
      </c>
      <c r="I232" s="159">
        <v>612255.5</v>
      </c>
      <c r="J232" s="159">
        <v>50.4</v>
      </c>
      <c r="K232" t="str">
        <f>VLOOKUP($C232,Lists!$C$3:$M$118,7,FALSE)</f>
        <v>COKE_PET</v>
      </c>
      <c r="S232" s="4"/>
      <c r="T232" s="4"/>
      <c r="U232" s="5"/>
      <c r="V232" s="5"/>
    </row>
    <row r="233" spans="1:22" x14ac:dyDescent="0.25">
      <c r="A233" s="158" t="s">
        <v>441</v>
      </c>
      <c r="B233" s="158" t="s">
        <v>442</v>
      </c>
      <c r="C233" s="158" t="s">
        <v>58</v>
      </c>
      <c r="D233" s="158" t="s">
        <v>537</v>
      </c>
      <c r="E233" s="157">
        <v>432</v>
      </c>
      <c r="F233" s="158" t="s">
        <v>525</v>
      </c>
      <c r="G233" s="159">
        <v>1045280.16</v>
      </c>
      <c r="H233" s="159">
        <v>0</v>
      </c>
      <c r="I233" s="159">
        <v>579126.24</v>
      </c>
      <c r="J233" s="159">
        <v>55.4</v>
      </c>
      <c r="K233" t="str">
        <f>VLOOKUP($C233,Lists!$C$3:$M$118,7,FALSE)</f>
        <v>SOBO_PET</v>
      </c>
      <c r="S233" s="4"/>
      <c r="T233" s="4"/>
      <c r="U233" s="5"/>
      <c r="V233" s="5"/>
    </row>
    <row r="234" spans="1:22" x14ac:dyDescent="0.25">
      <c r="A234" s="158" t="s">
        <v>441</v>
      </c>
      <c r="B234" s="158" t="s">
        <v>442</v>
      </c>
      <c r="C234" s="158" t="s">
        <v>78</v>
      </c>
      <c r="D234" s="158" t="s">
        <v>526</v>
      </c>
      <c r="E234" s="157">
        <v>144</v>
      </c>
      <c r="F234" s="158" t="s">
        <v>525</v>
      </c>
      <c r="G234" s="159">
        <v>348426.72</v>
      </c>
      <c r="H234" s="159">
        <v>0</v>
      </c>
      <c r="I234" s="159">
        <v>190236.96</v>
      </c>
      <c r="J234" s="159">
        <v>54.6</v>
      </c>
      <c r="K234" t="str">
        <f>VLOOKUP($C234,Lists!$C$3:$M$118,7,FALSE)</f>
        <v>SOBO_PET</v>
      </c>
      <c r="S234" s="4"/>
      <c r="T234" s="4"/>
      <c r="U234" s="5"/>
      <c r="V234" s="5"/>
    </row>
    <row r="235" spans="1:22" x14ac:dyDescent="0.25">
      <c r="A235" s="158" t="s">
        <v>441</v>
      </c>
      <c r="B235" s="158" t="s">
        <v>442</v>
      </c>
      <c r="C235" s="158" t="s">
        <v>43</v>
      </c>
      <c r="D235" s="158" t="s">
        <v>44</v>
      </c>
      <c r="E235" s="157">
        <v>72</v>
      </c>
      <c r="F235" s="158" t="s">
        <v>525</v>
      </c>
      <c r="G235" s="159">
        <v>556223.04</v>
      </c>
      <c r="H235" s="159">
        <v>0</v>
      </c>
      <c r="I235" s="159">
        <v>274675.68</v>
      </c>
      <c r="J235" s="159">
        <v>49.4</v>
      </c>
      <c r="K235" t="str">
        <f>VLOOKUP($C235,Lists!$C$3:$M$118,7,FALSE)</f>
        <v>Beers</v>
      </c>
      <c r="S235" s="4"/>
      <c r="T235" s="4"/>
      <c r="U235" s="5"/>
      <c r="V235" s="5"/>
    </row>
    <row r="236" spans="1:22" x14ac:dyDescent="0.25">
      <c r="A236" s="158" t="s">
        <v>441</v>
      </c>
      <c r="B236" s="158" t="s">
        <v>442</v>
      </c>
      <c r="C236" s="158" t="s">
        <v>59</v>
      </c>
      <c r="D236" s="158" t="s">
        <v>60</v>
      </c>
      <c r="E236" s="157">
        <v>404</v>
      </c>
      <c r="F236" s="158" t="s">
        <v>525</v>
      </c>
      <c r="G236" s="159">
        <v>1599044.12</v>
      </c>
      <c r="H236" s="159">
        <v>0</v>
      </c>
      <c r="I236" s="159">
        <v>651078.31999999995</v>
      </c>
      <c r="J236" s="159">
        <v>40.700000000000003</v>
      </c>
      <c r="K236" t="str">
        <f>VLOOKUP($C236,Lists!$C$3:$M$118,7,FALSE)</f>
        <v>COKE_RGB</v>
      </c>
      <c r="S236" s="4"/>
      <c r="T236" s="4"/>
      <c r="U236" s="5"/>
      <c r="V236" s="5"/>
    </row>
    <row r="237" spans="1:22" x14ac:dyDescent="0.25">
      <c r="A237" s="158" t="s">
        <v>441</v>
      </c>
      <c r="B237" s="158" t="s">
        <v>442</v>
      </c>
      <c r="C237" s="158" t="s">
        <v>22</v>
      </c>
      <c r="D237" s="158" t="s">
        <v>23</v>
      </c>
      <c r="E237" s="157">
        <v>1077</v>
      </c>
      <c r="F237" s="158" t="s">
        <v>525</v>
      </c>
      <c r="G237" s="159">
        <v>4262798.3099999996</v>
      </c>
      <c r="H237" s="159">
        <v>0</v>
      </c>
      <c r="I237" s="159">
        <v>1717341.12</v>
      </c>
      <c r="J237" s="159">
        <v>40.299999999999997</v>
      </c>
      <c r="K237" t="str">
        <f>VLOOKUP($C237,Lists!$C$3:$M$118,7,FALSE)</f>
        <v>COKE_RGB</v>
      </c>
      <c r="S237" s="4"/>
      <c r="T237" s="4"/>
      <c r="U237" s="5"/>
      <c r="V237" s="5"/>
    </row>
    <row r="238" spans="1:22" x14ac:dyDescent="0.25">
      <c r="A238" s="158" t="s">
        <v>441</v>
      </c>
      <c r="B238" s="158" t="s">
        <v>442</v>
      </c>
      <c r="C238" s="158" t="s">
        <v>29</v>
      </c>
      <c r="D238" s="158" t="s">
        <v>30</v>
      </c>
      <c r="E238" s="157">
        <v>65</v>
      </c>
      <c r="F238" s="158" t="s">
        <v>525</v>
      </c>
      <c r="G238" s="159">
        <v>2364985.35</v>
      </c>
      <c r="H238" s="159">
        <v>0</v>
      </c>
      <c r="I238" s="159">
        <v>674985.35</v>
      </c>
      <c r="J238" s="159">
        <v>28.5</v>
      </c>
      <c r="K238" t="str">
        <f>VLOOKUP($C238,Lists!$C$3:$M$118,7,FALSE)</f>
        <v>Spirits</v>
      </c>
      <c r="S238" s="4"/>
      <c r="T238" s="4"/>
      <c r="U238" s="5"/>
      <c r="V238" s="5"/>
    </row>
    <row r="239" spans="1:22" x14ac:dyDescent="0.25">
      <c r="A239" s="158" t="s">
        <v>441</v>
      </c>
      <c r="B239" s="158" t="s">
        <v>442</v>
      </c>
      <c r="C239" s="158" t="s">
        <v>31</v>
      </c>
      <c r="D239" s="158" t="s">
        <v>32</v>
      </c>
      <c r="E239" s="157">
        <v>5</v>
      </c>
      <c r="F239" s="158" t="s">
        <v>525</v>
      </c>
      <c r="G239" s="159">
        <v>170783.9</v>
      </c>
      <c r="H239" s="159">
        <v>0</v>
      </c>
      <c r="I239" s="159">
        <v>50783.9</v>
      </c>
      <c r="J239" s="159">
        <v>29.7</v>
      </c>
      <c r="K239" t="str">
        <f>VLOOKUP($C239,Lists!$C$3:$M$118,7,FALSE)</f>
        <v>Spirits</v>
      </c>
      <c r="S239" s="4"/>
      <c r="T239" s="4"/>
      <c r="U239" s="5"/>
      <c r="V239" s="5"/>
    </row>
    <row r="240" spans="1:22" x14ac:dyDescent="0.25">
      <c r="A240" s="158" t="s">
        <v>441</v>
      </c>
      <c r="B240" s="158" t="s">
        <v>442</v>
      </c>
      <c r="C240" s="158" t="s">
        <v>37</v>
      </c>
      <c r="D240" s="158" t="s">
        <v>38</v>
      </c>
      <c r="E240" s="157">
        <v>670</v>
      </c>
      <c r="F240" s="158" t="s">
        <v>525</v>
      </c>
      <c r="G240" s="159">
        <v>2209901.2000000002</v>
      </c>
      <c r="H240" s="159">
        <v>0</v>
      </c>
      <c r="I240" s="159">
        <v>1035263.9</v>
      </c>
      <c r="J240" s="159">
        <v>46.8</v>
      </c>
      <c r="K240" t="str">
        <f>VLOOKUP($C240,Lists!$C$3:$M$118,7,FALSE)</f>
        <v>SOBO_RGB</v>
      </c>
      <c r="S240" s="4"/>
      <c r="T240" s="4"/>
      <c r="U240" s="5"/>
      <c r="V240" s="5"/>
    </row>
    <row r="241" spans="1:22" x14ac:dyDescent="0.25">
      <c r="A241" s="158" t="s">
        <v>441</v>
      </c>
      <c r="B241" s="158" t="s">
        <v>442</v>
      </c>
      <c r="C241" s="158" t="s">
        <v>39</v>
      </c>
      <c r="D241" s="158" t="s">
        <v>40</v>
      </c>
      <c r="E241" s="157">
        <v>358</v>
      </c>
      <c r="F241" s="158" t="s">
        <v>525</v>
      </c>
      <c r="G241" s="159">
        <v>1180812.8799999999</v>
      </c>
      <c r="H241" s="159">
        <v>0</v>
      </c>
      <c r="I241" s="159">
        <v>548280.57999999996</v>
      </c>
      <c r="J241" s="159">
        <v>46.4</v>
      </c>
      <c r="K241" t="str">
        <f>VLOOKUP($C241,Lists!$C$3:$M$118,7,FALSE)</f>
        <v>SOBO_RGB</v>
      </c>
      <c r="S241" s="4"/>
      <c r="T241" s="4"/>
      <c r="U241" s="5"/>
      <c r="V241" s="5"/>
    </row>
    <row r="242" spans="1:22" x14ac:dyDescent="0.25">
      <c r="A242" s="158" t="s">
        <v>441</v>
      </c>
      <c r="B242" s="158" t="s">
        <v>442</v>
      </c>
      <c r="C242" s="158" t="s">
        <v>88</v>
      </c>
      <c r="D242" s="158" t="s">
        <v>527</v>
      </c>
      <c r="E242" s="157">
        <v>288</v>
      </c>
      <c r="F242" s="158" t="s">
        <v>525</v>
      </c>
      <c r="G242" s="159">
        <v>812995.2</v>
      </c>
      <c r="H242" s="159">
        <v>0</v>
      </c>
      <c r="I242" s="159">
        <v>476985.59999999998</v>
      </c>
      <c r="J242" s="159">
        <v>58.7</v>
      </c>
      <c r="K242" t="str">
        <f>VLOOKUP($C242,Lists!$C$3:$M$118,7,FALSE)</f>
        <v>SOBO_PET</v>
      </c>
      <c r="S242" s="4"/>
      <c r="T242" s="4"/>
      <c r="U242" s="5"/>
      <c r="V242" s="5"/>
    </row>
    <row r="243" spans="1:22" x14ac:dyDescent="0.25">
      <c r="A243" s="158" t="s">
        <v>441</v>
      </c>
      <c r="B243" s="158" t="s">
        <v>442</v>
      </c>
      <c r="C243" s="158" t="s">
        <v>45</v>
      </c>
      <c r="D243" s="158" t="s">
        <v>46</v>
      </c>
      <c r="E243" s="157">
        <v>252</v>
      </c>
      <c r="F243" s="158" t="s">
        <v>525</v>
      </c>
      <c r="G243" s="159">
        <v>997423.56</v>
      </c>
      <c r="H243" s="159">
        <v>0</v>
      </c>
      <c r="I243" s="159">
        <v>491266.44</v>
      </c>
      <c r="J243" s="159">
        <v>49.3</v>
      </c>
      <c r="K243" t="str">
        <f>VLOOKUP($C243,Lists!$C$3:$M$118,7,FALSE)</f>
        <v>SOBO_RGB</v>
      </c>
      <c r="S243" s="4"/>
      <c r="T243" s="4"/>
      <c r="U243" s="5"/>
      <c r="V243" s="5"/>
    </row>
    <row r="244" spans="1:22" x14ac:dyDescent="0.25">
      <c r="A244" s="158" t="s">
        <v>441</v>
      </c>
      <c r="B244" s="158" t="s">
        <v>442</v>
      </c>
      <c r="C244" s="158" t="s">
        <v>47</v>
      </c>
      <c r="D244" s="158" t="s">
        <v>48</v>
      </c>
      <c r="E244" s="157">
        <v>239</v>
      </c>
      <c r="F244" s="158" t="s">
        <v>525</v>
      </c>
      <c r="G244" s="159">
        <v>945969.17</v>
      </c>
      <c r="H244" s="159">
        <v>0</v>
      </c>
      <c r="I244" s="159">
        <v>412831.87</v>
      </c>
      <c r="J244" s="159">
        <v>43.6</v>
      </c>
      <c r="K244" t="str">
        <f>VLOOKUP($C244,Lists!$C$3:$M$118,7,FALSE)</f>
        <v>COKE_RGB</v>
      </c>
      <c r="S244" s="4"/>
      <c r="T244" s="4"/>
      <c r="U244" s="5"/>
      <c r="V244" s="5"/>
    </row>
    <row r="245" spans="1:22" x14ac:dyDescent="0.25">
      <c r="A245" s="158" t="s">
        <v>441</v>
      </c>
      <c r="B245" s="158" t="s">
        <v>442</v>
      </c>
      <c r="C245" s="158" t="s">
        <v>49</v>
      </c>
      <c r="D245" s="158" t="s">
        <v>50</v>
      </c>
      <c r="E245" s="157">
        <v>503</v>
      </c>
      <c r="F245" s="158" t="s">
        <v>525</v>
      </c>
      <c r="G245" s="159">
        <v>5043772.1399999997</v>
      </c>
      <c r="H245" s="159">
        <v>0</v>
      </c>
      <c r="I245" s="159">
        <v>1606441.16</v>
      </c>
      <c r="J245" s="159">
        <v>31.8</v>
      </c>
      <c r="K245" t="str">
        <f>VLOOKUP($C245,Lists!$C$3:$M$118,7,FALSE)</f>
        <v>Squash</v>
      </c>
      <c r="S245" s="4"/>
      <c r="T245" s="4"/>
      <c r="U245" s="5"/>
      <c r="V245" s="5"/>
    </row>
    <row r="246" spans="1:22" x14ac:dyDescent="0.25">
      <c r="A246" s="158" t="s">
        <v>441</v>
      </c>
      <c r="B246" s="158" t="s">
        <v>442</v>
      </c>
      <c r="C246" s="158" t="s">
        <v>51</v>
      </c>
      <c r="D246" s="158" t="s">
        <v>52</v>
      </c>
      <c r="E246" s="157">
        <v>1008</v>
      </c>
      <c r="F246" s="158" t="s">
        <v>525</v>
      </c>
      <c r="G246" s="159">
        <v>10107599.039999999</v>
      </c>
      <c r="H246" s="159">
        <v>0</v>
      </c>
      <c r="I246" s="159">
        <v>3192366.24</v>
      </c>
      <c r="J246" s="159">
        <v>31.6</v>
      </c>
      <c r="K246" t="str">
        <f>VLOOKUP($C246,Lists!$C$3:$M$118,7,FALSE)</f>
        <v>Squash</v>
      </c>
      <c r="S246" s="4"/>
      <c r="T246" s="4"/>
      <c r="U246" s="5"/>
      <c r="V246" s="5"/>
    </row>
    <row r="247" spans="1:22" x14ac:dyDescent="0.25">
      <c r="A247" s="158" t="s">
        <v>441</v>
      </c>
      <c r="B247" s="158" t="s">
        <v>442</v>
      </c>
      <c r="C247" s="158" t="s">
        <v>104</v>
      </c>
      <c r="D247" s="158" t="s">
        <v>105</v>
      </c>
      <c r="E247" s="157">
        <v>84</v>
      </c>
      <c r="F247" s="158" t="s">
        <v>525</v>
      </c>
      <c r="G247" s="159">
        <v>277062.24</v>
      </c>
      <c r="H247" s="159">
        <v>0</v>
      </c>
      <c r="I247" s="159">
        <v>119198.52</v>
      </c>
      <c r="J247" s="159">
        <v>43</v>
      </c>
      <c r="K247" t="str">
        <f>VLOOKUP($C247,Lists!$C$3:$M$118,7,FALSE)</f>
        <v>SOBO_RGB</v>
      </c>
      <c r="S247" s="4"/>
      <c r="T247" s="4"/>
      <c r="U247" s="5"/>
      <c r="V247" s="5"/>
    </row>
    <row r="248" spans="1:22" x14ac:dyDescent="0.25">
      <c r="A248" s="158" t="s">
        <v>441</v>
      </c>
      <c r="B248" s="158" t="s">
        <v>442</v>
      </c>
      <c r="C248" s="158" t="s">
        <v>26</v>
      </c>
      <c r="D248" s="158" t="s">
        <v>27</v>
      </c>
      <c r="E248" s="157">
        <v>574</v>
      </c>
      <c r="F248" s="158" t="s">
        <v>525</v>
      </c>
      <c r="G248" s="159">
        <v>1252697.6000000001</v>
      </c>
      <c r="H248" s="159">
        <v>0</v>
      </c>
      <c r="I248" s="159">
        <v>552279.84</v>
      </c>
      <c r="J248" s="159">
        <v>44.1</v>
      </c>
      <c r="K248" t="str">
        <f>VLOOKUP($C248,Lists!$C$3:$M$118,7,FALSE)</f>
        <v>Water</v>
      </c>
      <c r="S248" s="4"/>
      <c r="T248" s="4"/>
      <c r="U248" s="5"/>
      <c r="V248" s="5"/>
    </row>
    <row r="249" spans="1:22" x14ac:dyDescent="0.25">
      <c r="A249" s="158" t="s">
        <v>441</v>
      </c>
      <c r="B249" s="158" t="s">
        <v>442</v>
      </c>
      <c r="C249" s="158" t="s">
        <v>120</v>
      </c>
      <c r="D249" s="158" t="s">
        <v>121</v>
      </c>
      <c r="E249" s="157">
        <v>0</v>
      </c>
      <c r="F249" s="158" t="s">
        <v>525</v>
      </c>
      <c r="G249" s="159">
        <v>0</v>
      </c>
      <c r="H249" s="159">
        <v>0</v>
      </c>
      <c r="I249" s="159">
        <v>0</v>
      </c>
      <c r="J249" s="159">
        <v>0</v>
      </c>
      <c r="K249" t="str">
        <f>VLOOKUP($C249,Lists!$C$3:$M$118,7,FALSE)</f>
        <v>Water</v>
      </c>
      <c r="S249" s="4"/>
      <c r="T249" s="4"/>
      <c r="U249" s="5"/>
      <c r="V249" s="5"/>
    </row>
    <row r="250" spans="1:22" x14ac:dyDescent="0.25">
      <c r="A250" s="158" t="s">
        <v>551</v>
      </c>
      <c r="B250" s="158" t="s">
        <v>552</v>
      </c>
      <c r="C250" s="158" t="s">
        <v>29</v>
      </c>
      <c r="D250" s="158" t="s">
        <v>30</v>
      </c>
      <c r="E250" s="157">
        <v>130</v>
      </c>
      <c r="F250" s="158" t="s">
        <v>525</v>
      </c>
      <c r="G250" s="159">
        <v>4819215.7</v>
      </c>
      <c r="H250" s="159">
        <v>0</v>
      </c>
      <c r="I250" s="159">
        <v>1439215.7</v>
      </c>
      <c r="J250" s="159">
        <v>29.9</v>
      </c>
      <c r="K250" t="str">
        <f>VLOOKUP($C250,Lists!$C$3:$M$118,7,FALSE)</f>
        <v>Spirits</v>
      </c>
      <c r="S250" s="4"/>
      <c r="T250" s="4"/>
      <c r="U250" s="5"/>
      <c r="V250" s="5"/>
    </row>
    <row r="251" spans="1:22" x14ac:dyDescent="0.25">
      <c r="A251" s="158" t="s">
        <v>551</v>
      </c>
      <c r="B251" s="158" t="s">
        <v>552</v>
      </c>
      <c r="C251" s="158" t="s">
        <v>31</v>
      </c>
      <c r="D251" s="158" t="s">
        <v>32</v>
      </c>
      <c r="E251" s="157">
        <v>38</v>
      </c>
      <c r="F251" s="158" t="s">
        <v>525</v>
      </c>
      <c r="G251" s="159">
        <v>1322447.1200000001</v>
      </c>
      <c r="H251" s="159">
        <v>0</v>
      </c>
      <c r="I251" s="159">
        <v>410447.12</v>
      </c>
      <c r="J251" s="159">
        <v>31</v>
      </c>
      <c r="K251" t="str">
        <f>VLOOKUP($C251,Lists!$C$3:$M$118,7,FALSE)</f>
        <v>Spirits</v>
      </c>
      <c r="S251" s="4"/>
      <c r="T251" s="4"/>
      <c r="U251" s="5"/>
      <c r="V251" s="5"/>
    </row>
    <row r="252" spans="1:22" x14ac:dyDescent="0.25">
      <c r="A252" s="158" t="s">
        <v>551</v>
      </c>
      <c r="B252" s="158" t="s">
        <v>552</v>
      </c>
      <c r="C252" s="158" t="s">
        <v>33</v>
      </c>
      <c r="D252" s="158" t="s">
        <v>34</v>
      </c>
      <c r="E252" s="157">
        <v>60</v>
      </c>
      <c r="F252" s="158" t="s">
        <v>525</v>
      </c>
      <c r="G252" s="159">
        <v>3404469.6</v>
      </c>
      <c r="H252" s="159">
        <v>0</v>
      </c>
      <c r="I252" s="159">
        <v>704469.6</v>
      </c>
      <c r="J252" s="159">
        <v>20.7</v>
      </c>
      <c r="K252" t="str">
        <f>VLOOKUP($C252,Lists!$C$3:$M$118,7,FALSE)</f>
        <v>Spirits</v>
      </c>
      <c r="S252" s="4"/>
      <c r="T252" s="4"/>
      <c r="U252" s="5"/>
      <c r="V252" s="5"/>
    </row>
    <row r="253" spans="1:22" x14ac:dyDescent="0.25">
      <c r="A253" s="158" t="s">
        <v>551</v>
      </c>
      <c r="B253" s="158" t="s">
        <v>552</v>
      </c>
      <c r="C253" s="158" t="s">
        <v>49</v>
      </c>
      <c r="D253" s="158" t="s">
        <v>50</v>
      </c>
      <c r="E253" s="157">
        <v>432</v>
      </c>
      <c r="F253" s="158" t="s">
        <v>525</v>
      </c>
      <c r="G253" s="159">
        <v>4331828.16</v>
      </c>
      <c r="H253" s="159">
        <v>0</v>
      </c>
      <c r="I253" s="159">
        <v>1379687.04</v>
      </c>
      <c r="J253" s="159">
        <v>31.8</v>
      </c>
      <c r="K253" t="str">
        <f>VLOOKUP($C253,Lists!$C$3:$M$118,7,FALSE)</f>
        <v>Squash</v>
      </c>
      <c r="S253" s="4"/>
      <c r="T253" s="4"/>
      <c r="U253" s="5"/>
      <c r="V253" s="5"/>
    </row>
    <row r="254" spans="1:22" x14ac:dyDescent="0.25">
      <c r="A254" s="158" t="s">
        <v>443</v>
      </c>
      <c r="B254" s="158" t="s">
        <v>82</v>
      </c>
      <c r="C254" s="158" t="s">
        <v>12</v>
      </c>
      <c r="D254" s="158" t="s">
        <v>13</v>
      </c>
      <c r="E254" s="157">
        <v>1270</v>
      </c>
      <c r="F254" s="158" t="s">
        <v>525</v>
      </c>
      <c r="G254" s="159">
        <v>8175967.9000000004</v>
      </c>
      <c r="H254" s="159">
        <v>0</v>
      </c>
      <c r="I254" s="159">
        <v>3573170.4</v>
      </c>
      <c r="J254" s="159">
        <v>43.7</v>
      </c>
      <c r="K254" t="str">
        <f>VLOOKUP($C254,Lists!$C$3:$M$118,7,FALSE)</f>
        <v>Beers</v>
      </c>
      <c r="S254" s="4"/>
      <c r="T254" s="4"/>
      <c r="U254" s="5"/>
      <c r="V254" s="5"/>
    </row>
    <row r="255" spans="1:22" x14ac:dyDescent="0.25">
      <c r="A255" s="158" t="s">
        <v>443</v>
      </c>
      <c r="B255" s="158" t="s">
        <v>82</v>
      </c>
      <c r="C255" s="158" t="s">
        <v>14</v>
      </c>
      <c r="D255" s="158" t="s">
        <v>15</v>
      </c>
      <c r="E255" s="157">
        <v>754</v>
      </c>
      <c r="F255" s="158" t="s">
        <v>525</v>
      </c>
      <c r="G255" s="159">
        <v>5824891.2800000003</v>
      </c>
      <c r="H255" s="159">
        <v>0</v>
      </c>
      <c r="I255" s="159">
        <v>2876464.76</v>
      </c>
      <c r="J255" s="159">
        <v>49.4</v>
      </c>
      <c r="K255" t="str">
        <f>VLOOKUP($C255,Lists!$C$3:$M$118,7,FALSE)</f>
        <v>Beers</v>
      </c>
      <c r="S255" s="4"/>
      <c r="T255" s="4"/>
      <c r="U255" s="5"/>
      <c r="V255" s="5"/>
    </row>
    <row r="256" spans="1:22" x14ac:dyDescent="0.25">
      <c r="A256" s="158" t="s">
        <v>443</v>
      </c>
      <c r="B256" s="158" t="s">
        <v>82</v>
      </c>
      <c r="C256" s="158" t="s">
        <v>54</v>
      </c>
      <c r="D256" s="158" t="s">
        <v>55</v>
      </c>
      <c r="E256" s="157">
        <v>140</v>
      </c>
      <c r="F256" s="158" t="s">
        <v>525</v>
      </c>
      <c r="G256" s="159">
        <v>1081544.8</v>
      </c>
      <c r="H256" s="159">
        <v>0</v>
      </c>
      <c r="I256" s="159">
        <v>567779.80000000005</v>
      </c>
      <c r="J256" s="159">
        <v>52.5</v>
      </c>
      <c r="K256" t="str">
        <f>VLOOKUP($C256,Lists!$C$3:$M$118,7,FALSE)</f>
        <v>Beers</v>
      </c>
      <c r="S256" s="4"/>
      <c r="T256" s="4"/>
      <c r="U256" s="5"/>
      <c r="V256" s="5"/>
    </row>
    <row r="257" spans="1:22" x14ac:dyDescent="0.25">
      <c r="A257" s="158" t="s">
        <v>443</v>
      </c>
      <c r="B257" s="158" t="s">
        <v>82</v>
      </c>
      <c r="C257" s="158" t="s">
        <v>16</v>
      </c>
      <c r="D257" s="158" t="s">
        <v>17</v>
      </c>
      <c r="E257" s="157">
        <v>918</v>
      </c>
      <c r="F257" s="158" t="s">
        <v>525</v>
      </c>
      <c r="G257" s="159">
        <v>7091843.7599999998</v>
      </c>
      <c r="H257" s="159">
        <v>0</v>
      </c>
      <c r="I257" s="159">
        <v>3502114.92</v>
      </c>
      <c r="J257" s="159">
        <v>49.4</v>
      </c>
      <c r="K257" t="str">
        <f>VLOOKUP($C257,Lists!$C$3:$M$118,7,FALSE)</f>
        <v>Beers</v>
      </c>
      <c r="S257" s="4"/>
      <c r="T257" s="4"/>
      <c r="U257" s="5"/>
      <c r="V257" s="5"/>
    </row>
    <row r="258" spans="1:22" x14ac:dyDescent="0.25">
      <c r="A258" s="158" t="s">
        <v>443</v>
      </c>
      <c r="B258" s="158" t="s">
        <v>82</v>
      </c>
      <c r="C258" s="158" t="s">
        <v>56</v>
      </c>
      <c r="D258" s="158" t="s">
        <v>57</v>
      </c>
      <c r="E258" s="157">
        <v>279</v>
      </c>
      <c r="F258" s="158" t="s">
        <v>525</v>
      </c>
      <c r="G258" s="159">
        <v>2155364.2799999998</v>
      </c>
      <c r="H258" s="159">
        <v>0</v>
      </c>
      <c r="I258" s="159">
        <v>1131504.03</v>
      </c>
      <c r="J258" s="159">
        <v>52.5</v>
      </c>
      <c r="K258" t="str">
        <f>VLOOKUP($C258,Lists!$C$3:$M$118,7,FALSE)</f>
        <v>Beers</v>
      </c>
      <c r="S258" s="4"/>
      <c r="T258" s="4"/>
      <c r="U258" s="5"/>
      <c r="V258" s="5"/>
    </row>
    <row r="259" spans="1:22" x14ac:dyDescent="0.25">
      <c r="A259" s="158" t="s">
        <v>443</v>
      </c>
      <c r="B259" s="158" t="s">
        <v>82</v>
      </c>
      <c r="C259" s="158" t="s">
        <v>18</v>
      </c>
      <c r="D259" s="158" t="s">
        <v>19</v>
      </c>
      <c r="E259" s="157">
        <v>96</v>
      </c>
      <c r="F259" s="158" t="s">
        <v>525</v>
      </c>
      <c r="G259" s="159">
        <v>988841.28</v>
      </c>
      <c r="H259" s="159">
        <v>0</v>
      </c>
      <c r="I259" s="159">
        <v>512729.28</v>
      </c>
      <c r="J259" s="159">
        <v>51.9</v>
      </c>
      <c r="K259" t="str">
        <f>VLOOKUP($C259,Lists!$C$3:$M$118,7,FALSE)</f>
        <v>Beers</v>
      </c>
      <c r="S259" s="4"/>
      <c r="T259" s="4"/>
      <c r="U259" s="5"/>
      <c r="V259" s="5"/>
    </row>
    <row r="260" spans="1:22" x14ac:dyDescent="0.25">
      <c r="A260" s="158" t="s">
        <v>443</v>
      </c>
      <c r="B260" s="158" t="s">
        <v>82</v>
      </c>
      <c r="C260" s="158" t="s">
        <v>20</v>
      </c>
      <c r="D260" s="158" t="s">
        <v>21</v>
      </c>
      <c r="E260" s="157">
        <v>3354</v>
      </c>
      <c r="F260" s="158" t="s">
        <v>525</v>
      </c>
      <c r="G260" s="159">
        <v>13275232.619999999</v>
      </c>
      <c r="H260" s="159">
        <v>0</v>
      </c>
      <c r="I260" s="159">
        <v>5578808.8200000003</v>
      </c>
      <c r="J260" s="159">
        <v>42</v>
      </c>
      <c r="K260" t="str">
        <f>VLOOKUP($C260,Lists!$C$3:$M$118,7,FALSE)</f>
        <v>COKE_RGB</v>
      </c>
      <c r="S260" s="4"/>
      <c r="T260" s="4"/>
      <c r="U260" s="5"/>
      <c r="V260" s="5"/>
    </row>
    <row r="261" spans="1:22" x14ac:dyDescent="0.25">
      <c r="A261" s="158" t="s">
        <v>443</v>
      </c>
      <c r="B261" s="158" t="s">
        <v>82</v>
      </c>
      <c r="C261" s="158" t="s">
        <v>43</v>
      </c>
      <c r="D261" s="158" t="s">
        <v>44</v>
      </c>
      <c r="E261" s="157">
        <v>95</v>
      </c>
      <c r="F261" s="158" t="s">
        <v>525</v>
      </c>
      <c r="G261" s="159">
        <v>733905.4</v>
      </c>
      <c r="H261" s="159">
        <v>0</v>
      </c>
      <c r="I261" s="159">
        <v>362419.3</v>
      </c>
      <c r="J261" s="159">
        <v>49.4</v>
      </c>
      <c r="K261" t="str">
        <f>VLOOKUP($C261,Lists!$C$3:$M$118,7,FALSE)</f>
        <v>Beers</v>
      </c>
      <c r="S261" s="4"/>
      <c r="T261" s="4"/>
      <c r="U261" s="5"/>
      <c r="V261" s="5"/>
    </row>
    <row r="262" spans="1:22" x14ac:dyDescent="0.25">
      <c r="A262" s="158" t="s">
        <v>443</v>
      </c>
      <c r="B262" s="158" t="s">
        <v>82</v>
      </c>
      <c r="C262" s="158" t="s">
        <v>59</v>
      </c>
      <c r="D262" s="158" t="s">
        <v>60</v>
      </c>
      <c r="E262" s="157">
        <v>610</v>
      </c>
      <c r="F262" s="158" t="s">
        <v>525</v>
      </c>
      <c r="G262" s="159">
        <v>2414398.2999999998</v>
      </c>
      <c r="H262" s="159">
        <v>0</v>
      </c>
      <c r="I262" s="159">
        <v>983063.78</v>
      </c>
      <c r="J262" s="159">
        <v>40.700000000000003</v>
      </c>
      <c r="K262" t="str">
        <f>VLOOKUP($C262,Lists!$C$3:$M$118,7,FALSE)</f>
        <v>COKE_RGB</v>
      </c>
      <c r="S262" s="4"/>
      <c r="T262" s="4"/>
      <c r="U262" s="5"/>
      <c r="V262" s="5"/>
    </row>
    <row r="263" spans="1:22" x14ac:dyDescent="0.25">
      <c r="A263" s="158" t="s">
        <v>443</v>
      </c>
      <c r="B263" s="158" t="s">
        <v>82</v>
      </c>
      <c r="C263" s="158" t="s">
        <v>22</v>
      </c>
      <c r="D263" s="158" t="s">
        <v>23</v>
      </c>
      <c r="E263" s="157">
        <v>502</v>
      </c>
      <c r="F263" s="158" t="s">
        <v>525</v>
      </c>
      <c r="G263" s="159">
        <v>1986931.06</v>
      </c>
      <c r="H263" s="159">
        <v>0</v>
      </c>
      <c r="I263" s="159">
        <v>800469.11</v>
      </c>
      <c r="J263" s="159">
        <v>40.299999999999997</v>
      </c>
      <c r="K263" t="str">
        <f>VLOOKUP($C263,Lists!$C$3:$M$118,7,FALSE)</f>
        <v>COKE_RGB</v>
      </c>
      <c r="S263" s="4"/>
      <c r="T263" s="4"/>
      <c r="U263" s="5"/>
      <c r="V263" s="5"/>
    </row>
    <row r="264" spans="1:22" x14ac:dyDescent="0.25">
      <c r="A264" s="158" t="s">
        <v>443</v>
      </c>
      <c r="B264" s="158" t="s">
        <v>82</v>
      </c>
      <c r="C264" s="158" t="s">
        <v>24</v>
      </c>
      <c r="D264" s="158" t="s">
        <v>25</v>
      </c>
      <c r="E264" s="157">
        <v>192</v>
      </c>
      <c r="F264" s="158" t="s">
        <v>525</v>
      </c>
      <c r="G264" s="159">
        <v>1236051.8400000001</v>
      </c>
      <c r="H264" s="159">
        <v>0</v>
      </c>
      <c r="I264" s="159">
        <v>595130.88</v>
      </c>
      <c r="J264" s="159">
        <v>48.1</v>
      </c>
      <c r="K264" t="str">
        <f>VLOOKUP($C264,Lists!$C$3:$M$118,7,FALSE)</f>
        <v>Beers</v>
      </c>
      <c r="S264" s="4"/>
      <c r="T264" s="4"/>
      <c r="U264" s="5"/>
      <c r="V264" s="5"/>
    </row>
    <row r="265" spans="1:22" x14ac:dyDescent="0.25">
      <c r="A265" s="158" t="s">
        <v>443</v>
      </c>
      <c r="B265" s="158" t="s">
        <v>82</v>
      </c>
      <c r="C265" s="158" t="s">
        <v>37</v>
      </c>
      <c r="D265" s="158" t="s">
        <v>38</v>
      </c>
      <c r="E265" s="157">
        <v>1124</v>
      </c>
      <c r="F265" s="158" t="s">
        <v>525</v>
      </c>
      <c r="G265" s="159">
        <v>3707356.64</v>
      </c>
      <c r="H265" s="159">
        <v>0</v>
      </c>
      <c r="I265" s="159">
        <v>1736771.08</v>
      </c>
      <c r="J265" s="159">
        <v>46.8</v>
      </c>
      <c r="K265" t="str">
        <f>VLOOKUP($C265,Lists!$C$3:$M$118,7,FALSE)</f>
        <v>SOBO_RGB</v>
      </c>
      <c r="S265" s="4"/>
      <c r="T265" s="4"/>
      <c r="U265" s="5"/>
      <c r="V265" s="5"/>
    </row>
    <row r="266" spans="1:22" x14ac:dyDescent="0.25">
      <c r="A266" s="158" t="s">
        <v>443</v>
      </c>
      <c r="B266" s="158" t="s">
        <v>82</v>
      </c>
      <c r="C266" s="158" t="s">
        <v>39</v>
      </c>
      <c r="D266" s="158" t="s">
        <v>40</v>
      </c>
      <c r="E266" s="157">
        <v>417</v>
      </c>
      <c r="F266" s="158" t="s">
        <v>525</v>
      </c>
      <c r="G266" s="159">
        <v>1375416.12</v>
      </c>
      <c r="H266" s="159">
        <v>0</v>
      </c>
      <c r="I266" s="159">
        <v>638639.67000000004</v>
      </c>
      <c r="J266" s="159">
        <v>46.4</v>
      </c>
      <c r="K266" t="str">
        <f>VLOOKUP($C266,Lists!$C$3:$M$118,7,FALSE)</f>
        <v>SOBO_RGB</v>
      </c>
      <c r="S266" s="4"/>
      <c r="T266" s="4"/>
      <c r="U266" s="5"/>
      <c r="V266" s="5"/>
    </row>
    <row r="267" spans="1:22" x14ac:dyDescent="0.25">
      <c r="A267" s="158" t="s">
        <v>443</v>
      </c>
      <c r="B267" s="158" t="s">
        <v>82</v>
      </c>
      <c r="C267" s="158" t="s">
        <v>45</v>
      </c>
      <c r="D267" s="158" t="s">
        <v>46</v>
      </c>
      <c r="E267" s="157">
        <v>250</v>
      </c>
      <c r="F267" s="158" t="s">
        <v>525</v>
      </c>
      <c r="G267" s="159">
        <v>989507.5</v>
      </c>
      <c r="H267" s="159">
        <v>0</v>
      </c>
      <c r="I267" s="159">
        <v>487367.5</v>
      </c>
      <c r="J267" s="159">
        <v>49.3</v>
      </c>
      <c r="K267" t="str">
        <f>VLOOKUP($C267,Lists!$C$3:$M$118,7,FALSE)</f>
        <v>SOBO_RGB</v>
      </c>
      <c r="S267" s="4"/>
      <c r="T267" s="4"/>
      <c r="U267" s="5"/>
      <c r="V267" s="5"/>
    </row>
    <row r="268" spans="1:22" x14ac:dyDescent="0.25">
      <c r="A268" s="158" t="s">
        <v>443</v>
      </c>
      <c r="B268" s="158" t="s">
        <v>82</v>
      </c>
      <c r="C268" s="158" t="s">
        <v>47</v>
      </c>
      <c r="D268" s="158" t="s">
        <v>48</v>
      </c>
      <c r="E268" s="157">
        <v>251</v>
      </c>
      <c r="F268" s="158" t="s">
        <v>525</v>
      </c>
      <c r="G268" s="159">
        <v>993465.53</v>
      </c>
      <c r="H268" s="159">
        <v>0</v>
      </c>
      <c r="I268" s="159">
        <v>433559.83</v>
      </c>
      <c r="J268" s="159">
        <v>43.6</v>
      </c>
      <c r="K268" t="str">
        <f>VLOOKUP($C268,Lists!$C$3:$M$118,7,FALSE)</f>
        <v>COKE_RGB</v>
      </c>
      <c r="S268" s="4"/>
      <c r="T268" s="4"/>
      <c r="U268" s="5"/>
      <c r="V268" s="5"/>
    </row>
    <row r="269" spans="1:22" x14ac:dyDescent="0.25">
      <c r="A269" s="158" t="s">
        <v>443</v>
      </c>
      <c r="B269" s="158" t="s">
        <v>82</v>
      </c>
      <c r="C269" s="158" t="s">
        <v>51</v>
      </c>
      <c r="D269" s="158" t="s">
        <v>52</v>
      </c>
      <c r="E269" s="157">
        <v>216</v>
      </c>
      <c r="F269" s="158" t="s">
        <v>525</v>
      </c>
      <c r="G269" s="159">
        <v>2165914.08</v>
      </c>
      <c r="H269" s="159">
        <v>0</v>
      </c>
      <c r="I269" s="159">
        <v>684078.48</v>
      </c>
      <c r="J269" s="159">
        <v>31.6</v>
      </c>
      <c r="K269" t="str">
        <f>VLOOKUP($C269,Lists!$C$3:$M$118,7,FALSE)</f>
        <v>Squash</v>
      </c>
      <c r="S269" s="4"/>
      <c r="T269" s="4"/>
      <c r="U269" s="5"/>
      <c r="V269" s="5"/>
    </row>
    <row r="270" spans="1:22" x14ac:dyDescent="0.25">
      <c r="A270" s="158" t="s">
        <v>443</v>
      </c>
      <c r="B270" s="158" t="s">
        <v>82</v>
      </c>
      <c r="C270" s="158" t="s">
        <v>104</v>
      </c>
      <c r="D270" s="158" t="s">
        <v>105</v>
      </c>
      <c r="E270" s="157">
        <v>503</v>
      </c>
      <c r="F270" s="158" t="s">
        <v>525</v>
      </c>
      <c r="G270" s="159">
        <v>1659075.08</v>
      </c>
      <c r="H270" s="159">
        <v>0</v>
      </c>
      <c r="I270" s="159">
        <v>713772.09</v>
      </c>
      <c r="J270" s="159">
        <v>43</v>
      </c>
      <c r="K270" t="str">
        <f>VLOOKUP($C270,Lists!$C$3:$M$118,7,FALSE)</f>
        <v>SOBO_RGB</v>
      </c>
      <c r="S270" s="4"/>
      <c r="T270" s="4"/>
      <c r="U270" s="5"/>
      <c r="V270" s="5"/>
    </row>
    <row r="271" spans="1:22" x14ac:dyDescent="0.25">
      <c r="A271" s="158" t="s">
        <v>443</v>
      </c>
      <c r="B271" s="158" t="s">
        <v>82</v>
      </c>
      <c r="C271" s="158" t="s">
        <v>26</v>
      </c>
      <c r="D271" s="158" t="s">
        <v>27</v>
      </c>
      <c r="E271" s="157">
        <v>144</v>
      </c>
      <c r="F271" s="158" t="s">
        <v>525</v>
      </c>
      <c r="G271" s="159">
        <v>314265.59999999998</v>
      </c>
      <c r="H271" s="159">
        <v>0</v>
      </c>
      <c r="I271" s="159">
        <v>138551.04000000001</v>
      </c>
      <c r="J271" s="159">
        <v>44.1</v>
      </c>
      <c r="K271" t="str">
        <f>VLOOKUP($C271,Lists!$C$3:$M$118,7,FALSE)</f>
        <v>Water</v>
      </c>
      <c r="S271" s="4"/>
      <c r="T271" s="4"/>
      <c r="U271" s="5"/>
      <c r="V271" s="5"/>
    </row>
    <row r="272" spans="1:22" x14ac:dyDescent="0.25">
      <c r="A272" s="158" t="s">
        <v>444</v>
      </c>
      <c r="B272" s="158" t="s">
        <v>83</v>
      </c>
      <c r="C272" s="158" t="s">
        <v>10</v>
      </c>
      <c r="D272" s="158" t="s">
        <v>11</v>
      </c>
      <c r="E272" s="157">
        <v>144</v>
      </c>
      <c r="F272" s="158" t="s">
        <v>525</v>
      </c>
      <c r="G272" s="159">
        <v>1112446.08</v>
      </c>
      <c r="H272" s="159">
        <v>0</v>
      </c>
      <c r="I272" s="159">
        <v>466606.08000000002</v>
      </c>
      <c r="J272" s="159">
        <v>41.9</v>
      </c>
      <c r="K272" t="str">
        <f>VLOOKUP($C272,Lists!$C$3:$M$118,7,FALSE)</f>
        <v>Alcomix</v>
      </c>
      <c r="S272" s="4"/>
      <c r="T272" s="4"/>
      <c r="U272" s="5"/>
      <c r="V272" s="5"/>
    </row>
    <row r="273" spans="1:22" x14ac:dyDescent="0.25">
      <c r="A273" s="158" t="s">
        <v>444</v>
      </c>
      <c r="B273" s="158" t="s">
        <v>83</v>
      </c>
      <c r="C273" s="158" t="s">
        <v>12</v>
      </c>
      <c r="D273" s="158" t="s">
        <v>13</v>
      </c>
      <c r="E273" s="157">
        <v>2952</v>
      </c>
      <c r="F273" s="158" t="s">
        <v>525</v>
      </c>
      <c r="G273" s="159">
        <v>19004297.039999999</v>
      </c>
      <c r="H273" s="159">
        <v>0</v>
      </c>
      <c r="I273" s="159">
        <v>8305511.04</v>
      </c>
      <c r="J273" s="159">
        <v>43.7</v>
      </c>
      <c r="K273" t="str">
        <f>VLOOKUP($C273,Lists!$C$3:$M$118,7,FALSE)</f>
        <v>Beers</v>
      </c>
      <c r="S273" s="4"/>
      <c r="T273" s="4"/>
      <c r="U273" s="5"/>
      <c r="V273" s="5"/>
    </row>
    <row r="274" spans="1:22" x14ac:dyDescent="0.25">
      <c r="A274" s="158" t="s">
        <v>444</v>
      </c>
      <c r="B274" s="158" t="s">
        <v>83</v>
      </c>
      <c r="C274" s="158" t="s">
        <v>14</v>
      </c>
      <c r="D274" s="158" t="s">
        <v>15</v>
      </c>
      <c r="E274" s="157">
        <v>1512</v>
      </c>
      <c r="F274" s="158" t="s">
        <v>525</v>
      </c>
      <c r="G274" s="159">
        <v>11680683.84</v>
      </c>
      <c r="H274" s="159">
        <v>0</v>
      </c>
      <c r="I274" s="159">
        <v>5768189.2800000003</v>
      </c>
      <c r="J274" s="159">
        <v>49.4</v>
      </c>
      <c r="K274" t="str">
        <f>VLOOKUP($C274,Lists!$C$3:$M$118,7,FALSE)</f>
        <v>Beers</v>
      </c>
      <c r="S274" s="4"/>
      <c r="T274" s="4"/>
      <c r="U274" s="5"/>
      <c r="V274" s="5"/>
    </row>
    <row r="275" spans="1:22" x14ac:dyDescent="0.25">
      <c r="A275" s="158" t="s">
        <v>444</v>
      </c>
      <c r="B275" s="158" t="s">
        <v>83</v>
      </c>
      <c r="C275" s="158" t="s">
        <v>54</v>
      </c>
      <c r="D275" s="158" t="s">
        <v>55</v>
      </c>
      <c r="E275" s="157">
        <v>250</v>
      </c>
      <c r="F275" s="158" t="s">
        <v>525</v>
      </c>
      <c r="G275" s="159">
        <v>1931330</v>
      </c>
      <c r="H275" s="159">
        <v>0</v>
      </c>
      <c r="I275" s="159">
        <v>1013892.5</v>
      </c>
      <c r="J275" s="159">
        <v>52.5</v>
      </c>
      <c r="K275" t="str">
        <f>VLOOKUP($C275,Lists!$C$3:$M$118,7,FALSE)</f>
        <v>Beers</v>
      </c>
      <c r="S275" s="4"/>
      <c r="T275" s="4"/>
      <c r="U275" s="5"/>
      <c r="V275" s="5"/>
    </row>
    <row r="276" spans="1:22" x14ac:dyDescent="0.25">
      <c r="A276" s="158" t="s">
        <v>444</v>
      </c>
      <c r="B276" s="158" t="s">
        <v>83</v>
      </c>
      <c r="C276" s="158" t="s">
        <v>16</v>
      </c>
      <c r="D276" s="158" t="s">
        <v>17</v>
      </c>
      <c r="E276" s="157">
        <v>2304</v>
      </c>
      <c r="F276" s="158" t="s">
        <v>525</v>
      </c>
      <c r="G276" s="159">
        <v>17799137.280000001</v>
      </c>
      <c r="H276" s="159">
        <v>0</v>
      </c>
      <c r="I276" s="159">
        <v>8789621.7599999998</v>
      </c>
      <c r="J276" s="159">
        <v>49.4</v>
      </c>
      <c r="K276" t="str">
        <f>VLOOKUP($C276,Lists!$C$3:$M$118,7,FALSE)</f>
        <v>Beers</v>
      </c>
      <c r="S276" s="4"/>
      <c r="T276" s="4"/>
      <c r="U276" s="5"/>
      <c r="V276" s="5"/>
    </row>
    <row r="277" spans="1:22" x14ac:dyDescent="0.25">
      <c r="A277" s="158" t="s">
        <v>444</v>
      </c>
      <c r="B277" s="158" t="s">
        <v>83</v>
      </c>
      <c r="C277" s="158" t="s">
        <v>56</v>
      </c>
      <c r="D277" s="158" t="s">
        <v>57</v>
      </c>
      <c r="E277" s="157">
        <v>200</v>
      </c>
      <c r="F277" s="158" t="s">
        <v>525</v>
      </c>
      <c r="G277" s="159">
        <v>1545064</v>
      </c>
      <c r="H277" s="159">
        <v>0</v>
      </c>
      <c r="I277" s="159">
        <v>811114</v>
      </c>
      <c r="J277" s="159">
        <v>52.5</v>
      </c>
      <c r="K277" t="str">
        <f>VLOOKUP($C277,Lists!$C$3:$M$118,7,FALSE)</f>
        <v>Beers</v>
      </c>
      <c r="S277" s="4"/>
      <c r="T277" s="4"/>
      <c r="U277" s="5"/>
      <c r="V277" s="5"/>
    </row>
    <row r="278" spans="1:22" x14ac:dyDescent="0.25">
      <c r="A278" s="158" t="s">
        <v>444</v>
      </c>
      <c r="B278" s="158" t="s">
        <v>83</v>
      </c>
      <c r="C278" s="158" t="s">
        <v>18</v>
      </c>
      <c r="D278" s="158" t="s">
        <v>19</v>
      </c>
      <c r="E278" s="157">
        <v>216</v>
      </c>
      <c r="F278" s="158" t="s">
        <v>525</v>
      </c>
      <c r="G278" s="159">
        <v>2224892.88</v>
      </c>
      <c r="H278" s="159">
        <v>0</v>
      </c>
      <c r="I278" s="159">
        <v>1153640.8799999999</v>
      </c>
      <c r="J278" s="159">
        <v>51.9</v>
      </c>
      <c r="K278" t="str">
        <f>VLOOKUP($C278,Lists!$C$3:$M$118,7,FALSE)</f>
        <v>Beers</v>
      </c>
      <c r="S278" s="4"/>
      <c r="T278" s="4"/>
      <c r="U278" s="5"/>
      <c r="V278" s="5"/>
    </row>
    <row r="279" spans="1:22" x14ac:dyDescent="0.25">
      <c r="A279" s="158" t="s">
        <v>444</v>
      </c>
      <c r="B279" s="158" t="s">
        <v>83</v>
      </c>
      <c r="C279" s="158" t="s">
        <v>20</v>
      </c>
      <c r="D279" s="158" t="s">
        <v>21</v>
      </c>
      <c r="E279" s="157">
        <v>3312</v>
      </c>
      <c r="F279" s="158" t="s">
        <v>525</v>
      </c>
      <c r="G279" s="159">
        <v>13108995.359999999</v>
      </c>
      <c r="H279" s="159">
        <v>0</v>
      </c>
      <c r="I279" s="159">
        <v>5508948.9299999997</v>
      </c>
      <c r="J279" s="159">
        <v>42</v>
      </c>
      <c r="K279" t="str">
        <f>VLOOKUP($C279,Lists!$C$3:$M$118,7,FALSE)</f>
        <v>COKE_RGB</v>
      </c>
      <c r="S279" s="4"/>
      <c r="T279" s="4"/>
      <c r="U279" s="5"/>
      <c r="V279" s="5"/>
    </row>
    <row r="280" spans="1:22" x14ac:dyDescent="0.25">
      <c r="A280" s="158" t="s">
        <v>444</v>
      </c>
      <c r="B280" s="158" t="s">
        <v>83</v>
      </c>
      <c r="C280" s="158" t="s">
        <v>28</v>
      </c>
      <c r="D280" s="158" t="s">
        <v>530</v>
      </c>
      <c r="E280" s="157">
        <v>144</v>
      </c>
      <c r="F280" s="158" t="s">
        <v>525</v>
      </c>
      <c r="G280" s="159">
        <v>406497.6</v>
      </c>
      <c r="H280" s="159">
        <v>0</v>
      </c>
      <c r="I280" s="159">
        <v>205034.4</v>
      </c>
      <c r="J280" s="159">
        <v>50.4</v>
      </c>
      <c r="K280" t="str">
        <f>VLOOKUP($C280,Lists!$C$3:$M$118,7,FALSE)</f>
        <v>COKE_PET</v>
      </c>
      <c r="S280" s="4"/>
      <c r="T280" s="4"/>
      <c r="U280" s="5"/>
      <c r="V280" s="5"/>
    </row>
    <row r="281" spans="1:22" x14ac:dyDescent="0.25">
      <c r="A281" s="158" t="s">
        <v>444</v>
      </c>
      <c r="B281" s="158" t="s">
        <v>83</v>
      </c>
      <c r="C281" s="158" t="s">
        <v>58</v>
      </c>
      <c r="D281" s="158" t="s">
        <v>537</v>
      </c>
      <c r="E281" s="157">
        <v>144</v>
      </c>
      <c r="F281" s="158" t="s">
        <v>525</v>
      </c>
      <c r="G281" s="159">
        <v>348426.72</v>
      </c>
      <c r="H281" s="159">
        <v>0</v>
      </c>
      <c r="I281" s="159">
        <v>193042.08</v>
      </c>
      <c r="J281" s="159">
        <v>55.4</v>
      </c>
      <c r="K281" t="str">
        <f>VLOOKUP($C281,Lists!$C$3:$M$118,7,FALSE)</f>
        <v>SOBO_PET</v>
      </c>
      <c r="S281" s="4"/>
      <c r="T281" s="4"/>
      <c r="U281" s="5"/>
      <c r="V281" s="5"/>
    </row>
    <row r="282" spans="1:22" x14ac:dyDescent="0.25">
      <c r="A282" s="158" t="s">
        <v>444</v>
      </c>
      <c r="B282" s="158" t="s">
        <v>83</v>
      </c>
      <c r="C282" s="158" t="s">
        <v>43</v>
      </c>
      <c r="D282" s="158" t="s">
        <v>44</v>
      </c>
      <c r="E282" s="157">
        <v>216</v>
      </c>
      <c r="F282" s="158" t="s">
        <v>525</v>
      </c>
      <c r="G282" s="159">
        <v>1668669.12</v>
      </c>
      <c r="H282" s="159">
        <v>0</v>
      </c>
      <c r="I282" s="159">
        <v>824027.04</v>
      </c>
      <c r="J282" s="159">
        <v>49.4</v>
      </c>
      <c r="K282" t="str">
        <f>VLOOKUP($C282,Lists!$C$3:$M$118,7,FALSE)</f>
        <v>Beers</v>
      </c>
      <c r="S282" s="4"/>
      <c r="T282" s="4"/>
      <c r="U282" s="5"/>
      <c r="V282" s="5"/>
    </row>
    <row r="283" spans="1:22" x14ac:dyDescent="0.25">
      <c r="A283" s="158" t="s">
        <v>444</v>
      </c>
      <c r="B283" s="158" t="s">
        <v>83</v>
      </c>
      <c r="C283" s="158" t="s">
        <v>59</v>
      </c>
      <c r="D283" s="158" t="s">
        <v>60</v>
      </c>
      <c r="E283" s="157">
        <v>504</v>
      </c>
      <c r="F283" s="158" t="s">
        <v>525</v>
      </c>
      <c r="G283" s="159">
        <v>1994847.12</v>
      </c>
      <c r="H283" s="159">
        <v>0</v>
      </c>
      <c r="I283" s="159">
        <v>812236.32</v>
      </c>
      <c r="J283" s="159">
        <v>40.700000000000003</v>
      </c>
      <c r="K283" t="str">
        <f>VLOOKUP($C283,Lists!$C$3:$M$118,7,FALSE)</f>
        <v>COKE_RGB</v>
      </c>
      <c r="S283" s="4"/>
      <c r="T283" s="4"/>
      <c r="U283" s="5"/>
      <c r="V283" s="5"/>
    </row>
    <row r="284" spans="1:22" x14ac:dyDescent="0.25">
      <c r="A284" s="158" t="s">
        <v>444</v>
      </c>
      <c r="B284" s="158" t="s">
        <v>83</v>
      </c>
      <c r="C284" s="158" t="s">
        <v>22</v>
      </c>
      <c r="D284" s="158" t="s">
        <v>23</v>
      </c>
      <c r="E284" s="157">
        <v>1152</v>
      </c>
      <c r="F284" s="158" t="s">
        <v>525</v>
      </c>
      <c r="G284" s="159">
        <v>4559650.5599999996</v>
      </c>
      <c r="H284" s="159">
        <v>0</v>
      </c>
      <c r="I284" s="159">
        <v>1836933.1200000001</v>
      </c>
      <c r="J284" s="159">
        <v>40.299999999999997</v>
      </c>
      <c r="K284" t="str">
        <f>VLOOKUP($C284,Lists!$C$3:$M$118,7,FALSE)</f>
        <v>COKE_RGB</v>
      </c>
      <c r="S284" s="4"/>
      <c r="T284" s="4"/>
      <c r="U284" s="5"/>
      <c r="V284" s="5"/>
    </row>
    <row r="285" spans="1:22" x14ac:dyDescent="0.25">
      <c r="A285" s="158" t="s">
        <v>444</v>
      </c>
      <c r="B285" s="158" t="s">
        <v>83</v>
      </c>
      <c r="C285" s="158" t="s">
        <v>67</v>
      </c>
      <c r="D285" s="158" t="s">
        <v>533</v>
      </c>
      <c r="E285" s="157">
        <v>144</v>
      </c>
      <c r="F285" s="158" t="s">
        <v>525</v>
      </c>
      <c r="G285" s="159">
        <v>406497.6</v>
      </c>
      <c r="H285" s="159">
        <v>0</v>
      </c>
      <c r="I285" s="159">
        <v>199961.28</v>
      </c>
      <c r="J285" s="159">
        <v>49.2</v>
      </c>
      <c r="K285" t="str">
        <f>VLOOKUP($C285,Lists!$C$3:$M$118,7,FALSE)</f>
        <v>COKE_PET</v>
      </c>
      <c r="S285" s="4"/>
      <c r="T285" s="4"/>
      <c r="U285" s="5"/>
      <c r="V285" s="5"/>
    </row>
    <row r="286" spans="1:22" x14ac:dyDescent="0.25">
      <c r="A286" s="158" t="s">
        <v>444</v>
      </c>
      <c r="B286" s="158" t="s">
        <v>83</v>
      </c>
      <c r="C286" s="158" t="s">
        <v>261</v>
      </c>
      <c r="D286" s="158" t="s">
        <v>538</v>
      </c>
      <c r="E286" s="157">
        <v>144</v>
      </c>
      <c r="F286" s="158" t="s">
        <v>525</v>
      </c>
      <c r="G286" s="159">
        <v>569956.31999999995</v>
      </c>
      <c r="H286" s="159">
        <v>0</v>
      </c>
      <c r="I286" s="159">
        <v>229616.64000000001</v>
      </c>
      <c r="J286" s="159">
        <v>40.299999999999997</v>
      </c>
      <c r="K286" t="str">
        <f>VLOOKUP($C286,Lists!$C$3:$M$118,7,FALSE)</f>
        <v>COKE_RGB</v>
      </c>
      <c r="S286" s="4"/>
      <c r="T286" s="4"/>
      <c r="U286" s="5"/>
      <c r="V286" s="5"/>
    </row>
    <row r="287" spans="1:22" x14ac:dyDescent="0.25">
      <c r="A287" s="158" t="s">
        <v>444</v>
      </c>
      <c r="B287" s="158" t="s">
        <v>83</v>
      </c>
      <c r="C287" s="158" t="s">
        <v>24</v>
      </c>
      <c r="D287" s="158" t="s">
        <v>25</v>
      </c>
      <c r="E287" s="157">
        <v>720</v>
      </c>
      <c r="F287" s="158" t="s">
        <v>525</v>
      </c>
      <c r="G287" s="159">
        <v>4635194.4000000004</v>
      </c>
      <c r="H287" s="159">
        <v>0</v>
      </c>
      <c r="I287" s="159">
        <v>2231740.7999999998</v>
      </c>
      <c r="J287" s="159">
        <v>48.1</v>
      </c>
      <c r="K287" t="str">
        <f>VLOOKUP($C287,Lists!$C$3:$M$118,7,FALSE)</f>
        <v>Beers</v>
      </c>
      <c r="S287" s="4"/>
      <c r="T287" s="4"/>
      <c r="U287" s="5"/>
      <c r="V287" s="5"/>
    </row>
    <row r="288" spans="1:22" x14ac:dyDescent="0.25">
      <c r="A288" s="158" t="s">
        <v>444</v>
      </c>
      <c r="B288" s="158" t="s">
        <v>83</v>
      </c>
      <c r="C288" s="158" t="s">
        <v>29</v>
      </c>
      <c r="D288" s="158" t="s">
        <v>30</v>
      </c>
      <c r="E288" s="157">
        <v>59</v>
      </c>
      <c r="F288" s="158" t="s">
        <v>525</v>
      </c>
      <c r="G288" s="159">
        <v>2146679.0099999998</v>
      </c>
      <c r="H288" s="159">
        <v>0</v>
      </c>
      <c r="I288" s="159">
        <v>612679.01</v>
      </c>
      <c r="J288" s="159">
        <v>28.5</v>
      </c>
      <c r="K288" t="str">
        <f>VLOOKUP($C288,Lists!$C$3:$M$118,7,FALSE)</f>
        <v>Spirits</v>
      </c>
      <c r="S288" s="4"/>
      <c r="T288" s="4"/>
      <c r="U288" s="5"/>
      <c r="V288" s="5"/>
    </row>
    <row r="289" spans="1:22" x14ac:dyDescent="0.25">
      <c r="A289" s="158" t="s">
        <v>444</v>
      </c>
      <c r="B289" s="158" t="s">
        <v>83</v>
      </c>
      <c r="C289" s="158" t="s">
        <v>31</v>
      </c>
      <c r="D289" s="158" t="s">
        <v>32</v>
      </c>
      <c r="E289" s="157">
        <v>5</v>
      </c>
      <c r="F289" s="158" t="s">
        <v>525</v>
      </c>
      <c r="G289" s="159">
        <v>170783.9</v>
      </c>
      <c r="H289" s="159">
        <v>0</v>
      </c>
      <c r="I289" s="159">
        <v>50783.9</v>
      </c>
      <c r="J289" s="159">
        <v>29.7</v>
      </c>
      <c r="K289" t="str">
        <f>VLOOKUP($C289,Lists!$C$3:$M$118,7,FALSE)</f>
        <v>Spirits</v>
      </c>
      <c r="S289" s="4"/>
      <c r="T289" s="4"/>
      <c r="U289" s="5"/>
      <c r="V289" s="5"/>
    </row>
    <row r="290" spans="1:22" x14ac:dyDescent="0.25">
      <c r="A290" s="158" t="s">
        <v>444</v>
      </c>
      <c r="B290" s="158" t="s">
        <v>83</v>
      </c>
      <c r="C290" s="158" t="s">
        <v>33</v>
      </c>
      <c r="D290" s="158" t="s">
        <v>34</v>
      </c>
      <c r="E290" s="157">
        <v>15</v>
      </c>
      <c r="F290" s="158" t="s">
        <v>525</v>
      </c>
      <c r="G290" s="159">
        <v>835356</v>
      </c>
      <c r="H290" s="159">
        <v>0</v>
      </c>
      <c r="I290" s="159">
        <v>160356</v>
      </c>
      <c r="J290" s="159">
        <v>19.2</v>
      </c>
      <c r="K290" t="str">
        <f>VLOOKUP($C290,Lists!$C$3:$M$118,7,FALSE)</f>
        <v>Spirits</v>
      </c>
      <c r="S290" s="4"/>
      <c r="T290" s="4"/>
      <c r="U290" s="5"/>
      <c r="V290" s="5"/>
    </row>
    <row r="291" spans="1:22" x14ac:dyDescent="0.25">
      <c r="A291" s="158" t="s">
        <v>444</v>
      </c>
      <c r="B291" s="158" t="s">
        <v>83</v>
      </c>
      <c r="C291" s="158" t="s">
        <v>37</v>
      </c>
      <c r="D291" s="158" t="s">
        <v>38</v>
      </c>
      <c r="E291" s="157">
        <v>432</v>
      </c>
      <c r="F291" s="158" t="s">
        <v>525</v>
      </c>
      <c r="G291" s="159">
        <v>1424891.52</v>
      </c>
      <c r="H291" s="159">
        <v>0</v>
      </c>
      <c r="I291" s="159">
        <v>667513.43999999994</v>
      </c>
      <c r="J291" s="159">
        <v>46.8</v>
      </c>
      <c r="K291" t="str">
        <f>VLOOKUP($C291,Lists!$C$3:$M$118,7,FALSE)</f>
        <v>SOBO_RGB</v>
      </c>
      <c r="S291" s="4"/>
      <c r="T291" s="4"/>
      <c r="U291" s="5"/>
      <c r="V291" s="5"/>
    </row>
    <row r="292" spans="1:22" x14ac:dyDescent="0.25">
      <c r="A292" s="158" t="s">
        <v>444</v>
      </c>
      <c r="B292" s="158" t="s">
        <v>83</v>
      </c>
      <c r="C292" s="158" t="s">
        <v>39</v>
      </c>
      <c r="D292" s="158" t="s">
        <v>40</v>
      </c>
      <c r="E292" s="157">
        <v>504</v>
      </c>
      <c r="F292" s="158" t="s">
        <v>525</v>
      </c>
      <c r="G292" s="159">
        <v>1662373.44</v>
      </c>
      <c r="H292" s="159">
        <v>0</v>
      </c>
      <c r="I292" s="159">
        <v>771881.04</v>
      </c>
      <c r="J292" s="159">
        <v>46.4</v>
      </c>
      <c r="K292" t="str">
        <f>VLOOKUP($C292,Lists!$C$3:$M$118,7,FALSE)</f>
        <v>SOBO_RGB</v>
      </c>
      <c r="S292" s="4"/>
      <c r="T292" s="4"/>
      <c r="U292" s="5"/>
      <c r="V292" s="5"/>
    </row>
    <row r="293" spans="1:22" x14ac:dyDescent="0.25">
      <c r="A293" s="158" t="s">
        <v>444</v>
      </c>
      <c r="B293" s="158" t="s">
        <v>83</v>
      </c>
      <c r="C293" s="158" t="s">
        <v>88</v>
      </c>
      <c r="D293" s="158" t="s">
        <v>527</v>
      </c>
      <c r="E293" s="157">
        <v>144</v>
      </c>
      <c r="F293" s="158" t="s">
        <v>525</v>
      </c>
      <c r="G293" s="159">
        <v>406497.6</v>
      </c>
      <c r="H293" s="159">
        <v>0</v>
      </c>
      <c r="I293" s="159">
        <v>238492.79999999999</v>
      </c>
      <c r="J293" s="159">
        <v>58.7</v>
      </c>
      <c r="K293" t="str">
        <f>VLOOKUP($C293,Lists!$C$3:$M$118,7,FALSE)</f>
        <v>SOBO_PET</v>
      </c>
      <c r="S293" s="4"/>
      <c r="T293" s="4"/>
      <c r="U293" s="5"/>
      <c r="V293" s="5"/>
    </row>
    <row r="294" spans="1:22" x14ac:dyDescent="0.25">
      <c r="A294" s="158" t="s">
        <v>444</v>
      </c>
      <c r="B294" s="158" t="s">
        <v>83</v>
      </c>
      <c r="C294" s="158" t="s">
        <v>45</v>
      </c>
      <c r="D294" s="158" t="s">
        <v>46</v>
      </c>
      <c r="E294" s="157">
        <v>432</v>
      </c>
      <c r="F294" s="158" t="s">
        <v>525</v>
      </c>
      <c r="G294" s="159">
        <v>1709868.96</v>
      </c>
      <c r="H294" s="159">
        <v>0</v>
      </c>
      <c r="I294" s="159">
        <v>842171.03</v>
      </c>
      <c r="J294" s="159">
        <v>49.3</v>
      </c>
      <c r="K294" t="str">
        <f>VLOOKUP($C294,Lists!$C$3:$M$118,7,FALSE)</f>
        <v>SOBO_RGB</v>
      </c>
      <c r="S294" s="4"/>
      <c r="T294" s="4"/>
      <c r="U294" s="5"/>
      <c r="V294" s="5"/>
    </row>
    <row r="295" spans="1:22" x14ac:dyDescent="0.25">
      <c r="A295" s="158" t="s">
        <v>444</v>
      </c>
      <c r="B295" s="158" t="s">
        <v>83</v>
      </c>
      <c r="C295" s="158" t="s">
        <v>47</v>
      </c>
      <c r="D295" s="158" t="s">
        <v>48</v>
      </c>
      <c r="E295" s="157">
        <v>504</v>
      </c>
      <c r="F295" s="158" t="s">
        <v>525</v>
      </c>
      <c r="G295" s="159">
        <v>1994847.12</v>
      </c>
      <c r="H295" s="159">
        <v>0</v>
      </c>
      <c r="I295" s="159">
        <v>870574.32</v>
      </c>
      <c r="J295" s="159">
        <v>43.6</v>
      </c>
      <c r="K295" t="str">
        <f>VLOOKUP($C295,Lists!$C$3:$M$118,7,FALSE)</f>
        <v>COKE_RGB</v>
      </c>
      <c r="S295" s="4"/>
      <c r="T295" s="4"/>
      <c r="U295" s="5"/>
      <c r="V295" s="5"/>
    </row>
    <row r="296" spans="1:22" x14ac:dyDescent="0.25">
      <c r="A296" s="158" t="s">
        <v>444</v>
      </c>
      <c r="B296" s="158" t="s">
        <v>83</v>
      </c>
      <c r="C296" s="158" t="s">
        <v>68</v>
      </c>
      <c r="D296" s="158" t="s">
        <v>534</v>
      </c>
      <c r="E296" s="157">
        <v>144</v>
      </c>
      <c r="F296" s="158" t="s">
        <v>525</v>
      </c>
      <c r="G296" s="159">
        <v>406497.6</v>
      </c>
      <c r="H296" s="159">
        <v>0</v>
      </c>
      <c r="I296" s="159">
        <v>198080.64000000001</v>
      </c>
      <c r="J296" s="159">
        <v>48.7</v>
      </c>
      <c r="K296" t="str">
        <f>VLOOKUP($C296,Lists!$C$3:$M$118,7,FALSE)</f>
        <v>COKE_PET</v>
      </c>
      <c r="S296" s="4"/>
      <c r="T296" s="4"/>
      <c r="U296" s="5"/>
      <c r="V296" s="5"/>
    </row>
    <row r="297" spans="1:22" x14ac:dyDescent="0.25">
      <c r="A297" s="158" t="s">
        <v>444</v>
      </c>
      <c r="B297" s="158" t="s">
        <v>83</v>
      </c>
      <c r="C297" s="158" t="s">
        <v>49</v>
      </c>
      <c r="D297" s="158" t="s">
        <v>50</v>
      </c>
      <c r="E297" s="157">
        <v>140</v>
      </c>
      <c r="F297" s="158" t="s">
        <v>525</v>
      </c>
      <c r="G297" s="159">
        <v>1403833.2</v>
      </c>
      <c r="H297" s="159">
        <v>0</v>
      </c>
      <c r="I297" s="159">
        <v>447120.8</v>
      </c>
      <c r="J297" s="159">
        <v>31.8</v>
      </c>
      <c r="K297" t="str">
        <f>VLOOKUP($C297,Lists!$C$3:$M$118,7,FALSE)</f>
        <v>Squash</v>
      </c>
      <c r="S297" s="4"/>
      <c r="T297" s="4"/>
      <c r="U297" s="5"/>
      <c r="V297" s="5"/>
    </row>
    <row r="298" spans="1:22" x14ac:dyDescent="0.25">
      <c r="A298" s="158" t="s">
        <v>444</v>
      </c>
      <c r="B298" s="158" t="s">
        <v>83</v>
      </c>
      <c r="C298" s="158" t="s">
        <v>51</v>
      </c>
      <c r="D298" s="158" t="s">
        <v>52</v>
      </c>
      <c r="E298" s="157">
        <v>70</v>
      </c>
      <c r="F298" s="158" t="s">
        <v>525</v>
      </c>
      <c r="G298" s="159">
        <v>701916.6</v>
      </c>
      <c r="H298" s="159">
        <v>0</v>
      </c>
      <c r="I298" s="159">
        <v>221692.1</v>
      </c>
      <c r="J298" s="159">
        <v>31.6</v>
      </c>
      <c r="K298" t="str">
        <f>VLOOKUP($C298,Lists!$C$3:$M$118,7,FALSE)</f>
        <v>Squash</v>
      </c>
      <c r="S298" s="4"/>
      <c r="T298" s="4"/>
      <c r="U298" s="5"/>
      <c r="V298" s="5"/>
    </row>
    <row r="299" spans="1:22" x14ac:dyDescent="0.25">
      <c r="A299" s="158" t="s">
        <v>444</v>
      </c>
      <c r="B299" s="158" t="s">
        <v>83</v>
      </c>
      <c r="C299" s="158" t="s">
        <v>26</v>
      </c>
      <c r="D299" s="158" t="s">
        <v>27</v>
      </c>
      <c r="E299" s="157">
        <v>432</v>
      </c>
      <c r="F299" s="158" t="s">
        <v>525</v>
      </c>
      <c r="G299" s="159">
        <v>942796.80000000005</v>
      </c>
      <c r="H299" s="159">
        <v>0</v>
      </c>
      <c r="I299" s="159">
        <v>415653.12</v>
      </c>
      <c r="J299" s="159">
        <v>44.1</v>
      </c>
      <c r="K299" t="str">
        <f>VLOOKUP($C299,Lists!$C$3:$M$118,7,FALSE)</f>
        <v>Water</v>
      </c>
      <c r="S299" s="4"/>
      <c r="T299" s="4"/>
      <c r="U299" s="5"/>
      <c r="V299" s="5"/>
    </row>
    <row r="300" spans="1:22" x14ac:dyDescent="0.25">
      <c r="A300" s="158" t="s">
        <v>445</v>
      </c>
      <c r="B300" s="158" t="s">
        <v>84</v>
      </c>
      <c r="C300" s="158" t="s">
        <v>69</v>
      </c>
      <c r="D300" s="158" t="s">
        <v>70</v>
      </c>
      <c r="E300" s="157">
        <v>36</v>
      </c>
      <c r="F300" s="158" t="s">
        <v>525</v>
      </c>
      <c r="G300" s="159">
        <v>278111.52</v>
      </c>
      <c r="H300" s="159">
        <v>0</v>
      </c>
      <c r="I300" s="159">
        <v>116651.52</v>
      </c>
      <c r="J300" s="159">
        <v>41.9</v>
      </c>
      <c r="K300" t="str">
        <f>VLOOKUP($C300,Lists!$C$3:$M$118,7,FALSE)</f>
        <v>Alcomix</v>
      </c>
      <c r="S300" s="4"/>
      <c r="T300" s="4"/>
      <c r="U300" s="5"/>
      <c r="V300" s="5"/>
    </row>
    <row r="301" spans="1:22" x14ac:dyDescent="0.25">
      <c r="A301" s="158" t="s">
        <v>445</v>
      </c>
      <c r="B301" s="158" t="s">
        <v>84</v>
      </c>
      <c r="C301" s="158" t="s">
        <v>41</v>
      </c>
      <c r="D301" s="158" t="s">
        <v>42</v>
      </c>
      <c r="E301" s="157">
        <v>429</v>
      </c>
      <c r="F301" s="158" t="s">
        <v>525</v>
      </c>
      <c r="G301" s="159">
        <v>3314162.28</v>
      </c>
      <c r="H301" s="159">
        <v>0</v>
      </c>
      <c r="I301" s="159">
        <v>1390097.28</v>
      </c>
      <c r="J301" s="159">
        <v>41.9</v>
      </c>
      <c r="K301" t="str">
        <f>VLOOKUP($C301,Lists!$C$3:$M$118,7,FALSE)</f>
        <v>Alcomix</v>
      </c>
      <c r="S301" s="4"/>
      <c r="T301" s="4"/>
      <c r="U301" s="5"/>
      <c r="V301" s="5"/>
    </row>
    <row r="302" spans="1:22" x14ac:dyDescent="0.25">
      <c r="A302" s="158" t="s">
        <v>445</v>
      </c>
      <c r="B302" s="158" t="s">
        <v>84</v>
      </c>
      <c r="C302" s="158" t="s">
        <v>10</v>
      </c>
      <c r="D302" s="158" t="s">
        <v>11</v>
      </c>
      <c r="E302" s="157">
        <v>287</v>
      </c>
      <c r="F302" s="158" t="s">
        <v>525</v>
      </c>
      <c r="G302" s="159">
        <v>2217166.84</v>
      </c>
      <c r="H302" s="159">
        <v>0</v>
      </c>
      <c r="I302" s="159">
        <v>929971.84</v>
      </c>
      <c r="J302" s="159">
        <v>41.9</v>
      </c>
      <c r="K302" t="str">
        <f>VLOOKUP($C302,Lists!$C$3:$M$118,7,FALSE)</f>
        <v>Alcomix</v>
      </c>
      <c r="S302" s="4"/>
      <c r="T302" s="4"/>
      <c r="U302" s="5"/>
      <c r="V302" s="5"/>
    </row>
    <row r="303" spans="1:22" x14ac:dyDescent="0.25">
      <c r="A303" s="158" t="s">
        <v>445</v>
      </c>
      <c r="B303" s="158" t="s">
        <v>84</v>
      </c>
      <c r="C303" s="158" t="s">
        <v>71</v>
      </c>
      <c r="D303" s="158" t="s">
        <v>553</v>
      </c>
      <c r="E303" s="157">
        <v>36</v>
      </c>
      <c r="F303" s="158" t="s">
        <v>525</v>
      </c>
      <c r="G303" s="159">
        <v>278111.52</v>
      </c>
      <c r="H303" s="159">
        <v>0</v>
      </c>
      <c r="I303" s="159">
        <v>116651.52</v>
      </c>
      <c r="J303" s="159">
        <v>41.9</v>
      </c>
      <c r="K303" t="str">
        <f>VLOOKUP($C303,Lists!$C$3:$M$118,7,FALSE)</f>
        <v>Alcomix</v>
      </c>
      <c r="S303" s="4"/>
      <c r="T303" s="4"/>
      <c r="U303" s="5"/>
      <c r="V303" s="5"/>
    </row>
    <row r="304" spans="1:22" x14ac:dyDescent="0.25">
      <c r="A304" s="158" t="s">
        <v>445</v>
      </c>
      <c r="B304" s="158" t="s">
        <v>84</v>
      </c>
      <c r="C304" s="158" t="s">
        <v>12</v>
      </c>
      <c r="D304" s="158" t="s">
        <v>13</v>
      </c>
      <c r="E304" s="157">
        <v>8982</v>
      </c>
      <c r="F304" s="158" t="s">
        <v>525</v>
      </c>
      <c r="G304" s="159">
        <v>57824050.140000001</v>
      </c>
      <c r="H304" s="159">
        <v>0</v>
      </c>
      <c r="I304" s="159">
        <v>25271036.640000001</v>
      </c>
      <c r="J304" s="159">
        <v>43.7</v>
      </c>
      <c r="K304" t="str">
        <f>VLOOKUP($C304,Lists!$C$3:$M$118,7,FALSE)</f>
        <v>Beers</v>
      </c>
      <c r="S304" s="4"/>
      <c r="T304" s="4"/>
      <c r="U304" s="5"/>
      <c r="V304" s="5"/>
    </row>
    <row r="305" spans="1:22" x14ac:dyDescent="0.25">
      <c r="A305" s="158" t="s">
        <v>445</v>
      </c>
      <c r="B305" s="158" t="s">
        <v>84</v>
      </c>
      <c r="C305" s="158" t="s">
        <v>14</v>
      </c>
      <c r="D305" s="158" t="s">
        <v>15</v>
      </c>
      <c r="E305" s="157">
        <v>5964</v>
      </c>
      <c r="F305" s="158" t="s">
        <v>525</v>
      </c>
      <c r="G305" s="159">
        <v>46073808.479999997</v>
      </c>
      <c r="H305" s="159">
        <v>0</v>
      </c>
      <c r="I305" s="159">
        <v>22752302.140000001</v>
      </c>
      <c r="J305" s="159">
        <v>49.4</v>
      </c>
      <c r="K305" t="str">
        <f>VLOOKUP($C305,Lists!$C$3:$M$118,7,FALSE)</f>
        <v>Beers</v>
      </c>
      <c r="S305" s="4"/>
      <c r="T305" s="4"/>
      <c r="U305" s="5"/>
      <c r="V305" s="5"/>
    </row>
    <row r="306" spans="1:22" x14ac:dyDescent="0.25">
      <c r="A306" s="158" t="s">
        <v>445</v>
      </c>
      <c r="B306" s="158" t="s">
        <v>84</v>
      </c>
      <c r="C306" s="158" t="s">
        <v>54</v>
      </c>
      <c r="D306" s="158" t="s">
        <v>55</v>
      </c>
      <c r="E306" s="157">
        <v>748</v>
      </c>
      <c r="F306" s="158" t="s">
        <v>525</v>
      </c>
      <c r="G306" s="159">
        <v>5778539.3600000003</v>
      </c>
      <c r="H306" s="159">
        <v>0</v>
      </c>
      <c r="I306" s="159">
        <v>3033566.35</v>
      </c>
      <c r="J306" s="159">
        <v>52.5</v>
      </c>
      <c r="K306" t="str">
        <f>VLOOKUP($C306,Lists!$C$3:$M$118,7,FALSE)</f>
        <v>Beers</v>
      </c>
      <c r="S306" s="4"/>
      <c r="T306" s="4"/>
      <c r="U306" s="5"/>
      <c r="V306" s="5"/>
    </row>
    <row r="307" spans="1:22" x14ac:dyDescent="0.25">
      <c r="A307" s="158" t="s">
        <v>445</v>
      </c>
      <c r="B307" s="158" t="s">
        <v>84</v>
      </c>
      <c r="C307" s="158" t="s">
        <v>16</v>
      </c>
      <c r="D307" s="158" t="s">
        <v>17</v>
      </c>
      <c r="E307" s="157">
        <v>6751</v>
      </c>
      <c r="F307" s="158" t="s">
        <v>525</v>
      </c>
      <c r="G307" s="159">
        <v>52153635.32</v>
      </c>
      <c r="H307" s="159">
        <v>0</v>
      </c>
      <c r="I307" s="159">
        <v>25754659.940000001</v>
      </c>
      <c r="J307" s="159">
        <v>49.4</v>
      </c>
      <c r="K307" t="str">
        <f>VLOOKUP($C307,Lists!$C$3:$M$118,7,FALSE)</f>
        <v>Beers</v>
      </c>
      <c r="S307" s="4"/>
      <c r="T307" s="4"/>
      <c r="U307" s="5"/>
      <c r="V307" s="5"/>
    </row>
    <row r="308" spans="1:22" x14ac:dyDescent="0.25">
      <c r="A308" s="158" t="s">
        <v>445</v>
      </c>
      <c r="B308" s="158" t="s">
        <v>84</v>
      </c>
      <c r="C308" s="158" t="s">
        <v>56</v>
      </c>
      <c r="D308" s="158" t="s">
        <v>57</v>
      </c>
      <c r="E308" s="157">
        <v>200</v>
      </c>
      <c r="F308" s="158" t="s">
        <v>525</v>
      </c>
      <c r="G308" s="159">
        <v>1545064</v>
      </c>
      <c r="H308" s="159">
        <v>0</v>
      </c>
      <c r="I308" s="159">
        <v>811114</v>
      </c>
      <c r="J308" s="159">
        <v>52.5</v>
      </c>
      <c r="K308" t="str">
        <f>VLOOKUP($C308,Lists!$C$3:$M$118,7,FALSE)</f>
        <v>Beers</v>
      </c>
      <c r="S308" s="4"/>
      <c r="T308" s="4"/>
      <c r="U308" s="5"/>
      <c r="V308" s="5"/>
    </row>
    <row r="309" spans="1:22" x14ac:dyDescent="0.25">
      <c r="A309" s="158" t="s">
        <v>445</v>
      </c>
      <c r="B309" s="158" t="s">
        <v>84</v>
      </c>
      <c r="C309" s="158" t="s">
        <v>18</v>
      </c>
      <c r="D309" s="158" t="s">
        <v>19</v>
      </c>
      <c r="E309" s="157">
        <v>1284</v>
      </c>
      <c r="F309" s="158" t="s">
        <v>525</v>
      </c>
      <c r="G309" s="159">
        <v>13225752.119999999</v>
      </c>
      <c r="H309" s="159">
        <v>0</v>
      </c>
      <c r="I309" s="159">
        <v>6857754.0999999996</v>
      </c>
      <c r="J309" s="159">
        <v>51.9</v>
      </c>
      <c r="K309" t="str">
        <f>VLOOKUP($C309,Lists!$C$3:$M$118,7,FALSE)</f>
        <v>Beers</v>
      </c>
      <c r="S309" s="4"/>
      <c r="T309" s="4"/>
      <c r="U309" s="5"/>
      <c r="V309" s="5"/>
    </row>
    <row r="310" spans="1:22" x14ac:dyDescent="0.25">
      <c r="A310" s="158" t="s">
        <v>445</v>
      </c>
      <c r="B310" s="158" t="s">
        <v>84</v>
      </c>
      <c r="C310" s="158" t="s">
        <v>20</v>
      </c>
      <c r="D310" s="158" t="s">
        <v>21</v>
      </c>
      <c r="E310" s="157">
        <v>5751</v>
      </c>
      <c r="F310" s="158" t="s">
        <v>525</v>
      </c>
      <c r="G310" s="159">
        <v>22762630.530000001</v>
      </c>
      <c r="H310" s="159">
        <v>0</v>
      </c>
      <c r="I310" s="159">
        <v>9565810.8200000003</v>
      </c>
      <c r="J310" s="159">
        <v>42</v>
      </c>
      <c r="K310" t="str">
        <f>VLOOKUP($C310,Lists!$C$3:$M$118,7,FALSE)</f>
        <v>COKE_RGB</v>
      </c>
      <c r="S310" s="4"/>
      <c r="T310" s="4"/>
      <c r="U310" s="5"/>
      <c r="V310" s="5"/>
    </row>
    <row r="311" spans="1:22" x14ac:dyDescent="0.25">
      <c r="A311" s="158" t="s">
        <v>445</v>
      </c>
      <c r="B311" s="158" t="s">
        <v>84</v>
      </c>
      <c r="C311" s="158" t="s">
        <v>28</v>
      </c>
      <c r="D311" s="158" t="s">
        <v>530</v>
      </c>
      <c r="E311" s="157">
        <v>286</v>
      </c>
      <c r="F311" s="158" t="s">
        <v>525</v>
      </c>
      <c r="G311" s="159">
        <v>807349.4</v>
      </c>
      <c r="H311" s="159">
        <v>0</v>
      </c>
      <c r="I311" s="159">
        <v>407221.1</v>
      </c>
      <c r="J311" s="159">
        <v>50.4</v>
      </c>
      <c r="K311" t="str">
        <f>VLOOKUP($C311,Lists!$C$3:$M$118,7,FALSE)</f>
        <v>COKE_PET</v>
      </c>
      <c r="S311" s="4"/>
      <c r="T311" s="4"/>
      <c r="U311" s="5"/>
      <c r="V311" s="5"/>
    </row>
    <row r="312" spans="1:22" x14ac:dyDescent="0.25">
      <c r="A312" s="158" t="s">
        <v>445</v>
      </c>
      <c r="B312" s="158" t="s">
        <v>84</v>
      </c>
      <c r="C312" s="158" t="s">
        <v>58</v>
      </c>
      <c r="D312" s="158" t="s">
        <v>537</v>
      </c>
      <c r="E312" s="157">
        <v>172</v>
      </c>
      <c r="F312" s="158" t="s">
        <v>525</v>
      </c>
      <c r="G312" s="159">
        <v>416176.36</v>
      </c>
      <c r="H312" s="159">
        <v>0</v>
      </c>
      <c r="I312" s="159">
        <v>230578.04</v>
      </c>
      <c r="J312" s="159">
        <v>55.4</v>
      </c>
      <c r="K312" t="str">
        <f>VLOOKUP($C312,Lists!$C$3:$M$118,7,FALSE)</f>
        <v>SOBO_PET</v>
      </c>
      <c r="S312" s="4"/>
      <c r="T312" s="4"/>
      <c r="U312" s="5"/>
      <c r="V312" s="5"/>
    </row>
    <row r="313" spans="1:22" x14ac:dyDescent="0.25">
      <c r="A313" s="158" t="s">
        <v>445</v>
      </c>
      <c r="B313" s="158" t="s">
        <v>84</v>
      </c>
      <c r="C313" s="158" t="s">
        <v>78</v>
      </c>
      <c r="D313" s="158" t="s">
        <v>526</v>
      </c>
      <c r="E313" s="157">
        <v>325</v>
      </c>
      <c r="F313" s="158" t="s">
        <v>525</v>
      </c>
      <c r="G313" s="159">
        <v>786379.75</v>
      </c>
      <c r="H313" s="159">
        <v>0</v>
      </c>
      <c r="I313" s="159">
        <v>429354.25</v>
      </c>
      <c r="J313" s="159">
        <v>54.6</v>
      </c>
      <c r="K313" t="str">
        <f>VLOOKUP($C313,Lists!$C$3:$M$118,7,FALSE)</f>
        <v>SOBO_PET</v>
      </c>
      <c r="S313" s="4"/>
      <c r="T313" s="4"/>
      <c r="U313" s="5"/>
      <c r="V313" s="5"/>
    </row>
    <row r="314" spans="1:22" x14ac:dyDescent="0.25">
      <c r="A314" s="158" t="s">
        <v>445</v>
      </c>
      <c r="B314" s="158" t="s">
        <v>84</v>
      </c>
      <c r="C314" s="158" t="s">
        <v>43</v>
      </c>
      <c r="D314" s="158" t="s">
        <v>44</v>
      </c>
      <c r="E314" s="157">
        <v>571</v>
      </c>
      <c r="F314" s="158" t="s">
        <v>525</v>
      </c>
      <c r="G314" s="159">
        <v>4411157.72</v>
      </c>
      <c r="H314" s="159">
        <v>0</v>
      </c>
      <c r="I314" s="159">
        <v>2178330.73</v>
      </c>
      <c r="J314" s="159">
        <v>49.4</v>
      </c>
      <c r="K314" t="str">
        <f>VLOOKUP($C314,Lists!$C$3:$M$118,7,FALSE)</f>
        <v>Beers</v>
      </c>
      <c r="S314" s="4"/>
      <c r="T314" s="4"/>
      <c r="U314" s="5"/>
      <c r="V314" s="5"/>
    </row>
    <row r="315" spans="1:22" x14ac:dyDescent="0.25">
      <c r="A315" s="158" t="s">
        <v>445</v>
      </c>
      <c r="B315" s="158" t="s">
        <v>84</v>
      </c>
      <c r="C315" s="158" t="s">
        <v>59</v>
      </c>
      <c r="D315" s="158" t="s">
        <v>60</v>
      </c>
      <c r="E315" s="157">
        <v>644</v>
      </c>
      <c r="F315" s="158" t="s">
        <v>525</v>
      </c>
      <c r="G315" s="159">
        <v>2548971.3199999998</v>
      </c>
      <c r="H315" s="159">
        <v>0</v>
      </c>
      <c r="I315" s="159">
        <v>1037857.52</v>
      </c>
      <c r="J315" s="159">
        <v>40.700000000000003</v>
      </c>
      <c r="K315" t="str">
        <f>VLOOKUP($C315,Lists!$C$3:$M$118,7,FALSE)</f>
        <v>COKE_RGB</v>
      </c>
      <c r="S315" s="4"/>
      <c r="T315" s="4"/>
      <c r="U315" s="5"/>
      <c r="V315" s="5"/>
    </row>
    <row r="316" spans="1:22" x14ac:dyDescent="0.25">
      <c r="A316" s="158" t="s">
        <v>445</v>
      </c>
      <c r="B316" s="158" t="s">
        <v>84</v>
      </c>
      <c r="C316" s="158" t="s">
        <v>22</v>
      </c>
      <c r="D316" s="158" t="s">
        <v>23</v>
      </c>
      <c r="E316" s="157">
        <v>2510</v>
      </c>
      <c r="F316" s="158" t="s">
        <v>525</v>
      </c>
      <c r="G316" s="159">
        <v>9934655.3000000007</v>
      </c>
      <c r="H316" s="159">
        <v>0</v>
      </c>
      <c r="I316" s="159">
        <v>4002345.6</v>
      </c>
      <c r="J316" s="159">
        <v>40.299999999999997</v>
      </c>
      <c r="K316" t="str">
        <f>VLOOKUP($C316,Lists!$C$3:$M$118,7,FALSE)</f>
        <v>COKE_RGB</v>
      </c>
      <c r="S316" s="4"/>
      <c r="T316" s="4"/>
      <c r="U316" s="5"/>
      <c r="V316" s="5"/>
    </row>
    <row r="317" spans="1:22" x14ac:dyDescent="0.25">
      <c r="A317" s="158" t="s">
        <v>445</v>
      </c>
      <c r="B317" s="158" t="s">
        <v>84</v>
      </c>
      <c r="C317" s="158" t="s">
        <v>67</v>
      </c>
      <c r="D317" s="158" t="s">
        <v>533</v>
      </c>
      <c r="E317" s="157">
        <v>144</v>
      </c>
      <c r="F317" s="158" t="s">
        <v>525</v>
      </c>
      <c r="G317" s="159">
        <v>406497.6</v>
      </c>
      <c r="H317" s="159">
        <v>0</v>
      </c>
      <c r="I317" s="159">
        <v>199961.28</v>
      </c>
      <c r="J317" s="159">
        <v>49.2</v>
      </c>
      <c r="K317" t="str">
        <f>VLOOKUP($C317,Lists!$C$3:$M$118,7,FALSE)</f>
        <v>COKE_PET</v>
      </c>
      <c r="S317" s="4"/>
      <c r="T317" s="4"/>
      <c r="U317" s="5"/>
      <c r="V317" s="5"/>
    </row>
    <row r="318" spans="1:22" x14ac:dyDescent="0.25">
      <c r="A318" s="158" t="s">
        <v>445</v>
      </c>
      <c r="B318" s="158" t="s">
        <v>84</v>
      </c>
      <c r="C318" s="158" t="s">
        <v>261</v>
      </c>
      <c r="D318" s="158" t="s">
        <v>538</v>
      </c>
      <c r="E318" s="157">
        <v>286</v>
      </c>
      <c r="F318" s="158" t="s">
        <v>525</v>
      </c>
      <c r="G318" s="159">
        <v>1131996.58</v>
      </c>
      <c r="H318" s="159">
        <v>0</v>
      </c>
      <c r="I318" s="159">
        <v>456044.16</v>
      </c>
      <c r="J318" s="159">
        <v>40.299999999999997</v>
      </c>
      <c r="K318" t="str">
        <f>VLOOKUP($C318,Lists!$C$3:$M$118,7,FALSE)</f>
        <v>COKE_RGB</v>
      </c>
      <c r="S318" s="4"/>
      <c r="T318" s="4"/>
      <c r="U318" s="5"/>
      <c r="V318" s="5"/>
    </row>
    <row r="319" spans="1:22" x14ac:dyDescent="0.25">
      <c r="A319" s="158" t="s">
        <v>445</v>
      </c>
      <c r="B319" s="158" t="s">
        <v>84</v>
      </c>
      <c r="C319" s="158" t="s">
        <v>24</v>
      </c>
      <c r="D319" s="158" t="s">
        <v>25</v>
      </c>
      <c r="E319" s="157">
        <v>1793</v>
      </c>
      <c r="F319" s="158" t="s">
        <v>525</v>
      </c>
      <c r="G319" s="159">
        <v>11542921.609999999</v>
      </c>
      <c r="H319" s="159">
        <v>0</v>
      </c>
      <c r="I319" s="159">
        <v>5557654.5099999998</v>
      </c>
      <c r="J319" s="159">
        <v>48.1</v>
      </c>
      <c r="K319" t="str">
        <f>VLOOKUP($C319,Lists!$C$3:$M$118,7,FALSE)</f>
        <v>Beers</v>
      </c>
      <c r="S319" s="4"/>
      <c r="T319" s="4"/>
      <c r="U319" s="5"/>
      <c r="V319" s="5"/>
    </row>
    <row r="320" spans="1:22" x14ac:dyDescent="0.25">
      <c r="A320" s="158" t="s">
        <v>445</v>
      </c>
      <c r="B320" s="158" t="s">
        <v>84</v>
      </c>
      <c r="C320" s="158" t="s">
        <v>29</v>
      </c>
      <c r="D320" s="158" t="s">
        <v>30</v>
      </c>
      <c r="E320" s="157">
        <v>175</v>
      </c>
      <c r="F320" s="158" t="s">
        <v>525</v>
      </c>
      <c r="G320" s="159">
        <v>6367268.25</v>
      </c>
      <c r="H320" s="159">
        <v>0</v>
      </c>
      <c r="I320" s="159">
        <v>1817268.25</v>
      </c>
      <c r="J320" s="159">
        <v>28.5</v>
      </c>
      <c r="K320" t="str">
        <f>VLOOKUP($C320,Lists!$C$3:$M$118,7,FALSE)</f>
        <v>Spirits</v>
      </c>
      <c r="S320" s="4"/>
      <c r="T320" s="4"/>
      <c r="U320" s="5"/>
      <c r="V320" s="5"/>
    </row>
    <row r="321" spans="1:22" x14ac:dyDescent="0.25">
      <c r="A321" s="158" t="s">
        <v>445</v>
      </c>
      <c r="B321" s="158" t="s">
        <v>84</v>
      </c>
      <c r="C321" s="158" t="s">
        <v>31</v>
      </c>
      <c r="D321" s="158" t="s">
        <v>32</v>
      </c>
      <c r="E321" s="157">
        <v>10</v>
      </c>
      <c r="F321" s="158" t="s">
        <v>525</v>
      </c>
      <c r="G321" s="159">
        <v>341567.8</v>
      </c>
      <c r="H321" s="159">
        <v>0</v>
      </c>
      <c r="I321" s="159">
        <v>101567.8</v>
      </c>
      <c r="J321" s="159">
        <v>29.7</v>
      </c>
      <c r="K321" t="str">
        <f>VLOOKUP($C321,Lists!$C$3:$M$118,7,FALSE)</f>
        <v>Spirits</v>
      </c>
      <c r="S321" s="4"/>
      <c r="T321" s="4"/>
      <c r="U321" s="5"/>
      <c r="V321" s="5"/>
    </row>
    <row r="322" spans="1:22" x14ac:dyDescent="0.25">
      <c r="A322" s="158" t="s">
        <v>445</v>
      </c>
      <c r="B322" s="158" t="s">
        <v>84</v>
      </c>
      <c r="C322" s="158" t="s">
        <v>33</v>
      </c>
      <c r="D322" s="158" t="s">
        <v>34</v>
      </c>
      <c r="E322" s="157">
        <v>25</v>
      </c>
      <c r="F322" s="158" t="s">
        <v>525</v>
      </c>
      <c r="G322" s="159">
        <v>1392260</v>
      </c>
      <c r="H322" s="159">
        <v>0</v>
      </c>
      <c r="I322" s="159">
        <v>267260</v>
      </c>
      <c r="J322" s="159">
        <v>19.2</v>
      </c>
      <c r="K322" t="str">
        <f>VLOOKUP($C322,Lists!$C$3:$M$118,7,FALSE)</f>
        <v>Spirits</v>
      </c>
      <c r="S322" s="4"/>
      <c r="T322" s="4"/>
      <c r="U322" s="5"/>
      <c r="V322" s="5"/>
    </row>
    <row r="323" spans="1:22" x14ac:dyDescent="0.25">
      <c r="A323" s="158" t="s">
        <v>445</v>
      </c>
      <c r="B323" s="158" t="s">
        <v>84</v>
      </c>
      <c r="C323" s="158" t="s">
        <v>37</v>
      </c>
      <c r="D323" s="158" t="s">
        <v>38</v>
      </c>
      <c r="E323" s="157">
        <v>1868</v>
      </c>
      <c r="F323" s="158" t="s">
        <v>525</v>
      </c>
      <c r="G323" s="159">
        <v>6161336.4800000004</v>
      </c>
      <c r="H323" s="159">
        <v>0</v>
      </c>
      <c r="I323" s="159">
        <v>2886377.54</v>
      </c>
      <c r="J323" s="159">
        <v>46.8</v>
      </c>
      <c r="K323" t="str">
        <f>VLOOKUP($C323,Lists!$C$3:$M$118,7,FALSE)</f>
        <v>SOBO_RGB</v>
      </c>
      <c r="S323" s="4"/>
      <c r="T323" s="4"/>
      <c r="U323" s="5"/>
      <c r="V323" s="5"/>
    </row>
    <row r="324" spans="1:22" x14ac:dyDescent="0.25">
      <c r="A324" s="158" t="s">
        <v>445</v>
      </c>
      <c r="B324" s="158" t="s">
        <v>84</v>
      </c>
      <c r="C324" s="158" t="s">
        <v>39</v>
      </c>
      <c r="D324" s="158" t="s">
        <v>40</v>
      </c>
      <c r="E324" s="157">
        <v>1861</v>
      </c>
      <c r="F324" s="158" t="s">
        <v>525</v>
      </c>
      <c r="G324" s="159">
        <v>6138247.96</v>
      </c>
      <c r="H324" s="159">
        <v>0</v>
      </c>
      <c r="I324" s="159">
        <v>2850140.11</v>
      </c>
      <c r="J324" s="159">
        <v>46.4</v>
      </c>
      <c r="K324" t="str">
        <f>VLOOKUP($C324,Lists!$C$3:$M$118,7,FALSE)</f>
        <v>SOBO_RGB</v>
      </c>
      <c r="S324" s="4"/>
      <c r="T324" s="4"/>
      <c r="U324" s="5"/>
      <c r="V324" s="5"/>
    </row>
    <row r="325" spans="1:22" x14ac:dyDescent="0.25">
      <c r="A325" s="158" t="s">
        <v>445</v>
      </c>
      <c r="B325" s="158" t="s">
        <v>84</v>
      </c>
      <c r="C325" s="158" t="s">
        <v>88</v>
      </c>
      <c r="D325" s="158" t="s">
        <v>527</v>
      </c>
      <c r="E325" s="157">
        <v>257</v>
      </c>
      <c r="F325" s="158" t="s">
        <v>525</v>
      </c>
      <c r="G325" s="159">
        <v>725485.3</v>
      </c>
      <c r="H325" s="159">
        <v>0</v>
      </c>
      <c r="I325" s="159">
        <v>425643.4</v>
      </c>
      <c r="J325" s="159">
        <v>58.7</v>
      </c>
      <c r="K325" t="str">
        <f>VLOOKUP($C325,Lists!$C$3:$M$118,7,FALSE)</f>
        <v>SOBO_PET</v>
      </c>
      <c r="S325" s="4"/>
      <c r="T325" s="4"/>
      <c r="U325" s="5"/>
      <c r="V325" s="5"/>
    </row>
    <row r="326" spans="1:22" x14ac:dyDescent="0.25">
      <c r="A326" s="158" t="s">
        <v>445</v>
      </c>
      <c r="B326" s="158" t="s">
        <v>84</v>
      </c>
      <c r="C326" s="158" t="s">
        <v>45</v>
      </c>
      <c r="D326" s="158" t="s">
        <v>46</v>
      </c>
      <c r="E326" s="157">
        <v>716</v>
      </c>
      <c r="F326" s="158" t="s">
        <v>525</v>
      </c>
      <c r="G326" s="159">
        <v>2833949.48</v>
      </c>
      <c r="H326" s="159">
        <v>0</v>
      </c>
      <c r="I326" s="159">
        <v>1395820.52</v>
      </c>
      <c r="J326" s="159">
        <v>49.3</v>
      </c>
      <c r="K326" t="str">
        <f>VLOOKUP($C326,Lists!$C$3:$M$118,7,FALSE)</f>
        <v>SOBO_RGB</v>
      </c>
      <c r="S326" s="4"/>
      <c r="T326" s="4"/>
      <c r="U326" s="5"/>
      <c r="V326" s="5"/>
    </row>
    <row r="327" spans="1:22" x14ac:dyDescent="0.25">
      <c r="A327" s="158" t="s">
        <v>445</v>
      </c>
      <c r="B327" s="158" t="s">
        <v>84</v>
      </c>
      <c r="C327" s="158" t="s">
        <v>47</v>
      </c>
      <c r="D327" s="158" t="s">
        <v>48</v>
      </c>
      <c r="E327" s="157">
        <v>1146</v>
      </c>
      <c r="F327" s="158" t="s">
        <v>525</v>
      </c>
      <c r="G327" s="159">
        <v>4535902.38</v>
      </c>
      <c r="H327" s="159">
        <v>0</v>
      </c>
      <c r="I327" s="159">
        <v>1979520.17</v>
      </c>
      <c r="J327" s="159">
        <v>43.6</v>
      </c>
      <c r="K327" t="str">
        <f>VLOOKUP($C327,Lists!$C$3:$M$118,7,FALSE)</f>
        <v>COKE_RGB</v>
      </c>
      <c r="S327" s="4"/>
      <c r="T327" s="4"/>
      <c r="U327" s="5"/>
      <c r="V327" s="5"/>
    </row>
    <row r="328" spans="1:22" x14ac:dyDescent="0.25">
      <c r="A328" s="158" t="s">
        <v>445</v>
      </c>
      <c r="B328" s="158" t="s">
        <v>84</v>
      </c>
      <c r="C328" s="158" t="s">
        <v>68</v>
      </c>
      <c r="D328" s="158" t="s">
        <v>534</v>
      </c>
      <c r="E328" s="157">
        <v>4</v>
      </c>
      <c r="F328" s="158" t="s">
        <v>525</v>
      </c>
      <c r="G328" s="159">
        <v>11291.6</v>
      </c>
      <c r="H328" s="159">
        <v>0</v>
      </c>
      <c r="I328" s="159">
        <v>5502.24</v>
      </c>
      <c r="J328" s="159">
        <v>48.7</v>
      </c>
      <c r="K328" t="str">
        <f>VLOOKUP($C328,Lists!$C$3:$M$118,7,FALSE)</f>
        <v>COKE_PET</v>
      </c>
      <c r="S328" s="4"/>
      <c r="T328" s="4"/>
      <c r="U328" s="5"/>
      <c r="V328" s="5"/>
    </row>
    <row r="329" spans="1:22" x14ac:dyDescent="0.25">
      <c r="A329" s="158" t="s">
        <v>445</v>
      </c>
      <c r="B329" s="158" t="s">
        <v>84</v>
      </c>
      <c r="C329" s="158" t="s">
        <v>65</v>
      </c>
      <c r="D329" s="158" t="s">
        <v>66</v>
      </c>
      <c r="E329" s="157">
        <v>30</v>
      </c>
      <c r="F329" s="158" t="s">
        <v>525</v>
      </c>
      <c r="G329" s="159">
        <v>150405.6</v>
      </c>
      <c r="H329" s="159">
        <v>0</v>
      </c>
      <c r="I329" s="159">
        <v>29353.8</v>
      </c>
      <c r="J329" s="159">
        <v>19.5</v>
      </c>
      <c r="K329" t="str">
        <f>VLOOKUP($C329,Lists!$C$3:$M$118,7,FALSE)</f>
        <v>Squash</v>
      </c>
      <c r="S329" s="4"/>
      <c r="T329" s="4"/>
      <c r="U329" s="5"/>
      <c r="V329" s="5"/>
    </row>
    <row r="330" spans="1:22" x14ac:dyDescent="0.25">
      <c r="A330" s="158" t="s">
        <v>445</v>
      </c>
      <c r="B330" s="158" t="s">
        <v>84</v>
      </c>
      <c r="C330" s="158" t="s">
        <v>49</v>
      </c>
      <c r="D330" s="158" t="s">
        <v>50</v>
      </c>
      <c r="E330" s="157">
        <v>80</v>
      </c>
      <c r="F330" s="158" t="s">
        <v>525</v>
      </c>
      <c r="G330" s="159">
        <v>802190.4</v>
      </c>
      <c r="H330" s="159">
        <v>0</v>
      </c>
      <c r="I330" s="159">
        <v>255497.60000000001</v>
      </c>
      <c r="J330" s="159">
        <v>31.8</v>
      </c>
      <c r="K330" t="str">
        <f>VLOOKUP($C330,Lists!$C$3:$M$118,7,FALSE)</f>
        <v>Squash</v>
      </c>
      <c r="S330" s="4"/>
      <c r="T330" s="4"/>
      <c r="U330" s="5"/>
      <c r="V330" s="5"/>
    </row>
    <row r="331" spans="1:22" x14ac:dyDescent="0.25">
      <c r="A331" s="158" t="s">
        <v>445</v>
      </c>
      <c r="B331" s="158" t="s">
        <v>84</v>
      </c>
      <c r="C331" s="158" t="s">
        <v>51</v>
      </c>
      <c r="D331" s="158" t="s">
        <v>52</v>
      </c>
      <c r="E331" s="157">
        <v>153.5</v>
      </c>
      <c r="F331" s="158" t="s">
        <v>525</v>
      </c>
      <c r="G331" s="159">
        <v>1539202.83</v>
      </c>
      <c r="H331" s="159">
        <v>0</v>
      </c>
      <c r="I331" s="159">
        <v>486139.1</v>
      </c>
      <c r="J331" s="159">
        <v>31.6</v>
      </c>
      <c r="K331" t="str">
        <f>VLOOKUP($C331,Lists!$C$3:$M$118,7,FALSE)</f>
        <v>Squash</v>
      </c>
      <c r="S331" s="4"/>
      <c r="T331" s="4"/>
      <c r="U331" s="5"/>
      <c r="V331" s="5"/>
    </row>
    <row r="332" spans="1:22" x14ac:dyDescent="0.25">
      <c r="A332" s="158" t="s">
        <v>445</v>
      </c>
      <c r="B332" s="158" t="s">
        <v>84</v>
      </c>
      <c r="C332" s="158" t="s">
        <v>26</v>
      </c>
      <c r="D332" s="158" t="s">
        <v>27</v>
      </c>
      <c r="E332" s="157">
        <v>272.33332000000001</v>
      </c>
      <c r="F332" s="158" t="s">
        <v>525</v>
      </c>
      <c r="G332" s="159">
        <v>594340.24</v>
      </c>
      <c r="H332" s="159">
        <v>0</v>
      </c>
      <c r="I332" s="159">
        <v>262028.24</v>
      </c>
      <c r="J332" s="159">
        <v>44.1</v>
      </c>
      <c r="K332" t="str">
        <f>VLOOKUP($C332,Lists!$C$3:$M$118,7,FALSE)</f>
        <v>Water</v>
      </c>
      <c r="S332" s="4"/>
      <c r="T332" s="4"/>
      <c r="U332" s="5"/>
      <c r="V332" s="5"/>
    </row>
    <row r="333" spans="1:22" x14ac:dyDescent="0.25">
      <c r="A333" s="158" t="s">
        <v>554</v>
      </c>
      <c r="B333" s="158" t="s">
        <v>555</v>
      </c>
      <c r="C333" s="158" t="s">
        <v>28</v>
      </c>
      <c r="D333" s="158" t="s">
        <v>530</v>
      </c>
      <c r="E333" s="157">
        <v>431</v>
      </c>
      <c r="F333" s="158" t="s">
        <v>525</v>
      </c>
      <c r="G333" s="159">
        <v>1240068.8899999999</v>
      </c>
      <c r="H333" s="159">
        <v>0</v>
      </c>
      <c r="I333" s="159">
        <v>637078.34</v>
      </c>
      <c r="J333" s="159">
        <v>51.4</v>
      </c>
      <c r="K333" t="str">
        <f>VLOOKUP($C333,Lists!$C$3:$M$118,7,FALSE)</f>
        <v>COKE_PET</v>
      </c>
      <c r="S333" s="4"/>
      <c r="T333" s="4"/>
      <c r="U333" s="5"/>
      <c r="V333" s="5"/>
    </row>
    <row r="334" spans="1:22" x14ac:dyDescent="0.25">
      <c r="A334" s="158" t="s">
        <v>554</v>
      </c>
      <c r="B334" s="158" t="s">
        <v>555</v>
      </c>
      <c r="C334" s="158" t="s">
        <v>58</v>
      </c>
      <c r="D334" s="158" t="s">
        <v>537</v>
      </c>
      <c r="E334" s="157">
        <v>143</v>
      </c>
      <c r="F334" s="158" t="s">
        <v>525</v>
      </c>
      <c r="G334" s="159">
        <v>352660.88</v>
      </c>
      <c r="H334" s="159">
        <v>0</v>
      </c>
      <c r="I334" s="159">
        <v>198355.3</v>
      </c>
      <c r="J334" s="159">
        <v>56.2</v>
      </c>
      <c r="K334" t="str">
        <f>VLOOKUP($C334,Lists!$C$3:$M$118,7,FALSE)</f>
        <v>SOBO_PET</v>
      </c>
      <c r="S334" s="4"/>
      <c r="T334" s="4"/>
      <c r="U334" s="5"/>
      <c r="V334" s="5"/>
    </row>
    <row r="335" spans="1:22" x14ac:dyDescent="0.25">
      <c r="A335" s="158" t="s">
        <v>554</v>
      </c>
      <c r="B335" s="158" t="s">
        <v>555</v>
      </c>
      <c r="C335" s="158" t="s">
        <v>67</v>
      </c>
      <c r="D335" s="158" t="s">
        <v>533</v>
      </c>
      <c r="E335" s="157">
        <v>144</v>
      </c>
      <c r="F335" s="158" t="s">
        <v>525</v>
      </c>
      <c r="G335" s="159">
        <v>414315.36</v>
      </c>
      <c r="H335" s="159">
        <v>0</v>
      </c>
      <c r="I335" s="159">
        <v>207779.04</v>
      </c>
      <c r="J335" s="159">
        <v>50.1</v>
      </c>
      <c r="K335" t="str">
        <f>VLOOKUP($C335,Lists!$C$3:$M$118,7,FALSE)</f>
        <v>COKE_PET</v>
      </c>
      <c r="S335" s="4"/>
      <c r="T335" s="4"/>
      <c r="U335" s="5"/>
      <c r="V335" s="5"/>
    </row>
    <row r="336" spans="1:22" x14ac:dyDescent="0.25">
      <c r="A336" s="158" t="s">
        <v>554</v>
      </c>
      <c r="B336" s="158" t="s">
        <v>555</v>
      </c>
      <c r="C336" s="158" t="s">
        <v>68</v>
      </c>
      <c r="D336" s="158" t="s">
        <v>534</v>
      </c>
      <c r="E336" s="157">
        <v>143</v>
      </c>
      <c r="F336" s="158" t="s">
        <v>525</v>
      </c>
      <c r="G336" s="159">
        <v>411438.17</v>
      </c>
      <c r="H336" s="159">
        <v>0</v>
      </c>
      <c r="I336" s="159">
        <v>204468.55</v>
      </c>
      <c r="J336" s="159">
        <v>49.7</v>
      </c>
      <c r="K336" t="str">
        <f>VLOOKUP($C336,Lists!$C$3:$M$118,7,FALSE)</f>
        <v>COKE_PET</v>
      </c>
      <c r="S336" s="4"/>
      <c r="T336" s="4"/>
      <c r="U336" s="5"/>
      <c r="V336" s="5"/>
    </row>
    <row r="337" spans="1:22" x14ac:dyDescent="0.25">
      <c r="A337" s="158" t="s">
        <v>554</v>
      </c>
      <c r="B337" s="158" t="s">
        <v>555</v>
      </c>
      <c r="C337" s="158" t="s">
        <v>49</v>
      </c>
      <c r="D337" s="158" t="s">
        <v>50</v>
      </c>
      <c r="E337" s="157">
        <v>72</v>
      </c>
      <c r="F337" s="158" t="s">
        <v>525</v>
      </c>
      <c r="G337" s="159">
        <v>721971.36</v>
      </c>
      <c r="H337" s="159">
        <v>0</v>
      </c>
      <c r="I337" s="159">
        <v>229947.84</v>
      </c>
      <c r="J337" s="159">
        <v>31.8</v>
      </c>
      <c r="K337" t="str">
        <f>VLOOKUP($C337,Lists!$C$3:$M$118,7,FALSE)</f>
        <v>Squash</v>
      </c>
      <c r="S337" s="4"/>
      <c r="T337" s="4"/>
      <c r="U337" s="5"/>
      <c r="V337" s="5"/>
    </row>
    <row r="338" spans="1:22" x14ac:dyDescent="0.25">
      <c r="A338" s="158" t="s">
        <v>554</v>
      </c>
      <c r="B338" s="158" t="s">
        <v>555</v>
      </c>
      <c r="C338" s="158" t="s">
        <v>51</v>
      </c>
      <c r="D338" s="158" t="s">
        <v>52</v>
      </c>
      <c r="E338" s="157">
        <v>215</v>
      </c>
      <c r="F338" s="158" t="s">
        <v>525</v>
      </c>
      <c r="G338" s="159">
        <v>2155886.7000000002</v>
      </c>
      <c r="H338" s="159">
        <v>0</v>
      </c>
      <c r="I338" s="159">
        <v>680911.45</v>
      </c>
      <c r="J338" s="159">
        <v>31.6</v>
      </c>
      <c r="K338" t="str">
        <f>VLOOKUP($C338,Lists!$C$3:$M$118,7,FALSE)</f>
        <v>Squash</v>
      </c>
      <c r="S338" s="4"/>
      <c r="T338" s="4"/>
      <c r="U338" s="5"/>
      <c r="V338" s="5"/>
    </row>
    <row r="339" spans="1:22" x14ac:dyDescent="0.25">
      <c r="A339" s="158" t="s">
        <v>556</v>
      </c>
      <c r="B339" s="158" t="s">
        <v>557</v>
      </c>
      <c r="C339" s="158" t="s">
        <v>10</v>
      </c>
      <c r="D339" s="158" t="s">
        <v>11</v>
      </c>
      <c r="E339" s="157">
        <v>143</v>
      </c>
      <c r="F339" s="158" t="s">
        <v>525</v>
      </c>
      <c r="G339" s="159">
        <v>1125564.44</v>
      </c>
      <c r="H339" s="159">
        <v>0</v>
      </c>
      <c r="I339" s="159">
        <v>484209.44</v>
      </c>
      <c r="J339" s="159">
        <v>43</v>
      </c>
      <c r="K339" t="str">
        <f>VLOOKUP($C339,Lists!$C$3:$M$118,7,FALSE)</f>
        <v>Alcomix</v>
      </c>
      <c r="S339" s="4"/>
      <c r="T339" s="4"/>
      <c r="U339" s="5"/>
      <c r="V339" s="5"/>
    </row>
    <row r="340" spans="1:22" x14ac:dyDescent="0.25">
      <c r="A340" s="158" t="s">
        <v>556</v>
      </c>
      <c r="B340" s="158" t="s">
        <v>557</v>
      </c>
      <c r="C340" s="158" t="s">
        <v>12</v>
      </c>
      <c r="D340" s="158" t="s">
        <v>13</v>
      </c>
      <c r="E340" s="157">
        <v>929</v>
      </c>
      <c r="F340" s="158" t="s">
        <v>525</v>
      </c>
      <c r="G340" s="159">
        <v>6093533.96</v>
      </c>
      <c r="H340" s="159">
        <v>0</v>
      </c>
      <c r="I340" s="159">
        <v>2726605.71</v>
      </c>
      <c r="J340" s="159">
        <v>44.7</v>
      </c>
      <c r="K340" t="str">
        <f>VLOOKUP($C340,Lists!$C$3:$M$118,7,FALSE)</f>
        <v>Beers</v>
      </c>
      <c r="S340" s="4"/>
      <c r="T340" s="4"/>
      <c r="U340" s="5"/>
      <c r="V340" s="5"/>
    </row>
    <row r="341" spans="1:22" x14ac:dyDescent="0.25">
      <c r="A341" s="158" t="s">
        <v>556</v>
      </c>
      <c r="B341" s="158" t="s">
        <v>557</v>
      </c>
      <c r="C341" s="158" t="s">
        <v>14</v>
      </c>
      <c r="D341" s="158" t="s">
        <v>15</v>
      </c>
      <c r="E341" s="157">
        <v>715</v>
      </c>
      <c r="F341" s="158" t="s">
        <v>525</v>
      </c>
      <c r="G341" s="159">
        <v>5627822.2000000002</v>
      </c>
      <c r="H341" s="159">
        <v>0</v>
      </c>
      <c r="I341" s="159">
        <v>2831900.5</v>
      </c>
      <c r="J341" s="159">
        <v>50.3</v>
      </c>
      <c r="K341" t="str">
        <f>VLOOKUP($C341,Lists!$C$3:$M$118,7,FALSE)</f>
        <v>Beers</v>
      </c>
      <c r="S341" s="4"/>
      <c r="T341" s="4"/>
      <c r="U341" s="5"/>
      <c r="V341" s="5"/>
    </row>
    <row r="342" spans="1:22" x14ac:dyDescent="0.25">
      <c r="A342" s="158" t="s">
        <v>556</v>
      </c>
      <c r="B342" s="158" t="s">
        <v>557</v>
      </c>
      <c r="C342" s="158" t="s">
        <v>16</v>
      </c>
      <c r="D342" s="158" t="s">
        <v>17</v>
      </c>
      <c r="E342" s="157">
        <v>501</v>
      </c>
      <c r="F342" s="158" t="s">
        <v>525</v>
      </c>
      <c r="G342" s="159">
        <v>3943411.08</v>
      </c>
      <c r="H342" s="159">
        <v>0</v>
      </c>
      <c r="I342" s="159">
        <v>1984310.7</v>
      </c>
      <c r="J342" s="159">
        <v>50.3</v>
      </c>
      <c r="K342" t="str">
        <f>VLOOKUP($C342,Lists!$C$3:$M$118,7,FALSE)</f>
        <v>Beers</v>
      </c>
      <c r="S342" s="4"/>
      <c r="T342" s="4"/>
      <c r="U342" s="5"/>
      <c r="V342" s="5"/>
    </row>
    <row r="343" spans="1:22" x14ac:dyDescent="0.25">
      <c r="A343" s="158" t="s">
        <v>556</v>
      </c>
      <c r="B343" s="158" t="s">
        <v>557</v>
      </c>
      <c r="C343" s="158" t="s">
        <v>18</v>
      </c>
      <c r="D343" s="158" t="s">
        <v>19</v>
      </c>
      <c r="E343" s="157">
        <v>356</v>
      </c>
      <c r="F343" s="158" t="s">
        <v>525</v>
      </c>
      <c r="G343" s="159">
        <v>3736138.12</v>
      </c>
      <c r="H343" s="159">
        <v>0</v>
      </c>
      <c r="I343" s="159">
        <v>1970556.12</v>
      </c>
      <c r="J343" s="159">
        <v>52.7</v>
      </c>
      <c r="K343" t="str">
        <f>VLOOKUP($C343,Lists!$C$3:$M$118,7,FALSE)</f>
        <v>Beers</v>
      </c>
      <c r="S343" s="4"/>
      <c r="T343" s="4"/>
      <c r="U343" s="5"/>
      <c r="V343" s="5"/>
    </row>
    <row r="344" spans="1:22" x14ac:dyDescent="0.25">
      <c r="A344" s="158" t="s">
        <v>556</v>
      </c>
      <c r="B344" s="158" t="s">
        <v>557</v>
      </c>
      <c r="C344" s="158" t="s">
        <v>20</v>
      </c>
      <c r="D344" s="158" t="s">
        <v>21</v>
      </c>
      <c r="E344" s="157">
        <v>713</v>
      </c>
      <c r="F344" s="158" t="s">
        <v>525</v>
      </c>
      <c r="G344" s="159">
        <v>2875322.23</v>
      </c>
      <c r="H344" s="159">
        <v>0</v>
      </c>
      <c r="I344" s="159">
        <v>1239201.1200000001</v>
      </c>
      <c r="J344" s="159">
        <v>43.1</v>
      </c>
      <c r="K344" t="str">
        <f>VLOOKUP($C344,Lists!$C$3:$M$118,7,FALSE)</f>
        <v>COKE_RGB</v>
      </c>
      <c r="S344" s="4"/>
      <c r="T344" s="4"/>
      <c r="U344" s="5"/>
      <c r="V344" s="5"/>
    </row>
    <row r="345" spans="1:22" x14ac:dyDescent="0.25">
      <c r="A345" s="158" t="s">
        <v>556</v>
      </c>
      <c r="B345" s="158" t="s">
        <v>557</v>
      </c>
      <c r="C345" s="158" t="s">
        <v>28</v>
      </c>
      <c r="D345" s="158" t="s">
        <v>530</v>
      </c>
      <c r="E345" s="157">
        <v>285</v>
      </c>
      <c r="F345" s="158" t="s">
        <v>525</v>
      </c>
      <c r="G345" s="159">
        <v>819999.15</v>
      </c>
      <c r="H345" s="159">
        <v>0</v>
      </c>
      <c r="I345" s="159">
        <v>421269.9</v>
      </c>
      <c r="J345" s="159">
        <v>51.4</v>
      </c>
      <c r="K345" t="str">
        <f>VLOOKUP($C345,Lists!$C$3:$M$118,7,FALSE)</f>
        <v>COKE_PET</v>
      </c>
      <c r="S345" s="4"/>
      <c r="T345" s="4"/>
      <c r="U345" s="5"/>
      <c r="V345" s="5"/>
    </row>
    <row r="346" spans="1:22" x14ac:dyDescent="0.25">
      <c r="A346" s="158" t="s">
        <v>556</v>
      </c>
      <c r="B346" s="158" t="s">
        <v>557</v>
      </c>
      <c r="C346" s="158" t="s">
        <v>58</v>
      </c>
      <c r="D346" s="158" t="s">
        <v>537</v>
      </c>
      <c r="E346" s="157">
        <v>143</v>
      </c>
      <c r="F346" s="158" t="s">
        <v>525</v>
      </c>
      <c r="G346" s="159">
        <v>352660.88</v>
      </c>
      <c r="H346" s="159">
        <v>0</v>
      </c>
      <c r="I346" s="159">
        <v>198355.3</v>
      </c>
      <c r="J346" s="159">
        <v>56.2</v>
      </c>
      <c r="K346" t="str">
        <f>VLOOKUP($C346,Lists!$C$3:$M$118,7,FALSE)</f>
        <v>SOBO_PET</v>
      </c>
      <c r="S346" s="4"/>
      <c r="T346" s="4"/>
      <c r="U346" s="5"/>
      <c r="V346" s="5"/>
    </row>
    <row r="347" spans="1:22" x14ac:dyDescent="0.25">
      <c r="A347" s="158" t="s">
        <v>556</v>
      </c>
      <c r="B347" s="158" t="s">
        <v>557</v>
      </c>
      <c r="C347" s="158" t="s">
        <v>78</v>
      </c>
      <c r="D347" s="158" t="s">
        <v>526</v>
      </c>
      <c r="E347" s="157">
        <v>144</v>
      </c>
      <c r="F347" s="158" t="s">
        <v>525</v>
      </c>
      <c r="G347" s="159">
        <v>355127.03999999998</v>
      </c>
      <c r="H347" s="159">
        <v>0</v>
      </c>
      <c r="I347" s="159">
        <v>196937.28</v>
      </c>
      <c r="J347" s="159">
        <v>55.5</v>
      </c>
      <c r="K347" t="str">
        <f>VLOOKUP($C347,Lists!$C$3:$M$118,7,FALSE)</f>
        <v>SOBO_PET</v>
      </c>
      <c r="S347" s="4"/>
      <c r="T347" s="4"/>
      <c r="U347" s="5"/>
      <c r="V347" s="5"/>
    </row>
    <row r="348" spans="1:22" x14ac:dyDescent="0.25">
      <c r="A348" s="158" t="s">
        <v>556</v>
      </c>
      <c r="B348" s="158" t="s">
        <v>557</v>
      </c>
      <c r="C348" s="158" t="s">
        <v>43</v>
      </c>
      <c r="D348" s="158" t="s">
        <v>44</v>
      </c>
      <c r="E348" s="157">
        <v>72</v>
      </c>
      <c r="F348" s="158" t="s">
        <v>525</v>
      </c>
      <c r="G348" s="159">
        <v>566717.76</v>
      </c>
      <c r="H348" s="159">
        <v>0</v>
      </c>
      <c r="I348" s="159">
        <v>285170.40000000002</v>
      </c>
      <c r="J348" s="159">
        <v>50.3</v>
      </c>
      <c r="K348" t="str">
        <f>VLOOKUP($C348,Lists!$C$3:$M$118,7,FALSE)</f>
        <v>Beers</v>
      </c>
      <c r="S348" s="4"/>
      <c r="T348" s="4"/>
      <c r="U348" s="5"/>
      <c r="V348" s="5"/>
    </row>
    <row r="349" spans="1:22" x14ac:dyDescent="0.25">
      <c r="A349" s="158" t="s">
        <v>556</v>
      </c>
      <c r="B349" s="158" t="s">
        <v>557</v>
      </c>
      <c r="C349" s="158" t="s">
        <v>59</v>
      </c>
      <c r="D349" s="158" t="s">
        <v>60</v>
      </c>
      <c r="E349" s="157">
        <v>143</v>
      </c>
      <c r="F349" s="158" t="s">
        <v>525</v>
      </c>
      <c r="G349" s="159">
        <v>576677.53</v>
      </c>
      <c r="H349" s="159">
        <v>0</v>
      </c>
      <c r="I349" s="159">
        <v>241135.18</v>
      </c>
      <c r="J349" s="159">
        <v>41.8</v>
      </c>
      <c r="K349" t="str">
        <f>VLOOKUP($C349,Lists!$C$3:$M$118,7,FALSE)</f>
        <v>COKE_RGB</v>
      </c>
      <c r="S349" s="4"/>
      <c r="T349" s="4"/>
      <c r="U349" s="5"/>
      <c r="V349" s="5"/>
    </row>
    <row r="350" spans="1:22" x14ac:dyDescent="0.25">
      <c r="A350" s="158" t="s">
        <v>556</v>
      </c>
      <c r="B350" s="158" t="s">
        <v>557</v>
      </c>
      <c r="C350" s="158" t="s">
        <v>22</v>
      </c>
      <c r="D350" s="158" t="s">
        <v>23</v>
      </c>
      <c r="E350" s="157">
        <v>357</v>
      </c>
      <c r="F350" s="158" t="s">
        <v>525</v>
      </c>
      <c r="G350" s="159">
        <v>1439677.47</v>
      </c>
      <c r="H350" s="159">
        <v>0</v>
      </c>
      <c r="I350" s="159">
        <v>595918.68000000005</v>
      </c>
      <c r="J350" s="159">
        <v>41.4</v>
      </c>
      <c r="K350" t="str">
        <f>VLOOKUP($C350,Lists!$C$3:$M$118,7,FALSE)</f>
        <v>COKE_RGB</v>
      </c>
      <c r="S350" s="4"/>
      <c r="T350" s="4"/>
      <c r="U350" s="5"/>
      <c r="V350" s="5"/>
    </row>
    <row r="351" spans="1:22" x14ac:dyDescent="0.25">
      <c r="A351" s="158" t="s">
        <v>556</v>
      </c>
      <c r="B351" s="158" t="s">
        <v>557</v>
      </c>
      <c r="C351" s="158" t="s">
        <v>67</v>
      </c>
      <c r="D351" s="158" t="s">
        <v>533</v>
      </c>
      <c r="E351" s="157">
        <v>287</v>
      </c>
      <c r="F351" s="158" t="s">
        <v>525</v>
      </c>
      <c r="G351" s="159">
        <v>825753.53</v>
      </c>
      <c r="H351" s="159">
        <v>0</v>
      </c>
      <c r="I351" s="159">
        <v>414115.17</v>
      </c>
      <c r="J351" s="159">
        <v>50.1</v>
      </c>
      <c r="K351" t="str">
        <f>VLOOKUP($C351,Lists!$C$3:$M$118,7,FALSE)</f>
        <v>COKE_PET</v>
      </c>
      <c r="S351" s="4"/>
      <c r="T351" s="4"/>
      <c r="U351" s="5"/>
      <c r="V351" s="5"/>
    </row>
    <row r="352" spans="1:22" x14ac:dyDescent="0.25">
      <c r="A352" s="158" t="s">
        <v>556</v>
      </c>
      <c r="B352" s="158" t="s">
        <v>557</v>
      </c>
      <c r="C352" s="158" t="s">
        <v>261</v>
      </c>
      <c r="D352" s="158" t="s">
        <v>538</v>
      </c>
      <c r="E352" s="157">
        <v>144</v>
      </c>
      <c r="F352" s="158" t="s">
        <v>525</v>
      </c>
      <c r="G352" s="159">
        <v>580710.24</v>
      </c>
      <c r="H352" s="159">
        <v>0</v>
      </c>
      <c r="I352" s="159">
        <v>240370.56</v>
      </c>
      <c r="J352" s="159">
        <v>41.4</v>
      </c>
      <c r="K352" t="str">
        <f>VLOOKUP($C352,Lists!$C$3:$M$118,7,FALSE)</f>
        <v>COKE_RGB</v>
      </c>
      <c r="S352" s="4"/>
      <c r="T352" s="4"/>
      <c r="U352" s="5"/>
      <c r="V352" s="5"/>
    </row>
    <row r="353" spans="1:22" x14ac:dyDescent="0.25">
      <c r="A353" s="158" t="s">
        <v>556</v>
      </c>
      <c r="B353" s="158" t="s">
        <v>557</v>
      </c>
      <c r="C353" s="158" t="s">
        <v>24</v>
      </c>
      <c r="D353" s="158" t="s">
        <v>25</v>
      </c>
      <c r="E353" s="157">
        <v>501</v>
      </c>
      <c r="F353" s="158" t="s">
        <v>525</v>
      </c>
      <c r="G353" s="159">
        <v>3286179.24</v>
      </c>
      <c r="H353" s="159">
        <v>0</v>
      </c>
      <c r="I353" s="159">
        <v>1613776.11</v>
      </c>
      <c r="J353" s="159">
        <v>49.1</v>
      </c>
      <c r="K353" t="str">
        <f>VLOOKUP($C353,Lists!$C$3:$M$118,7,FALSE)</f>
        <v>Beers</v>
      </c>
      <c r="S353" s="4"/>
      <c r="T353" s="4"/>
      <c r="U353" s="5"/>
      <c r="V353" s="5"/>
    </row>
    <row r="354" spans="1:22" x14ac:dyDescent="0.25">
      <c r="A354" s="158" t="s">
        <v>556</v>
      </c>
      <c r="B354" s="158" t="s">
        <v>557</v>
      </c>
      <c r="C354" s="158" t="s">
        <v>29</v>
      </c>
      <c r="D354" s="158" t="s">
        <v>30</v>
      </c>
      <c r="E354" s="157">
        <v>419</v>
      </c>
      <c r="F354" s="158" t="s">
        <v>525</v>
      </c>
      <c r="G354" s="159">
        <v>15532702.91</v>
      </c>
      <c r="H354" s="159">
        <v>0</v>
      </c>
      <c r="I354" s="159">
        <v>4638702.91</v>
      </c>
      <c r="J354" s="159">
        <v>29.9</v>
      </c>
      <c r="K354" t="str">
        <f>VLOOKUP($C354,Lists!$C$3:$M$118,7,FALSE)</f>
        <v>Spirits</v>
      </c>
      <c r="S354" s="4"/>
      <c r="T354" s="4"/>
      <c r="U354" s="5"/>
      <c r="V354" s="5"/>
    </row>
    <row r="355" spans="1:22" x14ac:dyDescent="0.25">
      <c r="A355" s="158" t="s">
        <v>556</v>
      </c>
      <c r="B355" s="158" t="s">
        <v>557</v>
      </c>
      <c r="C355" s="158" t="s">
        <v>31</v>
      </c>
      <c r="D355" s="158" t="s">
        <v>32</v>
      </c>
      <c r="E355" s="157">
        <v>50</v>
      </c>
      <c r="F355" s="158" t="s">
        <v>525</v>
      </c>
      <c r="G355" s="159">
        <v>1740062</v>
      </c>
      <c r="H355" s="159">
        <v>0</v>
      </c>
      <c r="I355" s="159">
        <v>540062</v>
      </c>
      <c r="J355" s="159">
        <v>31</v>
      </c>
      <c r="K355" t="str">
        <f>VLOOKUP($C355,Lists!$C$3:$M$118,7,FALSE)</f>
        <v>Spirits</v>
      </c>
      <c r="S355" s="4"/>
      <c r="T355" s="4"/>
      <c r="U355" s="5"/>
      <c r="V355" s="5"/>
    </row>
    <row r="356" spans="1:22" x14ac:dyDescent="0.25">
      <c r="A356" s="158" t="s">
        <v>556</v>
      </c>
      <c r="B356" s="158" t="s">
        <v>557</v>
      </c>
      <c r="C356" s="158" t="s">
        <v>33</v>
      </c>
      <c r="D356" s="158" t="s">
        <v>34</v>
      </c>
      <c r="E356" s="157">
        <v>70</v>
      </c>
      <c r="F356" s="158" t="s">
        <v>525</v>
      </c>
      <c r="G356" s="159">
        <v>3971881.2</v>
      </c>
      <c r="H356" s="159">
        <v>0</v>
      </c>
      <c r="I356" s="159">
        <v>821881.2</v>
      </c>
      <c r="J356" s="159">
        <v>20.7</v>
      </c>
      <c r="K356" t="str">
        <f>VLOOKUP($C356,Lists!$C$3:$M$118,7,FALSE)</f>
        <v>Spirits</v>
      </c>
      <c r="S356" s="4"/>
      <c r="T356" s="4"/>
      <c r="U356" s="5"/>
      <c r="V356" s="5"/>
    </row>
    <row r="357" spans="1:22" x14ac:dyDescent="0.25">
      <c r="A357" s="158" t="s">
        <v>556</v>
      </c>
      <c r="B357" s="158" t="s">
        <v>557</v>
      </c>
      <c r="C357" s="158" t="s">
        <v>37</v>
      </c>
      <c r="D357" s="158" t="s">
        <v>38</v>
      </c>
      <c r="E357" s="157">
        <v>356</v>
      </c>
      <c r="F357" s="158" t="s">
        <v>525</v>
      </c>
      <c r="G357" s="159">
        <v>1196370.04</v>
      </c>
      <c r="H357" s="159">
        <v>0</v>
      </c>
      <c r="I357" s="159">
        <v>572234.39</v>
      </c>
      <c r="J357" s="159">
        <v>47.8</v>
      </c>
      <c r="K357" t="str">
        <f>VLOOKUP($C357,Lists!$C$3:$M$118,7,FALSE)</f>
        <v>SOBO_RGB</v>
      </c>
      <c r="S357" s="4"/>
      <c r="T357" s="4"/>
      <c r="U357" s="5"/>
      <c r="V357" s="5"/>
    </row>
    <row r="358" spans="1:22" x14ac:dyDescent="0.25">
      <c r="A358" s="158" t="s">
        <v>556</v>
      </c>
      <c r="B358" s="158" t="s">
        <v>557</v>
      </c>
      <c r="C358" s="158" t="s">
        <v>39</v>
      </c>
      <c r="D358" s="158" t="s">
        <v>40</v>
      </c>
      <c r="E358" s="157">
        <v>358</v>
      </c>
      <c r="F358" s="158" t="s">
        <v>525</v>
      </c>
      <c r="G358" s="159">
        <v>1203091.22</v>
      </c>
      <c r="H358" s="159">
        <v>0</v>
      </c>
      <c r="I358" s="159">
        <v>570558.92000000004</v>
      </c>
      <c r="J358" s="159">
        <v>47.4</v>
      </c>
      <c r="K358" t="str">
        <f>VLOOKUP($C358,Lists!$C$3:$M$118,7,FALSE)</f>
        <v>SOBO_RGB</v>
      </c>
      <c r="S358" s="4"/>
      <c r="T358" s="4"/>
      <c r="U358" s="5"/>
      <c r="V358" s="5"/>
    </row>
    <row r="359" spans="1:22" x14ac:dyDescent="0.25">
      <c r="A359" s="158" t="s">
        <v>556</v>
      </c>
      <c r="B359" s="158" t="s">
        <v>557</v>
      </c>
      <c r="C359" s="158" t="s">
        <v>88</v>
      </c>
      <c r="D359" s="158" t="s">
        <v>527</v>
      </c>
      <c r="E359" s="157">
        <v>144</v>
      </c>
      <c r="F359" s="158" t="s">
        <v>525</v>
      </c>
      <c r="G359" s="159">
        <v>414315.36</v>
      </c>
      <c r="H359" s="159">
        <v>0</v>
      </c>
      <c r="I359" s="159">
        <v>246310.56</v>
      </c>
      <c r="J359" s="159">
        <v>59.5</v>
      </c>
      <c r="K359" t="str">
        <f>VLOOKUP($C359,Lists!$C$3:$M$118,7,FALSE)</f>
        <v>SOBO_PET</v>
      </c>
      <c r="S359" s="4"/>
      <c r="T359" s="4"/>
      <c r="U359" s="5"/>
      <c r="V359" s="5"/>
    </row>
    <row r="360" spans="1:22" x14ac:dyDescent="0.25">
      <c r="A360" s="158" t="s">
        <v>556</v>
      </c>
      <c r="B360" s="158" t="s">
        <v>557</v>
      </c>
      <c r="C360" s="158" t="s">
        <v>45</v>
      </c>
      <c r="D360" s="158" t="s">
        <v>46</v>
      </c>
      <c r="E360" s="157">
        <v>143</v>
      </c>
      <c r="F360" s="158" t="s">
        <v>525</v>
      </c>
      <c r="G360" s="159">
        <v>576677.53</v>
      </c>
      <c r="H360" s="159">
        <v>0</v>
      </c>
      <c r="I360" s="159">
        <v>289453.45</v>
      </c>
      <c r="J360" s="159">
        <v>50.2</v>
      </c>
      <c r="K360" t="str">
        <f>VLOOKUP($C360,Lists!$C$3:$M$118,7,FALSE)</f>
        <v>SOBO_RGB</v>
      </c>
      <c r="S360" s="4"/>
      <c r="T360" s="4"/>
      <c r="U360" s="5"/>
      <c r="V360" s="5"/>
    </row>
    <row r="361" spans="1:22" x14ac:dyDescent="0.25">
      <c r="A361" s="158" t="s">
        <v>556</v>
      </c>
      <c r="B361" s="158" t="s">
        <v>557</v>
      </c>
      <c r="C361" s="158" t="s">
        <v>47</v>
      </c>
      <c r="D361" s="158" t="s">
        <v>48</v>
      </c>
      <c r="E361" s="157">
        <v>213</v>
      </c>
      <c r="F361" s="158" t="s">
        <v>525</v>
      </c>
      <c r="G361" s="159">
        <v>858967.23</v>
      </c>
      <c r="H361" s="159">
        <v>0</v>
      </c>
      <c r="I361" s="159">
        <v>383828.13</v>
      </c>
      <c r="J361" s="159">
        <v>44.7</v>
      </c>
      <c r="K361" t="str">
        <f>VLOOKUP($C361,Lists!$C$3:$M$118,7,FALSE)</f>
        <v>COKE_RGB</v>
      </c>
      <c r="S361" s="4"/>
      <c r="T361" s="4"/>
      <c r="U361" s="5"/>
      <c r="V361" s="5"/>
    </row>
    <row r="362" spans="1:22" x14ac:dyDescent="0.25">
      <c r="A362" s="158" t="s">
        <v>556</v>
      </c>
      <c r="B362" s="158" t="s">
        <v>557</v>
      </c>
      <c r="C362" s="158" t="s">
        <v>68</v>
      </c>
      <c r="D362" s="158" t="s">
        <v>534</v>
      </c>
      <c r="E362" s="157">
        <v>144</v>
      </c>
      <c r="F362" s="158" t="s">
        <v>525</v>
      </c>
      <c r="G362" s="159">
        <v>414315.36</v>
      </c>
      <c r="H362" s="159">
        <v>0</v>
      </c>
      <c r="I362" s="159">
        <v>205898.4</v>
      </c>
      <c r="J362" s="159">
        <v>49.7</v>
      </c>
      <c r="K362" t="str">
        <f>VLOOKUP($C362,Lists!$C$3:$M$118,7,FALSE)</f>
        <v>COKE_PET</v>
      </c>
      <c r="S362" s="4"/>
      <c r="T362" s="4"/>
      <c r="U362" s="5"/>
      <c r="V362" s="5"/>
    </row>
    <row r="363" spans="1:22" x14ac:dyDescent="0.25">
      <c r="A363" s="158" t="s">
        <v>556</v>
      </c>
      <c r="B363" s="158" t="s">
        <v>557</v>
      </c>
      <c r="C363" s="158" t="s">
        <v>49</v>
      </c>
      <c r="D363" s="158" t="s">
        <v>50</v>
      </c>
      <c r="E363" s="157">
        <v>357</v>
      </c>
      <c r="F363" s="158" t="s">
        <v>525</v>
      </c>
      <c r="G363" s="159">
        <v>3579774.66</v>
      </c>
      <c r="H363" s="159">
        <v>0</v>
      </c>
      <c r="I363" s="159">
        <v>1140158.04</v>
      </c>
      <c r="J363" s="159">
        <v>31.8</v>
      </c>
      <c r="K363" t="str">
        <f>VLOOKUP($C363,Lists!$C$3:$M$118,7,FALSE)</f>
        <v>Squash</v>
      </c>
      <c r="S363" s="4"/>
      <c r="T363" s="4"/>
      <c r="U363" s="5"/>
      <c r="V363" s="5"/>
    </row>
    <row r="364" spans="1:22" x14ac:dyDescent="0.25">
      <c r="A364" s="158" t="s">
        <v>556</v>
      </c>
      <c r="B364" s="158" t="s">
        <v>557</v>
      </c>
      <c r="C364" s="158" t="s">
        <v>51</v>
      </c>
      <c r="D364" s="158" t="s">
        <v>52</v>
      </c>
      <c r="E364" s="157">
        <v>720</v>
      </c>
      <c r="F364" s="158" t="s">
        <v>525</v>
      </c>
      <c r="G364" s="159">
        <v>7219713.5999999996</v>
      </c>
      <c r="H364" s="159">
        <v>0</v>
      </c>
      <c r="I364" s="159">
        <v>2280261.6</v>
      </c>
      <c r="J364" s="159">
        <v>31.6</v>
      </c>
      <c r="K364" t="str">
        <f>VLOOKUP($C364,Lists!$C$3:$M$118,7,FALSE)</f>
        <v>Squash</v>
      </c>
      <c r="S364" s="4"/>
      <c r="T364" s="4"/>
      <c r="U364" s="5"/>
      <c r="V364" s="5"/>
    </row>
    <row r="365" spans="1:22" x14ac:dyDescent="0.25">
      <c r="A365" s="158" t="s">
        <v>556</v>
      </c>
      <c r="B365" s="158" t="s">
        <v>557</v>
      </c>
      <c r="C365" s="158" t="s">
        <v>26</v>
      </c>
      <c r="D365" s="158" t="s">
        <v>27</v>
      </c>
      <c r="E365" s="157">
        <v>432</v>
      </c>
      <c r="F365" s="158" t="s">
        <v>525</v>
      </c>
      <c r="G365" s="159">
        <v>942796.80000000005</v>
      </c>
      <c r="H365" s="159">
        <v>0</v>
      </c>
      <c r="I365" s="159">
        <v>415653.12</v>
      </c>
      <c r="J365" s="159">
        <v>44.1</v>
      </c>
      <c r="K365" t="str">
        <f>VLOOKUP($C365,Lists!$C$3:$M$118,7,FALSE)</f>
        <v>Water</v>
      </c>
      <c r="S365" s="4"/>
      <c r="T365" s="4"/>
      <c r="U365" s="5"/>
      <c r="V365" s="5"/>
    </row>
    <row r="366" spans="1:22" x14ac:dyDescent="0.25">
      <c r="A366" s="158" t="s">
        <v>446</v>
      </c>
      <c r="B366" s="158" t="s">
        <v>447</v>
      </c>
      <c r="C366" s="158" t="s">
        <v>41</v>
      </c>
      <c r="D366" s="158" t="s">
        <v>42</v>
      </c>
      <c r="E366" s="157">
        <v>288</v>
      </c>
      <c r="F366" s="158" t="s">
        <v>525</v>
      </c>
      <c r="G366" s="159">
        <v>2224892.16</v>
      </c>
      <c r="H366" s="159">
        <v>0</v>
      </c>
      <c r="I366" s="159">
        <v>933212.16000000003</v>
      </c>
      <c r="J366" s="159">
        <v>41.9</v>
      </c>
      <c r="K366" t="str">
        <f>VLOOKUP($C366,Lists!$C$3:$M$118,7,FALSE)</f>
        <v>Alcomix</v>
      </c>
      <c r="S366" s="4"/>
      <c r="T366" s="4"/>
      <c r="U366" s="5"/>
      <c r="V366" s="5"/>
    </row>
    <row r="367" spans="1:22" x14ac:dyDescent="0.25">
      <c r="A367" s="158" t="s">
        <v>446</v>
      </c>
      <c r="B367" s="158" t="s">
        <v>447</v>
      </c>
      <c r="C367" s="158" t="s">
        <v>10</v>
      </c>
      <c r="D367" s="158" t="s">
        <v>11</v>
      </c>
      <c r="E367" s="157">
        <v>864</v>
      </c>
      <c r="F367" s="158" t="s">
        <v>525</v>
      </c>
      <c r="G367" s="159">
        <v>6674676.4800000004</v>
      </c>
      <c r="H367" s="159">
        <v>0</v>
      </c>
      <c r="I367" s="159">
        <v>2799636.48</v>
      </c>
      <c r="J367" s="159">
        <v>41.9</v>
      </c>
      <c r="K367" t="str">
        <f>VLOOKUP($C367,Lists!$C$3:$M$118,7,FALSE)</f>
        <v>Alcomix</v>
      </c>
      <c r="S367" s="4"/>
      <c r="T367" s="4"/>
      <c r="U367" s="5"/>
      <c r="V367" s="5"/>
    </row>
    <row r="368" spans="1:22" x14ac:dyDescent="0.25">
      <c r="A368" s="158" t="s">
        <v>446</v>
      </c>
      <c r="B368" s="158" t="s">
        <v>447</v>
      </c>
      <c r="C368" s="158" t="s">
        <v>12</v>
      </c>
      <c r="D368" s="158" t="s">
        <v>13</v>
      </c>
      <c r="E368" s="157">
        <v>6765</v>
      </c>
      <c r="F368" s="158" t="s">
        <v>525</v>
      </c>
      <c r="G368" s="159">
        <v>43551514.049999997</v>
      </c>
      <c r="H368" s="159">
        <v>0</v>
      </c>
      <c r="I368" s="159">
        <v>19033462.789999999</v>
      </c>
      <c r="J368" s="159">
        <v>43.7</v>
      </c>
      <c r="K368" t="str">
        <f>VLOOKUP($C368,Lists!$C$3:$M$118,7,FALSE)</f>
        <v>Beers</v>
      </c>
      <c r="S368" s="4"/>
      <c r="T368" s="4"/>
      <c r="U368" s="5"/>
      <c r="V368" s="5"/>
    </row>
    <row r="369" spans="1:22" x14ac:dyDescent="0.25">
      <c r="A369" s="158" t="s">
        <v>446</v>
      </c>
      <c r="B369" s="158" t="s">
        <v>447</v>
      </c>
      <c r="C369" s="158" t="s">
        <v>14</v>
      </c>
      <c r="D369" s="158" t="s">
        <v>15</v>
      </c>
      <c r="E369" s="157">
        <v>5253</v>
      </c>
      <c r="F369" s="158" t="s">
        <v>525</v>
      </c>
      <c r="G369" s="159">
        <v>40581105.960000001</v>
      </c>
      <c r="H369" s="159">
        <v>0</v>
      </c>
      <c r="I369" s="159">
        <v>20039879.809999999</v>
      </c>
      <c r="J369" s="159">
        <v>49.4</v>
      </c>
      <c r="K369" t="str">
        <f>VLOOKUP($C369,Lists!$C$3:$M$118,7,FALSE)</f>
        <v>Beers</v>
      </c>
      <c r="S369" s="4"/>
      <c r="T369" s="4"/>
      <c r="U369" s="5"/>
      <c r="V369" s="5"/>
    </row>
    <row r="370" spans="1:22" x14ac:dyDescent="0.25">
      <c r="A370" s="158" t="s">
        <v>446</v>
      </c>
      <c r="B370" s="158" t="s">
        <v>447</v>
      </c>
      <c r="C370" s="158" t="s">
        <v>54</v>
      </c>
      <c r="D370" s="158" t="s">
        <v>55</v>
      </c>
      <c r="E370" s="157">
        <v>649</v>
      </c>
      <c r="F370" s="158" t="s">
        <v>525</v>
      </c>
      <c r="G370" s="159">
        <v>5013732.68</v>
      </c>
      <c r="H370" s="159">
        <v>0</v>
      </c>
      <c r="I370" s="159">
        <v>2632064.94</v>
      </c>
      <c r="J370" s="159">
        <v>52.5</v>
      </c>
      <c r="K370" t="str">
        <f>VLOOKUP($C370,Lists!$C$3:$M$118,7,FALSE)</f>
        <v>Beers</v>
      </c>
      <c r="S370" s="4"/>
      <c r="T370" s="4"/>
      <c r="U370" s="5"/>
      <c r="V370" s="5"/>
    </row>
    <row r="371" spans="1:22" x14ac:dyDescent="0.25">
      <c r="A371" s="158" t="s">
        <v>446</v>
      </c>
      <c r="B371" s="158" t="s">
        <v>447</v>
      </c>
      <c r="C371" s="158" t="s">
        <v>16</v>
      </c>
      <c r="D371" s="158" t="s">
        <v>17</v>
      </c>
      <c r="E371" s="157">
        <v>7198</v>
      </c>
      <c r="F371" s="158" t="s">
        <v>525</v>
      </c>
      <c r="G371" s="159">
        <v>55606853.359999999</v>
      </c>
      <c r="H371" s="159">
        <v>0</v>
      </c>
      <c r="I371" s="159">
        <v>27459938.120000001</v>
      </c>
      <c r="J371" s="159">
        <v>49.4</v>
      </c>
      <c r="K371" t="str">
        <f>VLOOKUP($C371,Lists!$C$3:$M$118,7,FALSE)</f>
        <v>Beers</v>
      </c>
      <c r="S371" s="4"/>
      <c r="T371" s="4"/>
      <c r="U371" s="5"/>
      <c r="V371" s="5"/>
    </row>
    <row r="372" spans="1:22" x14ac:dyDescent="0.25">
      <c r="A372" s="158" t="s">
        <v>446</v>
      </c>
      <c r="B372" s="158" t="s">
        <v>447</v>
      </c>
      <c r="C372" s="158" t="s">
        <v>56</v>
      </c>
      <c r="D372" s="158" t="s">
        <v>57</v>
      </c>
      <c r="E372" s="157">
        <v>450</v>
      </c>
      <c r="F372" s="158" t="s">
        <v>525</v>
      </c>
      <c r="G372" s="159">
        <v>3476394</v>
      </c>
      <c r="H372" s="159">
        <v>0</v>
      </c>
      <c r="I372" s="159">
        <v>1825006.5</v>
      </c>
      <c r="J372" s="159">
        <v>52.5</v>
      </c>
      <c r="K372" t="str">
        <f>VLOOKUP($C372,Lists!$C$3:$M$118,7,FALSE)</f>
        <v>Beers</v>
      </c>
      <c r="S372" s="4"/>
      <c r="T372" s="4"/>
      <c r="U372" s="5"/>
      <c r="V372" s="5"/>
    </row>
    <row r="373" spans="1:22" x14ac:dyDescent="0.25">
      <c r="A373" s="158" t="s">
        <v>446</v>
      </c>
      <c r="B373" s="158" t="s">
        <v>447</v>
      </c>
      <c r="C373" s="158" t="s">
        <v>18</v>
      </c>
      <c r="D373" s="158" t="s">
        <v>19</v>
      </c>
      <c r="E373" s="157">
        <v>1364</v>
      </c>
      <c r="F373" s="158" t="s">
        <v>525</v>
      </c>
      <c r="G373" s="159">
        <v>14049786.52</v>
      </c>
      <c r="H373" s="159">
        <v>0</v>
      </c>
      <c r="I373" s="159">
        <v>7285028.5099999998</v>
      </c>
      <c r="J373" s="159">
        <v>51.9</v>
      </c>
      <c r="K373" t="str">
        <f>VLOOKUP($C373,Lists!$C$3:$M$118,7,FALSE)</f>
        <v>Beers</v>
      </c>
      <c r="S373" s="4"/>
      <c r="T373" s="4"/>
      <c r="U373" s="5"/>
      <c r="V373" s="5"/>
    </row>
    <row r="374" spans="1:22" x14ac:dyDescent="0.25">
      <c r="A374" s="158" t="s">
        <v>446</v>
      </c>
      <c r="B374" s="158" t="s">
        <v>447</v>
      </c>
      <c r="C374" s="158" t="s">
        <v>20</v>
      </c>
      <c r="D374" s="158" t="s">
        <v>21</v>
      </c>
      <c r="E374" s="157">
        <v>9356</v>
      </c>
      <c r="F374" s="158" t="s">
        <v>525</v>
      </c>
      <c r="G374" s="159">
        <v>37031328.68</v>
      </c>
      <c r="H374" s="159">
        <v>0</v>
      </c>
      <c r="I374" s="159">
        <v>15562115.439999999</v>
      </c>
      <c r="J374" s="159">
        <v>42</v>
      </c>
      <c r="K374" t="str">
        <f>VLOOKUP($C374,Lists!$C$3:$M$118,7,FALSE)</f>
        <v>COKE_RGB</v>
      </c>
      <c r="S374" s="4"/>
      <c r="T374" s="4"/>
      <c r="U374" s="5"/>
      <c r="V374" s="5"/>
    </row>
    <row r="375" spans="1:22" x14ac:dyDescent="0.25">
      <c r="A375" s="158" t="s">
        <v>446</v>
      </c>
      <c r="B375" s="158" t="s">
        <v>447</v>
      </c>
      <c r="C375" s="158" t="s">
        <v>28</v>
      </c>
      <c r="D375" s="158" t="s">
        <v>530</v>
      </c>
      <c r="E375" s="157">
        <v>574</v>
      </c>
      <c r="F375" s="158" t="s">
        <v>525</v>
      </c>
      <c r="G375" s="159">
        <v>1620344.6</v>
      </c>
      <c r="H375" s="159">
        <v>0</v>
      </c>
      <c r="I375" s="159">
        <v>817289.9</v>
      </c>
      <c r="J375" s="159">
        <v>50.4</v>
      </c>
      <c r="K375" t="str">
        <f>VLOOKUP($C375,Lists!$C$3:$M$118,7,FALSE)</f>
        <v>COKE_PET</v>
      </c>
      <c r="S375" s="4"/>
      <c r="T375" s="4"/>
      <c r="U375" s="5"/>
      <c r="V375" s="5"/>
    </row>
    <row r="376" spans="1:22" x14ac:dyDescent="0.25">
      <c r="A376" s="158" t="s">
        <v>446</v>
      </c>
      <c r="B376" s="158" t="s">
        <v>447</v>
      </c>
      <c r="C376" s="158" t="s">
        <v>58</v>
      </c>
      <c r="D376" s="158" t="s">
        <v>537</v>
      </c>
      <c r="E376" s="157">
        <v>709</v>
      </c>
      <c r="F376" s="158" t="s">
        <v>525</v>
      </c>
      <c r="G376" s="159">
        <v>1715517.67</v>
      </c>
      <c r="H376" s="159">
        <v>0</v>
      </c>
      <c r="I376" s="159">
        <v>950464.13</v>
      </c>
      <c r="J376" s="159">
        <v>55.4</v>
      </c>
      <c r="K376" t="str">
        <f>VLOOKUP($C376,Lists!$C$3:$M$118,7,FALSE)</f>
        <v>SOBO_PET</v>
      </c>
      <c r="S376" s="4"/>
      <c r="T376" s="4"/>
      <c r="U376" s="5"/>
      <c r="V376" s="5"/>
    </row>
    <row r="377" spans="1:22" x14ac:dyDescent="0.25">
      <c r="A377" s="158" t="s">
        <v>446</v>
      </c>
      <c r="B377" s="158" t="s">
        <v>447</v>
      </c>
      <c r="C377" s="158" t="s">
        <v>78</v>
      </c>
      <c r="D377" s="158" t="s">
        <v>526</v>
      </c>
      <c r="E377" s="157">
        <v>288</v>
      </c>
      <c r="F377" s="158" t="s">
        <v>525</v>
      </c>
      <c r="G377" s="159">
        <v>696853.44</v>
      </c>
      <c r="H377" s="159">
        <v>0</v>
      </c>
      <c r="I377" s="159">
        <v>380473.92</v>
      </c>
      <c r="J377" s="159">
        <v>54.6</v>
      </c>
      <c r="K377" t="str">
        <f>VLOOKUP($C377,Lists!$C$3:$M$118,7,FALSE)</f>
        <v>SOBO_PET</v>
      </c>
      <c r="S377" s="4"/>
      <c r="T377" s="4"/>
      <c r="U377" s="5"/>
      <c r="V377" s="5"/>
    </row>
    <row r="378" spans="1:22" x14ac:dyDescent="0.25">
      <c r="A378" s="158" t="s">
        <v>446</v>
      </c>
      <c r="B378" s="158" t="s">
        <v>447</v>
      </c>
      <c r="C378" s="158" t="s">
        <v>43</v>
      </c>
      <c r="D378" s="158" t="s">
        <v>44</v>
      </c>
      <c r="E378" s="157">
        <v>720</v>
      </c>
      <c r="F378" s="158" t="s">
        <v>525</v>
      </c>
      <c r="G378" s="159">
        <v>5562230.4000000004</v>
      </c>
      <c r="H378" s="159">
        <v>0</v>
      </c>
      <c r="I378" s="159">
        <v>2746756.8</v>
      </c>
      <c r="J378" s="159">
        <v>49.4</v>
      </c>
      <c r="K378" t="str">
        <f>VLOOKUP($C378,Lists!$C$3:$M$118,7,FALSE)</f>
        <v>Beers</v>
      </c>
      <c r="S378" s="4"/>
      <c r="T378" s="4"/>
      <c r="U378" s="5"/>
      <c r="V378" s="5"/>
    </row>
    <row r="379" spans="1:22" x14ac:dyDescent="0.25">
      <c r="A379" s="158" t="s">
        <v>446</v>
      </c>
      <c r="B379" s="158" t="s">
        <v>447</v>
      </c>
      <c r="C379" s="158" t="s">
        <v>59</v>
      </c>
      <c r="D379" s="158" t="s">
        <v>60</v>
      </c>
      <c r="E379" s="157">
        <v>936</v>
      </c>
      <c r="F379" s="158" t="s">
        <v>525</v>
      </c>
      <c r="G379" s="159">
        <v>3704716.08</v>
      </c>
      <c r="H379" s="159">
        <v>0</v>
      </c>
      <c r="I379" s="159">
        <v>1508438.88</v>
      </c>
      <c r="J379" s="159">
        <v>40.700000000000003</v>
      </c>
      <c r="K379" t="str">
        <f>VLOOKUP($C379,Lists!$C$3:$M$118,7,FALSE)</f>
        <v>COKE_RGB</v>
      </c>
      <c r="S379" s="4"/>
      <c r="T379" s="4"/>
      <c r="U379" s="5"/>
      <c r="V379" s="5"/>
    </row>
    <row r="380" spans="1:22" x14ac:dyDescent="0.25">
      <c r="A380" s="158" t="s">
        <v>446</v>
      </c>
      <c r="B380" s="158" t="s">
        <v>447</v>
      </c>
      <c r="C380" s="158" t="s">
        <v>22</v>
      </c>
      <c r="D380" s="158" t="s">
        <v>23</v>
      </c>
      <c r="E380" s="157">
        <v>2949</v>
      </c>
      <c r="F380" s="158" t="s">
        <v>525</v>
      </c>
      <c r="G380" s="159">
        <v>11672230.470000001</v>
      </c>
      <c r="H380" s="159">
        <v>0</v>
      </c>
      <c r="I380" s="159">
        <v>4702357.4400000004</v>
      </c>
      <c r="J380" s="159">
        <v>40.299999999999997</v>
      </c>
      <c r="K380" t="str">
        <f>VLOOKUP($C380,Lists!$C$3:$M$118,7,FALSE)</f>
        <v>COKE_RGB</v>
      </c>
      <c r="S380" s="4"/>
      <c r="T380" s="4"/>
      <c r="U380" s="5"/>
      <c r="V380" s="5"/>
    </row>
    <row r="381" spans="1:22" x14ac:dyDescent="0.25">
      <c r="A381" s="158" t="s">
        <v>446</v>
      </c>
      <c r="B381" s="158" t="s">
        <v>447</v>
      </c>
      <c r="C381" s="158" t="s">
        <v>67</v>
      </c>
      <c r="D381" s="158" t="s">
        <v>533</v>
      </c>
      <c r="E381" s="157">
        <v>576</v>
      </c>
      <c r="F381" s="158" t="s">
        <v>525</v>
      </c>
      <c r="G381" s="159">
        <v>1625990.4</v>
      </c>
      <c r="H381" s="159">
        <v>0</v>
      </c>
      <c r="I381" s="159">
        <v>799845.12</v>
      </c>
      <c r="J381" s="159">
        <v>49.2</v>
      </c>
      <c r="K381" t="str">
        <f>VLOOKUP($C381,Lists!$C$3:$M$118,7,FALSE)</f>
        <v>COKE_PET</v>
      </c>
      <c r="S381" s="4"/>
      <c r="T381" s="4"/>
      <c r="U381" s="5"/>
      <c r="V381" s="5"/>
    </row>
    <row r="382" spans="1:22" x14ac:dyDescent="0.25">
      <c r="A382" s="158" t="s">
        <v>446</v>
      </c>
      <c r="B382" s="158" t="s">
        <v>447</v>
      </c>
      <c r="C382" s="158" t="s">
        <v>261</v>
      </c>
      <c r="D382" s="158" t="s">
        <v>538</v>
      </c>
      <c r="E382" s="157">
        <v>288</v>
      </c>
      <c r="F382" s="158" t="s">
        <v>525</v>
      </c>
      <c r="G382" s="159">
        <v>1139912.6399999999</v>
      </c>
      <c r="H382" s="159">
        <v>0</v>
      </c>
      <c r="I382" s="159">
        <v>459233.28000000003</v>
      </c>
      <c r="J382" s="159">
        <v>40.299999999999997</v>
      </c>
      <c r="K382" t="str">
        <f>VLOOKUP($C382,Lists!$C$3:$M$118,7,FALSE)</f>
        <v>COKE_RGB</v>
      </c>
      <c r="S382" s="4"/>
      <c r="T382" s="4"/>
      <c r="U382" s="5"/>
      <c r="V382" s="5"/>
    </row>
    <row r="383" spans="1:22" x14ac:dyDescent="0.25">
      <c r="A383" s="158" t="s">
        <v>446</v>
      </c>
      <c r="B383" s="158" t="s">
        <v>447</v>
      </c>
      <c r="C383" s="158" t="s">
        <v>24</v>
      </c>
      <c r="D383" s="158" t="s">
        <v>25</v>
      </c>
      <c r="E383" s="157">
        <v>2873</v>
      </c>
      <c r="F383" s="158" t="s">
        <v>525</v>
      </c>
      <c r="G383" s="159">
        <v>18495713.210000001</v>
      </c>
      <c r="H383" s="159">
        <v>0</v>
      </c>
      <c r="I383" s="159">
        <v>8905265.7200000007</v>
      </c>
      <c r="J383" s="159">
        <v>48.1</v>
      </c>
      <c r="K383" t="str">
        <f>VLOOKUP($C383,Lists!$C$3:$M$118,7,FALSE)</f>
        <v>Beers</v>
      </c>
      <c r="S383" s="4"/>
      <c r="T383" s="4"/>
      <c r="U383" s="5"/>
      <c r="V383" s="5"/>
    </row>
    <row r="384" spans="1:22" x14ac:dyDescent="0.25">
      <c r="A384" s="158" t="s">
        <v>446</v>
      </c>
      <c r="B384" s="158" t="s">
        <v>447</v>
      </c>
      <c r="C384" s="158" t="s">
        <v>29</v>
      </c>
      <c r="D384" s="158" t="s">
        <v>30</v>
      </c>
      <c r="E384" s="157">
        <v>286</v>
      </c>
      <c r="F384" s="158" t="s">
        <v>525</v>
      </c>
      <c r="G384" s="159">
        <v>10405935.539999999</v>
      </c>
      <c r="H384" s="159">
        <v>0</v>
      </c>
      <c r="I384" s="159">
        <v>2969935.54</v>
      </c>
      <c r="J384" s="159">
        <v>28.5</v>
      </c>
      <c r="K384" t="str">
        <f>VLOOKUP($C384,Lists!$C$3:$M$118,7,FALSE)</f>
        <v>Spirits</v>
      </c>
      <c r="S384" s="4"/>
      <c r="T384" s="4"/>
      <c r="U384" s="5"/>
      <c r="V384" s="5"/>
    </row>
    <row r="385" spans="1:22" x14ac:dyDescent="0.25">
      <c r="A385" s="158" t="s">
        <v>446</v>
      </c>
      <c r="B385" s="158" t="s">
        <v>447</v>
      </c>
      <c r="C385" s="158" t="s">
        <v>31</v>
      </c>
      <c r="D385" s="158" t="s">
        <v>32</v>
      </c>
      <c r="E385" s="157">
        <v>15</v>
      </c>
      <c r="F385" s="158" t="s">
        <v>525</v>
      </c>
      <c r="G385" s="159">
        <v>512351.7</v>
      </c>
      <c r="H385" s="159">
        <v>0</v>
      </c>
      <c r="I385" s="159">
        <v>152351.70000000001</v>
      </c>
      <c r="J385" s="159">
        <v>29.7</v>
      </c>
      <c r="K385" t="str">
        <f>VLOOKUP($C385,Lists!$C$3:$M$118,7,FALSE)</f>
        <v>Spirits</v>
      </c>
      <c r="S385" s="4"/>
      <c r="T385" s="4"/>
      <c r="U385" s="5"/>
      <c r="V385" s="5"/>
    </row>
    <row r="386" spans="1:22" x14ac:dyDescent="0.25">
      <c r="A386" s="158" t="s">
        <v>446</v>
      </c>
      <c r="B386" s="158" t="s">
        <v>447</v>
      </c>
      <c r="C386" s="158" t="s">
        <v>33</v>
      </c>
      <c r="D386" s="158" t="s">
        <v>34</v>
      </c>
      <c r="E386" s="157">
        <v>64</v>
      </c>
      <c r="F386" s="158" t="s">
        <v>525</v>
      </c>
      <c r="G386" s="159">
        <v>3564185.6000000001</v>
      </c>
      <c r="H386" s="159">
        <v>0</v>
      </c>
      <c r="I386" s="159">
        <v>684185.59999999998</v>
      </c>
      <c r="J386" s="159">
        <v>19.2</v>
      </c>
      <c r="K386" t="str">
        <f>VLOOKUP($C386,Lists!$C$3:$M$118,7,FALSE)</f>
        <v>Spirits</v>
      </c>
      <c r="S386" s="4"/>
      <c r="T386" s="4"/>
      <c r="U386" s="5"/>
      <c r="V386" s="5"/>
    </row>
    <row r="387" spans="1:22" x14ac:dyDescent="0.25">
      <c r="A387" s="158" t="s">
        <v>446</v>
      </c>
      <c r="B387" s="158" t="s">
        <v>447</v>
      </c>
      <c r="C387" s="158" t="s">
        <v>37</v>
      </c>
      <c r="D387" s="158" t="s">
        <v>38</v>
      </c>
      <c r="E387" s="157">
        <v>2158</v>
      </c>
      <c r="F387" s="158" t="s">
        <v>525</v>
      </c>
      <c r="G387" s="159">
        <v>7117860.8799999999</v>
      </c>
      <c r="H387" s="159">
        <v>0</v>
      </c>
      <c r="I387" s="159">
        <v>3334476.86</v>
      </c>
      <c r="J387" s="159">
        <v>46.8</v>
      </c>
      <c r="K387" t="str">
        <f>VLOOKUP($C387,Lists!$C$3:$M$118,7,FALSE)</f>
        <v>SOBO_RGB</v>
      </c>
      <c r="S387" s="4"/>
      <c r="T387" s="4"/>
      <c r="U387" s="5"/>
      <c r="V387" s="5"/>
    </row>
    <row r="388" spans="1:22" x14ac:dyDescent="0.25">
      <c r="A388" s="158" t="s">
        <v>446</v>
      </c>
      <c r="B388" s="158" t="s">
        <v>447</v>
      </c>
      <c r="C388" s="158" t="s">
        <v>39</v>
      </c>
      <c r="D388" s="158" t="s">
        <v>40</v>
      </c>
      <c r="E388" s="157">
        <v>1801</v>
      </c>
      <c r="F388" s="158" t="s">
        <v>525</v>
      </c>
      <c r="G388" s="159">
        <v>5940346.3600000003</v>
      </c>
      <c r="H388" s="159">
        <v>0</v>
      </c>
      <c r="I388" s="159">
        <v>2758249.51</v>
      </c>
      <c r="J388" s="159">
        <v>46.4</v>
      </c>
      <c r="K388" t="str">
        <f>VLOOKUP($C388,Lists!$C$3:$M$118,7,FALSE)</f>
        <v>SOBO_RGB</v>
      </c>
      <c r="S388" s="4"/>
      <c r="T388" s="4"/>
      <c r="U388" s="5"/>
      <c r="V388" s="5"/>
    </row>
    <row r="389" spans="1:22" x14ac:dyDescent="0.25">
      <c r="A389" s="158" t="s">
        <v>446</v>
      </c>
      <c r="B389" s="158" t="s">
        <v>447</v>
      </c>
      <c r="C389" s="158" t="s">
        <v>88</v>
      </c>
      <c r="D389" s="158" t="s">
        <v>527</v>
      </c>
      <c r="E389" s="157">
        <v>864</v>
      </c>
      <c r="F389" s="158" t="s">
        <v>525</v>
      </c>
      <c r="G389" s="159">
        <v>2438985.6</v>
      </c>
      <c r="H389" s="159">
        <v>0</v>
      </c>
      <c r="I389" s="159">
        <v>1430956.8</v>
      </c>
      <c r="J389" s="159">
        <v>58.7</v>
      </c>
      <c r="K389" t="str">
        <f>VLOOKUP($C389,Lists!$C$3:$M$118,7,FALSE)</f>
        <v>SOBO_PET</v>
      </c>
      <c r="S389" s="4"/>
      <c r="T389" s="4"/>
      <c r="U389" s="5"/>
      <c r="V389" s="5"/>
    </row>
    <row r="390" spans="1:22" x14ac:dyDescent="0.25">
      <c r="A390" s="158" t="s">
        <v>446</v>
      </c>
      <c r="B390" s="158" t="s">
        <v>447</v>
      </c>
      <c r="C390" s="158" t="s">
        <v>45</v>
      </c>
      <c r="D390" s="158" t="s">
        <v>46</v>
      </c>
      <c r="E390" s="157">
        <v>1654</v>
      </c>
      <c r="F390" s="158" t="s">
        <v>525</v>
      </c>
      <c r="G390" s="159">
        <v>6546581.6200000001</v>
      </c>
      <c r="H390" s="159">
        <v>0</v>
      </c>
      <c r="I390" s="159">
        <v>3224423.37</v>
      </c>
      <c r="J390" s="159">
        <v>49.3</v>
      </c>
      <c r="K390" t="str">
        <f>VLOOKUP($C390,Lists!$C$3:$M$118,7,FALSE)</f>
        <v>SOBO_RGB</v>
      </c>
      <c r="S390" s="4"/>
      <c r="T390" s="4"/>
      <c r="U390" s="5"/>
      <c r="V390" s="5"/>
    </row>
    <row r="391" spans="1:22" x14ac:dyDescent="0.25">
      <c r="A391" s="158" t="s">
        <v>446</v>
      </c>
      <c r="B391" s="158" t="s">
        <v>447</v>
      </c>
      <c r="C391" s="158" t="s">
        <v>47</v>
      </c>
      <c r="D391" s="158" t="s">
        <v>48</v>
      </c>
      <c r="E391" s="157">
        <v>1224</v>
      </c>
      <c r="F391" s="158" t="s">
        <v>525</v>
      </c>
      <c r="G391" s="159">
        <v>4844628.72</v>
      </c>
      <c r="H391" s="159">
        <v>0</v>
      </c>
      <c r="I391" s="159">
        <v>2114251.92</v>
      </c>
      <c r="J391" s="159">
        <v>43.6</v>
      </c>
      <c r="K391" t="str">
        <f>VLOOKUP($C391,Lists!$C$3:$M$118,7,FALSE)</f>
        <v>COKE_RGB</v>
      </c>
      <c r="S391" s="4"/>
      <c r="T391" s="4"/>
      <c r="U391" s="5"/>
      <c r="V391" s="5"/>
    </row>
    <row r="392" spans="1:22" x14ac:dyDescent="0.25">
      <c r="A392" s="158" t="s">
        <v>446</v>
      </c>
      <c r="B392" s="158" t="s">
        <v>447</v>
      </c>
      <c r="C392" s="158" t="s">
        <v>68</v>
      </c>
      <c r="D392" s="158" t="s">
        <v>534</v>
      </c>
      <c r="E392" s="157">
        <v>430</v>
      </c>
      <c r="F392" s="158" t="s">
        <v>525</v>
      </c>
      <c r="G392" s="159">
        <v>1213847</v>
      </c>
      <c r="H392" s="159">
        <v>0</v>
      </c>
      <c r="I392" s="159">
        <v>591490.80000000005</v>
      </c>
      <c r="J392" s="159">
        <v>48.7</v>
      </c>
      <c r="K392" t="str">
        <f>VLOOKUP($C392,Lists!$C$3:$M$118,7,FALSE)</f>
        <v>COKE_PET</v>
      </c>
      <c r="S392" s="4"/>
      <c r="T392" s="4"/>
      <c r="U392" s="5"/>
      <c r="V392" s="5"/>
    </row>
    <row r="393" spans="1:22" x14ac:dyDescent="0.25">
      <c r="A393" s="158" t="s">
        <v>446</v>
      </c>
      <c r="B393" s="158" t="s">
        <v>447</v>
      </c>
      <c r="C393" s="158" t="s">
        <v>49</v>
      </c>
      <c r="D393" s="158" t="s">
        <v>50</v>
      </c>
      <c r="E393" s="157">
        <v>573</v>
      </c>
      <c r="F393" s="158" t="s">
        <v>525</v>
      </c>
      <c r="G393" s="159">
        <v>5745688.7400000002</v>
      </c>
      <c r="H393" s="159">
        <v>0</v>
      </c>
      <c r="I393" s="159">
        <v>1830001.56</v>
      </c>
      <c r="J393" s="159">
        <v>31.8</v>
      </c>
      <c r="K393" t="str">
        <f>VLOOKUP($C393,Lists!$C$3:$M$118,7,FALSE)</f>
        <v>Squash</v>
      </c>
      <c r="S393" s="4"/>
      <c r="T393" s="4"/>
      <c r="U393" s="5"/>
      <c r="V393" s="5"/>
    </row>
    <row r="394" spans="1:22" x14ac:dyDescent="0.25">
      <c r="A394" s="158" t="s">
        <v>446</v>
      </c>
      <c r="B394" s="158" t="s">
        <v>447</v>
      </c>
      <c r="C394" s="158" t="s">
        <v>51</v>
      </c>
      <c r="D394" s="158" t="s">
        <v>52</v>
      </c>
      <c r="E394" s="157">
        <v>575</v>
      </c>
      <c r="F394" s="158" t="s">
        <v>525</v>
      </c>
      <c r="G394" s="159">
        <v>5765743.5</v>
      </c>
      <c r="H394" s="159">
        <v>0</v>
      </c>
      <c r="I394" s="159">
        <v>1821042.24</v>
      </c>
      <c r="J394" s="159">
        <v>31.6</v>
      </c>
      <c r="K394" t="str">
        <f>VLOOKUP($C394,Lists!$C$3:$M$118,7,FALSE)</f>
        <v>Squash</v>
      </c>
      <c r="S394" s="4"/>
      <c r="T394" s="4"/>
      <c r="U394" s="5"/>
      <c r="V394" s="5"/>
    </row>
    <row r="395" spans="1:22" x14ac:dyDescent="0.25">
      <c r="A395" s="158" t="s">
        <v>446</v>
      </c>
      <c r="B395" s="158" t="s">
        <v>447</v>
      </c>
      <c r="C395" s="158" t="s">
        <v>26</v>
      </c>
      <c r="D395" s="158" t="s">
        <v>27</v>
      </c>
      <c r="E395" s="157">
        <v>432</v>
      </c>
      <c r="F395" s="158" t="s">
        <v>525</v>
      </c>
      <c r="G395" s="159">
        <v>942796.80000000005</v>
      </c>
      <c r="H395" s="159">
        <v>0</v>
      </c>
      <c r="I395" s="159">
        <v>415653.12</v>
      </c>
      <c r="J395" s="159">
        <v>44.1</v>
      </c>
      <c r="K395" t="str">
        <f>VLOOKUP($C395,Lists!$C$3:$M$118,7,FALSE)</f>
        <v>Water</v>
      </c>
      <c r="S395" s="4"/>
      <c r="T395" s="4"/>
      <c r="U395" s="5"/>
      <c r="V395" s="5"/>
    </row>
    <row r="396" spans="1:22" x14ac:dyDescent="0.25">
      <c r="A396" s="158" t="s">
        <v>558</v>
      </c>
      <c r="B396" s="158" t="s">
        <v>559</v>
      </c>
      <c r="C396" s="158" t="s">
        <v>20</v>
      </c>
      <c r="D396" s="158" t="s">
        <v>21</v>
      </c>
      <c r="E396" s="157">
        <v>288</v>
      </c>
      <c r="F396" s="158" t="s">
        <v>525</v>
      </c>
      <c r="G396" s="159">
        <v>1161420.48</v>
      </c>
      <c r="H396" s="159">
        <v>0</v>
      </c>
      <c r="I396" s="159">
        <v>500546.88</v>
      </c>
      <c r="J396" s="159">
        <v>43.1</v>
      </c>
      <c r="K396" t="str">
        <f>VLOOKUP($C396,Lists!$C$3:$M$118,7,FALSE)</f>
        <v>COKE_RGB</v>
      </c>
      <c r="S396" s="4"/>
      <c r="T396" s="4"/>
      <c r="U396" s="5"/>
      <c r="V396" s="5"/>
    </row>
    <row r="397" spans="1:22" x14ac:dyDescent="0.25">
      <c r="A397" s="158" t="s">
        <v>558</v>
      </c>
      <c r="B397" s="158" t="s">
        <v>559</v>
      </c>
      <c r="C397" s="158" t="s">
        <v>22</v>
      </c>
      <c r="D397" s="158" t="s">
        <v>23</v>
      </c>
      <c r="E397" s="157">
        <v>143</v>
      </c>
      <c r="F397" s="158" t="s">
        <v>525</v>
      </c>
      <c r="G397" s="159">
        <v>576677.53</v>
      </c>
      <c r="H397" s="159">
        <v>0</v>
      </c>
      <c r="I397" s="159">
        <v>238701.32</v>
      </c>
      <c r="J397" s="159">
        <v>41.4</v>
      </c>
      <c r="K397" t="str">
        <f>VLOOKUP($C397,Lists!$C$3:$M$118,7,FALSE)</f>
        <v>COKE_RGB</v>
      </c>
      <c r="S397" s="4"/>
      <c r="T397" s="4"/>
      <c r="U397" s="5"/>
      <c r="V397" s="5"/>
    </row>
    <row r="398" spans="1:22" x14ac:dyDescent="0.25">
      <c r="A398" s="158" t="s">
        <v>558</v>
      </c>
      <c r="B398" s="158" t="s">
        <v>559</v>
      </c>
      <c r="C398" s="158" t="s">
        <v>37</v>
      </c>
      <c r="D398" s="158" t="s">
        <v>38</v>
      </c>
      <c r="E398" s="157">
        <v>71</v>
      </c>
      <c r="F398" s="158" t="s">
        <v>525</v>
      </c>
      <c r="G398" s="159">
        <v>238601.89</v>
      </c>
      <c r="H398" s="159">
        <v>0</v>
      </c>
      <c r="I398" s="159">
        <v>114125.4</v>
      </c>
      <c r="J398" s="159">
        <v>47.8</v>
      </c>
      <c r="K398" t="str">
        <f>VLOOKUP($C398,Lists!$C$3:$M$118,7,FALSE)</f>
        <v>SOBO_RGB</v>
      </c>
      <c r="S398" s="4"/>
      <c r="T398" s="4"/>
      <c r="U398" s="5"/>
      <c r="V398" s="5"/>
    </row>
    <row r="399" spans="1:22" x14ac:dyDescent="0.25">
      <c r="A399" s="158" t="s">
        <v>558</v>
      </c>
      <c r="B399" s="158" t="s">
        <v>559</v>
      </c>
      <c r="C399" s="158" t="s">
        <v>39</v>
      </c>
      <c r="D399" s="158" t="s">
        <v>40</v>
      </c>
      <c r="E399" s="157">
        <v>72</v>
      </c>
      <c r="F399" s="158" t="s">
        <v>525</v>
      </c>
      <c r="G399" s="159">
        <v>241962.48</v>
      </c>
      <c r="H399" s="159">
        <v>0</v>
      </c>
      <c r="I399" s="159">
        <v>114749.28</v>
      </c>
      <c r="J399" s="159">
        <v>47.4</v>
      </c>
      <c r="K399" t="str">
        <f>VLOOKUP($C399,Lists!$C$3:$M$118,7,FALSE)</f>
        <v>SOBO_RGB</v>
      </c>
      <c r="S399" s="4"/>
      <c r="T399" s="4"/>
      <c r="U399" s="5"/>
      <c r="V399" s="5"/>
    </row>
    <row r="400" spans="1:22" x14ac:dyDescent="0.25">
      <c r="A400" s="158" t="s">
        <v>558</v>
      </c>
      <c r="B400" s="158" t="s">
        <v>559</v>
      </c>
      <c r="C400" s="158" t="s">
        <v>45</v>
      </c>
      <c r="D400" s="158" t="s">
        <v>46</v>
      </c>
      <c r="E400" s="157">
        <v>72</v>
      </c>
      <c r="F400" s="158" t="s">
        <v>525</v>
      </c>
      <c r="G400" s="159">
        <v>290355.12</v>
      </c>
      <c r="H400" s="159">
        <v>0</v>
      </c>
      <c r="I400" s="159">
        <v>145738.79999999999</v>
      </c>
      <c r="J400" s="159">
        <v>50.2</v>
      </c>
      <c r="K400" t="str">
        <f>VLOOKUP($C400,Lists!$C$3:$M$118,7,FALSE)</f>
        <v>SOBO_RGB</v>
      </c>
      <c r="S400" s="4"/>
      <c r="T400" s="4"/>
      <c r="U400" s="5"/>
      <c r="V400" s="5"/>
    </row>
    <row r="401" spans="1:22" x14ac:dyDescent="0.25">
      <c r="A401" s="158" t="s">
        <v>558</v>
      </c>
      <c r="B401" s="158" t="s">
        <v>559</v>
      </c>
      <c r="C401" s="158" t="s">
        <v>47</v>
      </c>
      <c r="D401" s="158" t="s">
        <v>48</v>
      </c>
      <c r="E401" s="157">
        <v>72</v>
      </c>
      <c r="F401" s="158" t="s">
        <v>525</v>
      </c>
      <c r="G401" s="159">
        <v>290355.12</v>
      </c>
      <c r="H401" s="159">
        <v>0</v>
      </c>
      <c r="I401" s="159">
        <v>129744.72</v>
      </c>
      <c r="J401" s="159">
        <v>44.7</v>
      </c>
      <c r="K401" t="str">
        <f>VLOOKUP($C401,Lists!$C$3:$M$118,7,FALSE)</f>
        <v>COKE_RGB</v>
      </c>
      <c r="S401" s="4"/>
      <c r="T401" s="4"/>
      <c r="U401" s="5"/>
      <c r="V401" s="5"/>
    </row>
    <row r="402" spans="1:22" x14ac:dyDescent="0.25">
      <c r="A402" s="158" t="s">
        <v>558</v>
      </c>
      <c r="B402" s="158" t="s">
        <v>559</v>
      </c>
      <c r="C402" s="158" t="s">
        <v>49</v>
      </c>
      <c r="D402" s="158" t="s">
        <v>50</v>
      </c>
      <c r="E402" s="157">
        <v>288</v>
      </c>
      <c r="F402" s="158" t="s">
        <v>525</v>
      </c>
      <c r="G402" s="159">
        <v>2887885.44</v>
      </c>
      <c r="H402" s="159">
        <v>0</v>
      </c>
      <c r="I402" s="159">
        <v>919791.36</v>
      </c>
      <c r="J402" s="159">
        <v>31.8</v>
      </c>
      <c r="K402" t="str">
        <f>VLOOKUP($C402,Lists!$C$3:$M$118,7,FALSE)</f>
        <v>Squash</v>
      </c>
      <c r="S402" s="4"/>
      <c r="T402" s="4"/>
      <c r="U402" s="5"/>
      <c r="V402" s="5"/>
    </row>
    <row r="403" spans="1:22" x14ac:dyDescent="0.25">
      <c r="A403" s="158" t="s">
        <v>558</v>
      </c>
      <c r="B403" s="158" t="s">
        <v>559</v>
      </c>
      <c r="C403" s="158" t="s">
        <v>51</v>
      </c>
      <c r="D403" s="158" t="s">
        <v>52</v>
      </c>
      <c r="E403" s="157">
        <v>144</v>
      </c>
      <c r="F403" s="158" t="s">
        <v>525</v>
      </c>
      <c r="G403" s="159">
        <v>1443942.72</v>
      </c>
      <c r="H403" s="159">
        <v>0</v>
      </c>
      <c r="I403" s="159">
        <v>456052.32</v>
      </c>
      <c r="J403" s="159">
        <v>31.6</v>
      </c>
      <c r="K403" t="str">
        <f>VLOOKUP($C403,Lists!$C$3:$M$118,7,FALSE)</f>
        <v>Squash</v>
      </c>
      <c r="S403" s="4"/>
      <c r="T403" s="4"/>
      <c r="U403" s="5"/>
      <c r="V403" s="5"/>
    </row>
    <row r="404" spans="1:22" x14ac:dyDescent="0.25">
      <c r="A404" s="158" t="s">
        <v>512</v>
      </c>
      <c r="B404" s="158" t="s">
        <v>513</v>
      </c>
      <c r="C404" s="158" t="s">
        <v>69</v>
      </c>
      <c r="D404" s="158" t="s">
        <v>70</v>
      </c>
      <c r="E404" s="157">
        <v>-160</v>
      </c>
      <c r="F404" s="158" t="s">
        <v>525</v>
      </c>
      <c r="G404" s="159">
        <v>-1236051.2</v>
      </c>
      <c r="H404" s="159">
        <v>0</v>
      </c>
      <c r="I404" s="159">
        <v>-518451.20000000001</v>
      </c>
      <c r="J404" s="159">
        <v>41.9</v>
      </c>
      <c r="K404" t="str">
        <f>VLOOKUP($C404,Lists!$C$3:$M$118,7,FALSE)</f>
        <v>Alcomix</v>
      </c>
      <c r="S404" s="4"/>
      <c r="T404" s="4"/>
      <c r="U404" s="5"/>
      <c r="V404" s="5"/>
    </row>
    <row r="405" spans="1:22" x14ac:dyDescent="0.25">
      <c r="A405" s="158" t="s">
        <v>512</v>
      </c>
      <c r="B405" s="158" t="s">
        <v>513</v>
      </c>
      <c r="C405" s="158" t="s">
        <v>41</v>
      </c>
      <c r="D405" s="158" t="s">
        <v>42</v>
      </c>
      <c r="E405" s="157">
        <v>71</v>
      </c>
      <c r="F405" s="158" t="s">
        <v>525</v>
      </c>
      <c r="G405" s="159">
        <v>548497.72</v>
      </c>
      <c r="H405" s="159">
        <v>0</v>
      </c>
      <c r="I405" s="159">
        <v>230062.72</v>
      </c>
      <c r="J405" s="159">
        <v>41.9</v>
      </c>
      <c r="K405" t="str">
        <f>VLOOKUP($C405,Lists!$C$3:$M$118,7,FALSE)</f>
        <v>Alcomix</v>
      </c>
      <c r="S405" s="4"/>
      <c r="T405" s="4"/>
      <c r="U405" s="5"/>
      <c r="V405" s="5"/>
    </row>
    <row r="406" spans="1:22" x14ac:dyDescent="0.25">
      <c r="A406" s="158" t="s">
        <v>512</v>
      </c>
      <c r="B406" s="158" t="s">
        <v>513</v>
      </c>
      <c r="C406" s="158" t="s">
        <v>10</v>
      </c>
      <c r="D406" s="158" t="s">
        <v>11</v>
      </c>
      <c r="E406" s="157">
        <v>286</v>
      </c>
      <c r="F406" s="158" t="s">
        <v>525</v>
      </c>
      <c r="G406" s="159">
        <v>2209441.52</v>
      </c>
      <c r="H406" s="159">
        <v>0</v>
      </c>
      <c r="I406" s="159">
        <v>926731.52</v>
      </c>
      <c r="J406" s="159">
        <v>41.9</v>
      </c>
      <c r="K406" t="str">
        <f>VLOOKUP($C406,Lists!$C$3:$M$118,7,FALSE)</f>
        <v>Alcomix</v>
      </c>
      <c r="S406" s="4"/>
      <c r="T406" s="4"/>
      <c r="U406" s="5"/>
      <c r="V406" s="5"/>
    </row>
    <row r="407" spans="1:22" x14ac:dyDescent="0.25">
      <c r="A407" s="158" t="s">
        <v>512</v>
      </c>
      <c r="B407" s="158" t="s">
        <v>513</v>
      </c>
      <c r="C407" s="158" t="s">
        <v>71</v>
      </c>
      <c r="D407" s="158" t="s">
        <v>553</v>
      </c>
      <c r="E407" s="157">
        <v>-53</v>
      </c>
      <c r="F407" s="158" t="s">
        <v>525</v>
      </c>
      <c r="G407" s="159">
        <v>-409441.96</v>
      </c>
      <c r="H407" s="159">
        <v>0</v>
      </c>
      <c r="I407" s="159">
        <v>-171736.95999999999</v>
      </c>
      <c r="J407" s="159">
        <v>41.9</v>
      </c>
      <c r="K407" t="str">
        <f>VLOOKUP($C407,Lists!$C$3:$M$118,7,FALSE)</f>
        <v>Alcomix</v>
      </c>
      <c r="S407" s="4"/>
      <c r="T407" s="4"/>
      <c r="U407" s="5"/>
      <c r="V407" s="5"/>
    </row>
    <row r="408" spans="1:22" x14ac:dyDescent="0.25">
      <c r="A408" s="158" t="s">
        <v>512</v>
      </c>
      <c r="B408" s="158" t="s">
        <v>513</v>
      </c>
      <c r="C408" s="158" t="s">
        <v>12</v>
      </c>
      <c r="D408" s="158" t="s">
        <v>13</v>
      </c>
      <c r="E408" s="157">
        <v>4091</v>
      </c>
      <c r="F408" s="158" t="s">
        <v>525</v>
      </c>
      <c r="G408" s="159">
        <v>26336917.07</v>
      </c>
      <c r="H408" s="159">
        <v>0</v>
      </c>
      <c r="I408" s="159">
        <v>11510110.32</v>
      </c>
      <c r="J408" s="159">
        <v>43.7</v>
      </c>
      <c r="K408" t="str">
        <f>VLOOKUP($C408,Lists!$C$3:$M$118,7,FALSE)</f>
        <v>Beers</v>
      </c>
      <c r="S408" s="4"/>
      <c r="T408" s="4"/>
      <c r="U408" s="5"/>
      <c r="V408" s="5"/>
    </row>
    <row r="409" spans="1:22" x14ac:dyDescent="0.25">
      <c r="A409" s="158" t="s">
        <v>512</v>
      </c>
      <c r="B409" s="158" t="s">
        <v>513</v>
      </c>
      <c r="C409" s="158" t="s">
        <v>14</v>
      </c>
      <c r="D409" s="158" t="s">
        <v>15</v>
      </c>
      <c r="E409" s="157">
        <v>3300</v>
      </c>
      <c r="F409" s="158" t="s">
        <v>525</v>
      </c>
      <c r="G409" s="159">
        <v>25493556</v>
      </c>
      <c r="H409" s="159">
        <v>0</v>
      </c>
      <c r="I409" s="159">
        <v>12589302</v>
      </c>
      <c r="J409" s="159">
        <v>49.4</v>
      </c>
      <c r="K409" t="str">
        <f>VLOOKUP($C409,Lists!$C$3:$M$118,7,FALSE)</f>
        <v>Beers</v>
      </c>
      <c r="S409" s="4"/>
      <c r="T409" s="4"/>
      <c r="U409" s="5"/>
      <c r="V409" s="5"/>
    </row>
    <row r="410" spans="1:22" x14ac:dyDescent="0.25">
      <c r="A410" s="158" t="s">
        <v>512</v>
      </c>
      <c r="B410" s="158" t="s">
        <v>513</v>
      </c>
      <c r="C410" s="158" t="s">
        <v>54</v>
      </c>
      <c r="D410" s="158" t="s">
        <v>55</v>
      </c>
      <c r="E410" s="157">
        <v>199</v>
      </c>
      <c r="F410" s="158" t="s">
        <v>525</v>
      </c>
      <c r="G410" s="159">
        <v>1537338.68</v>
      </c>
      <c r="H410" s="159">
        <v>0</v>
      </c>
      <c r="I410" s="159">
        <v>807058.43</v>
      </c>
      <c r="J410" s="159">
        <v>52.5</v>
      </c>
      <c r="K410" t="str">
        <f>VLOOKUP($C410,Lists!$C$3:$M$118,7,FALSE)</f>
        <v>Beers</v>
      </c>
      <c r="S410" s="4"/>
      <c r="T410" s="4"/>
      <c r="U410" s="5"/>
      <c r="V410" s="5"/>
    </row>
    <row r="411" spans="1:22" x14ac:dyDescent="0.25">
      <c r="A411" s="158" t="s">
        <v>512</v>
      </c>
      <c r="B411" s="158" t="s">
        <v>513</v>
      </c>
      <c r="C411" s="158" t="s">
        <v>16</v>
      </c>
      <c r="D411" s="158" t="s">
        <v>17</v>
      </c>
      <c r="E411" s="157">
        <v>4665</v>
      </c>
      <c r="F411" s="158" t="s">
        <v>525</v>
      </c>
      <c r="G411" s="159">
        <v>36038617.799999997</v>
      </c>
      <c r="H411" s="159">
        <v>0</v>
      </c>
      <c r="I411" s="159">
        <v>17796695.100000001</v>
      </c>
      <c r="J411" s="159">
        <v>49.4</v>
      </c>
      <c r="K411" t="str">
        <f>VLOOKUP($C411,Lists!$C$3:$M$118,7,FALSE)</f>
        <v>Beers</v>
      </c>
      <c r="S411" s="4"/>
      <c r="T411" s="4"/>
      <c r="U411" s="5"/>
      <c r="V411" s="5"/>
    </row>
    <row r="412" spans="1:22" x14ac:dyDescent="0.25">
      <c r="A412" s="158" t="s">
        <v>512</v>
      </c>
      <c r="B412" s="158" t="s">
        <v>513</v>
      </c>
      <c r="C412" s="158" t="s">
        <v>56</v>
      </c>
      <c r="D412" s="158" t="s">
        <v>57</v>
      </c>
      <c r="E412" s="157">
        <v>295</v>
      </c>
      <c r="F412" s="158" t="s">
        <v>525</v>
      </c>
      <c r="G412" s="159">
        <v>2278969.4</v>
      </c>
      <c r="H412" s="159">
        <v>0</v>
      </c>
      <c r="I412" s="159">
        <v>1196393.1499999999</v>
      </c>
      <c r="J412" s="159">
        <v>52.5</v>
      </c>
      <c r="K412" t="str">
        <f>VLOOKUP($C412,Lists!$C$3:$M$118,7,FALSE)</f>
        <v>Beers</v>
      </c>
      <c r="S412" s="4"/>
      <c r="T412" s="4"/>
      <c r="U412" s="5"/>
      <c r="V412" s="5"/>
    </row>
    <row r="413" spans="1:22" x14ac:dyDescent="0.25">
      <c r="A413" s="158" t="s">
        <v>512</v>
      </c>
      <c r="B413" s="158" t="s">
        <v>513</v>
      </c>
      <c r="C413" s="158" t="s">
        <v>18</v>
      </c>
      <c r="D413" s="158" t="s">
        <v>19</v>
      </c>
      <c r="E413" s="157">
        <v>429</v>
      </c>
      <c r="F413" s="158" t="s">
        <v>525</v>
      </c>
      <c r="G413" s="159">
        <v>4418884.47</v>
      </c>
      <c r="H413" s="159">
        <v>0</v>
      </c>
      <c r="I413" s="159">
        <v>2291258.96</v>
      </c>
      <c r="J413" s="159">
        <v>51.9</v>
      </c>
      <c r="K413" t="str">
        <f>VLOOKUP($C413,Lists!$C$3:$M$118,7,FALSE)</f>
        <v>Beers</v>
      </c>
      <c r="S413" s="4"/>
      <c r="T413" s="4"/>
      <c r="U413" s="5"/>
      <c r="V413" s="5"/>
    </row>
    <row r="414" spans="1:22" x14ac:dyDescent="0.25">
      <c r="A414" s="158" t="s">
        <v>512</v>
      </c>
      <c r="B414" s="158" t="s">
        <v>513</v>
      </c>
      <c r="C414" s="158" t="s">
        <v>20</v>
      </c>
      <c r="D414" s="158" t="s">
        <v>21</v>
      </c>
      <c r="E414" s="157">
        <v>1292</v>
      </c>
      <c r="F414" s="158" t="s">
        <v>525</v>
      </c>
      <c r="G414" s="159">
        <v>5113774.76</v>
      </c>
      <c r="H414" s="159">
        <v>0</v>
      </c>
      <c r="I414" s="159">
        <v>2149022.36</v>
      </c>
      <c r="J414" s="159">
        <v>42</v>
      </c>
      <c r="K414" t="str">
        <f>VLOOKUP($C414,Lists!$C$3:$M$118,7,FALSE)</f>
        <v>COKE_RGB</v>
      </c>
      <c r="S414" s="4"/>
      <c r="T414" s="4"/>
      <c r="U414" s="5"/>
      <c r="V414" s="5"/>
    </row>
    <row r="415" spans="1:22" x14ac:dyDescent="0.25">
      <c r="A415" s="158" t="s">
        <v>512</v>
      </c>
      <c r="B415" s="158" t="s">
        <v>513</v>
      </c>
      <c r="C415" s="158" t="s">
        <v>28</v>
      </c>
      <c r="D415" s="158" t="s">
        <v>530</v>
      </c>
      <c r="E415" s="157">
        <v>1151</v>
      </c>
      <c r="F415" s="158" t="s">
        <v>525</v>
      </c>
      <c r="G415" s="159">
        <v>3249157.9</v>
      </c>
      <c r="H415" s="159">
        <v>0</v>
      </c>
      <c r="I415" s="159">
        <v>1638851.35</v>
      </c>
      <c r="J415" s="159">
        <v>50.4</v>
      </c>
      <c r="K415" t="str">
        <f>VLOOKUP($C415,Lists!$C$3:$M$118,7,FALSE)</f>
        <v>COKE_PET</v>
      </c>
      <c r="S415" s="4"/>
      <c r="T415" s="4"/>
      <c r="U415" s="5"/>
      <c r="V415" s="5"/>
    </row>
    <row r="416" spans="1:22" x14ac:dyDescent="0.25">
      <c r="A416" s="158" t="s">
        <v>512</v>
      </c>
      <c r="B416" s="158" t="s">
        <v>513</v>
      </c>
      <c r="C416" s="158" t="s">
        <v>58</v>
      </c>
      <c r="D416" s="158" t="s">
        <v>537</v>
      </c>
      <c r="E416" s="157">
        <v>1295</v>
      </c>
      <c r="F416" s="158" t="s">
        <v>525</v>
      </c>
      <c r="G416" s="159">
        <v>3133420.85</v>
      </c>
      <c r="H416" s="159">
        <v>0</v>
      </c>
      <c r="I416" s="159">
        <v>1736038.15</v>
      </c>
      <c r="J416" s="159">
        <v>55.4</v>
      </c>
      <c r="K416" t="str">
        <f>VLOOKUP($C416,Lists!$C$3:$M$118,7,FALSE)</f>
        <v>SOBO_PET</v>
      </c>
      <c r="S416" s="4"/>
      <c r="T416" s="4"/>
      <c r="U416" s="5"/>
      <c r="V416" s="5"/>
    </row>
    <row r="417" spans="1:22" x14ac:dyDescent="0.25">
      <c r="A417" s="158" t="s">
        <v>512</v>
      </c>
      <c r="B417" s="158" t="s">
        <v>513</v>
      </c>
      <c r="C417" s="158" t="s">
        <v>43</v>
      </c>
      <c r="D417" s="158" t="s">
        <v>44</v>
      </c>
      <c r="E417" s="157">
        <v>287</v>
      </c>
      <c r="F417" s="158" t="s">
        <v>525</v>
      </c>
      <c r="G417" s="159">
        <v>2217166.84</v>
      </c>
      <c r="H417" s="159">
        <v>0</v>
      </c>
      <c r="I417" s="159">
        <v>1094887.78</v>
      </c>
      <c r="J417" s="159">
        <v>49.4</v>
      </c>
      <c r="K417" t="str">
        <f>VLOOKUP($C417,Lists!$C$3:$M$118,7,FALSE)</f>
        <v>Beers</v>
      </c>
      <c r="S417" s="4"/>
      <c r="T417" s="4"/>
      <c r="U417" s="5"/>
      <c r="V417" s="5"/>
    </row>
    <row r="418" spans="1:22" x14ac:dyDescent="0.25">
      <c r="A418" s="158" t="s">
        <v>512</v>
      </c>
      <c r="B418" s="158" t="s">
        <v>513</v>
      </c>
      <c r="C418" s="158" t="s">
        <v>59</v>
      </c>
      <c r="D418" s="158" t="s">
        <v>60</v>
      </c>
      <c r="E418" s="157">
        <v>427</v>
      </c>
      <c r="F418" s="158" t="s">
        <v>525</v>
      </c>
      <c r="G418" s="159">
        <v>1690078.81</v>
      </c>
      <c r="H418" s="159">
        <v>0</v>
      </c>
      <c r="I418" s="159">
        <v>688144.65</v>
      </c>
      <c r="J418" s="159">
        <v>40.700000000000003</v>
      </c>
      <c r="K418" t="str">
        <f>VLOOKUP($C418,Lists!$C$3:$M$118,7,FALSE)</f>
        <v>COKE_RGB</v>
      </c>
      <c r="S418" s="4"/>
      <c r="T418" s="4"/>
      <c r="U418" s="5"/>
      <c r="V418" s="5"/>
    </row>
    <row r="419" spans="1:22" x14ac:dyDescent="0.25">
      <c r="A419" s="158" t="s">
        <v>512</v>
      </c>
      <c r="B419" s="158" t="s">
        <v>513</v>
      </c>
      <c r="C419" s="158" t="s">
        <v>22</v>
      </c>
      <c r="D419" s="158" t="s">
        <v>23</v>
      </c>
      <c r="E419" s="157">
        <v>287</v>
      </c>
      <c r="F419" s="158" t="s">
        <v>525</v>
      </c>
      <c r="G419" s="159">
        <v>1135954.6100000001</v>
      </c>
      <c r="H419" s="159">
        <v>0</v>
      </c>
      <c r="I419" s="159">
        <v>457638.72</v>
      </c>
      <c r="J419" s="159">
        <v>40.299999999999997</v>
      </c>
      <c r="K419" t="str">
        <f>VLOOKUP($C419,Lists!$C$3:$M$118,7,FALSE)</f>
        <v>COKE_RGB</v>
      </c>
      <c r="S419" s="4"/>
      <c r="T419" s="4"/>
      <c r="U419" s="5"/>
      <c r="V419" s="5"/>
    </row>
    <row r="420" spans="1:22" x14ac:dyDescent="0.25">
      <c r="A420" s="158" t="s">
        <v>512</v>
      </c>
      <c r="B420" s="158" t="s">
        <v>513</v>
      </c>
      <c r="C420" s="158" t="s">
        <v>67</v>
      </c>
      <c r="D420" s="158" t="s">
        <v>533</v>
      </c>
      <c r="E420" s="157">
        <v>1006</v>
      </c>
      <c r="F420" s="158" t="s">
        <v>525</v>
      </c>
      <c r="G420" s="159">
        <v>2839837.4</v>
      </c>
      <c r="H420" s="159">
        <v>0</v>
      </c>
      <c r="I420" s="159">
        <v>1396951.72</v>
      </c>
      <c r="J420" s="159">
        <v>49.2</v>
      </c>
      <c r="K420" t="str">
        <f>VLOOKUP($C420,Lists!$C$3:$M$118,7,FALSE)</f>
        <v>COKE_PET</v>
      </c>
      <c r="S420" s="4"/>
      <c r="T420" s="4"/>
      <c r="U420" s="5"/>
      <c r="V420" s="5"/>
    </row>
    <row r="421" spans="1:22" x14ac:dyDescent="0.25">
      <c r="A421" s="158" t="s">
        <v>512</v>
      </c>
      <c r="B421" s="158" t="s">
        <v>513</v>
      </c>
      <c r="C421" s="158" t="s">
        <v>261</v>
      </c>
      <c r="D421" s="158" t="s">
        <v>538</v>
      </c>
      <c r="E421" s="157">
        <v>144</v>
      </c>
      <c r="F421" s="158" t="s">
        <v>525</v>
      </c>
      <c r="G421" s="159">
        <v>569956.31999999995</v>
      </c>
      <c r="H421" s="159">
        <v>0</v>
      </c>
      <c r="I421" s="159">
        <v>229616.64000000001</v>
      </c>
      <c r="J421" s="159">
        <v>40.299999999999997</v>
      </c>
      <c r="K421" t="str">
        <f>VLOOKUP($C421,Lists!$C$3:$M$118,7,FALSE)</f>
        <v>COKE_RGB</v>
      </c>
      <c r="S421" s="4"/>
      <c r="T421" s="4"/>
      <c r="U421" s="5"/>
      <c r="V421" s="5"/>
    </row>
    <row r="422" spans="1:22" x14ac:dyDescent="0.25">
      <c r="A422" s="158" t="s">
        <v>512</v>
      </c>
      <c r="B422" s="158" t="s">
        <v>513</v>
      </c>
      <c r="C422" s="158" t="s">
        <v>24</v>
      </c>
      <c r="D422" s="158" t="s">
        <v>25</v>
      </c>
      <c r="E422" s="157">
        <v>1077</v>
      </c>
      <c r="F422" s="158" t="s">
        <v>525</v>
      </c>
      <c r="G422" s="159">
        <v>6933478.29</v>
      </c>
      <c r="H422" s="159">
        <v>0</v>
      </c>
      <c r="I422" s="159">
        <v>3338312.28</v>
      </c>
      <c r="J422" s="159">
        <v>48.1</v>
      </c>
      <c r="K422" t="str">
        <f>VLOOKUP($C422,Lists!$C$3:$M$118,7,FALSE)</f>
        <v>Beers</v>
      </c>
      <c r="S422" s="4"/>
      <c r="T422" s="4"/>
      <c r="U422" s="5"/>
      <c r="V422" s="5"/>
    </row>
    <row r="423" spans="1:22" x14ac:dyDescent="0.25">
      <c r="A423" s="158" t="s">
        <v>512</v>
      </c>
      <c r="B423" s="158" t="s">
        <v>513</v>
      </c>
      <c r="C423" s="158" t="s">
        <v>29</v>
      </c>
      <c r="D423" s="158" t="s">
        <v>30</v>
      </c>
      <c r="E423" s="157">
        <v>258</v>
      </c>
      <c r="F423" s="158" t="s">
        <v>525</v>
      </c>
      <c r="G423" s="159">
        <v>9387172.6199999992</v>
      </c>
      <c r="H423" s="159">
        <v>0</v>
      </c>
      <c r="I423" s="159">
        <v>2679172.62</v>
      </c>
      <c r="J423" s="159">
        <v>28.5</v>
      </c>
      <c r="K423" t="str">
        <f>VLOOKUP($C423,Lists!$C$3:$M$118,7,FALSE)</f>
        <v>Spirits</v>
      </c>
      <c r="S423" s="4"/>
      <c r="T423" s="4"/>
      <c r="U423" s="5"/>
      <c r="V423" s="5"/>
    </row>
    <row r="424" spans="1:22" x14ac:dyDescent="0.25">
      <c r="A424" s="158" t="s">
        <v>512</v>
      </c>
      <c r="B424" s="158" t="s">
        <v>513</v>
      </c>
      <c r="C424" s="158" t="s">
        <v>31</v>
      </c>
      <c r="D424" s="158" t="s">
        <v>32</v>
      </c>
      <c r="E424" s="157">
        <v>30</v>
      </c>
      <c r="F424" s="158" t="s">
        <v>525</v>
      </c>
      <c r="G424" s="159">
        <v>1024703.4</v>
      </c>
      <c r="H424" s="159">
        <v>0</v>
      </c>
      <c r="I424" s="159">
        <v>304703.40000000002</v>
      </c>
      <c r="J424" s="159">
        <v>29.7</v>
      </c>
      <c r="K424" t="str">
        <f>VLOOKUP($C424,Lists!$C$3:$M$118,7,FALSE)</f>
        <v>Spirits</v>
      </c>
      <c r="S424" s="4"/>
      <c r="T424" s="4"/>
      <c r="U424" s="5"/>
      <c r="V424" s="5"/>
    </row>
    <row r="425" spans="1:22" x14ac:dyDescent="0.25">
      <c r="A425" s="158" t="s">
        <v>512</v>
      </c>
      <c r="B425" s="158" t="s">
        <v>513</v>
      </c>
      <c r="C425" s="158" t="s">
        <v>33</v>
      </c>
      <c r="D425" s="158" t="s">
        <v>34</v>
      </c>
      <c r="E425" s="157">
        <v>60</v>
      </c>
      <c r="F425" s="158" t="s">
        <v>525</v>
      </c>
      <c r="G425" s="159">
        <v>3341424</v>
      </c>
      <c r="H425" s="159">
        <v>0</v>
      </c>
      <c r="I425" s="159">
        <v>641424</v>
      </c>
      <c r="J425" s="159">
        <v>19.2</v>
      </c>
      <c r="K425" t="str">
        <f>VLOOKUP($C425,Lists!$C$3:$M$118,7,FALSE)</f>
        <v>Spirits</v>
      </c>
      <c r="S425" s="4"/>
      <c r="T425" s="4"/>
      <c r="U425" s="5"/>
      <c r="V425" s="5"/>
    </row>
    <row r="426" spans="1:22" x14ac:dyDescent="0.25">
      <c r="A426" s="158" t="s">
        <v>512</v>
      </c>
      <c r="B426" s="158" t="s">
        <v>513</v>
      </c>
      <c r="C426" s="158" t="s">
        <v>37</v>
      </c>
      <c r="D426" s="158" t="s">
        <v>38</v>
      </c>
      <c r="E426" s="157">
        <v>144</v>
      </c>
      <c r="F426" s="158" t="s">
        <v>525</v>
      </c>
      <c r="G426" s="159">
        <v>474963.84</v>
      </c>
      <c r="H426" s="159">
        <v>0</v>
      </c>
      <c r="I426" s="159">
        <v>222504.48</v>
      </c>
      <c r="J426" s="159">
        <v>46.8</v>
      </c>
      <c r="K426" t="str">
        <f>VLOOKUP($C426,Lists!$C$3:$M$118,7,FALSE)</f>
        <v>SOBO_RGB</v>
      </c>
      <c r="S426" s="4"/>
      <c r="T426" s="4"/>
      <c r="U426" s="5"/>
      <c r="V426" s="5"/>
    </row>
    <row r="427" spans="1:22" x14ac:dyDescent="0.25">
      <c r="A427" s="158" t="s">
        <v>512</v>
      </c>
      <c r="B427" s="158" t="s">
        <v>513</v>
      </c>
      <c r="C427" s="158" t="s">
        <v>39</v>
      </c>
      <c r="D427" s="158" t="s">
        <v>40</v>
      </c>
      <c r="E427" s="157">
        <v>143</v>
      </c>
      <c r="F427" s="158" t="s">
        <v>525</v>
      </c>
      <c r="G427" s="159">
        <v>471665.48</v>
      </c>
      <c r="H427" s="159">
        <v>0</v>
      </c>
      <c r="I427" s="159">
        <v>219005.93</v>
      </c>
      <c r="J427" s="159">
        <v>46.4</v>
      </c>
      <c r="K427" t="str">
        <f>VLOOKUP($C427,Lists!$C$3:$M$118,7,FALSE)</f>
        <v>SOBO_RGB</v>
      </c>
      <c r="S427" s="4"/>
      <c r="T427" s="4"/>
      <c r="U427" s="5"/>
      <c r="V427" s="5"/>
    </row>
    <row r="428" spans="1:22" x14ac:dyDescent="0.25">
      <c r="A428" s="158" t="s">
        <v>512</v>
      </c>
      <c r="B428" s="158" t="s">
        <v>513</v>
      </c>
      <c r="C428" s="158" t="s">
        <v>88</v>
      </c>
      <c r="D428" s="158" t="s">
        <v>527</v>
      </c>
      <c r="E428" s="157">
        <v>144</v>
      </c>
      <c r="F428" s="158" t="s">
        <v>525</v>
      </c>
      <c r="G428" s="159">
        <v>406497.6</v>
      </c>
      <c r="H428" s="159">
        <v>0</v>
      </c>
      <c r="I428" s="159">
        <v>238492.79999999999</v>
      </c>
      <c r="J428" s="159">
        <v>58.7</v>
      </c>
      <c r="K428" t="str">
        <f>VLOOKUP($C428,Lists!$C$3:$M$118,7,FALSE)</f>
        <v>SOBO_PET</v>
      </c>
      <c r="S428" s="4"/>
      <c r="T428" s="4"/>
      <c r="U428" s="5"/>
      <c r="V428" s="5"/>
    </row>
    <row r="429" spans="1:22" x14ac:dyDescent="0.25">
      <c r="A429" s="158" t="s">
        <v>512</v>
      </c>
      <c r="B429" s="158" t="s">
        <v>513</v>
      </c>
      <c r="C429" s="158" t="s">
        <v>45</v>
      </c>
      <c r="D429" s="158" t="s">
        <v>46</v>
      </c>
      <c r="E429" s="157">
        <v>144</v>
      </c>
      <c r="F429" s="158" t="s">
        <v>525</v>
      </c>
      <c r="G429" s="159">
        <v>569956.31999999995</v>
      </c>
      <c r="H429" s="159">
        <v>0</v>
      </c>
      <c r="I429" s="159">
        <v>280723.68</v>
      </c>
      <c r="J429" s="159">
        <v>49.3</v>
      </c>
      <c r="K429" t="str">
        <f>VLOOKUP($C429,Lists!$C$3:$M$118,7,FALSE)</f>
        <v>SOBO_RGB</v>
      </c>
      <c r="S429" s="4"/>
      <c r="T429" s="4"/>
      <c r="U429" s="5"/>
      <c r="V429" s="5"/>
    </row>
    <row r="430" spans="1:22" x14ac:dyDescent="0.25">
      <c r="A430" s="158" t="s">
        <v>512</v>
      </c>
      <c r="B430" s="158" t="s">
        <v>513</v>
      </c>
      <c r="C430" s="158" t="s">
        <v>47</v>
      </c>
      <c r="D430" s="158" t="s">
        <v>48</v>
      </c>
      <c r="E430" s="157">
        <v>215</v>
      </c>
      <c r="F430" s="158" t="s">
        <v>525</v>
      </c>
      <c r="G430" s="159">
        <v>850976.45</v>
      </c>
      <c r="H430" s="159">
        <v>0</v>
      </c>
      <c r="I430" s="159">
        <v>371375.95</v>
      </c>
      <c r="J430" s="159">
        <v>43.6</v>
      </c>
      <c r="K430" t="str">
        <f>VLOOKUP($C430,Lists!$C$3:$M$118,7,FALSE)</f>
        <v>COKE_RGB</v>
      </c>
      <c r="S430" s="4"/>
      <c r="T430" s="4"/>
      <c r="U430" s="5"/>
      <c r="V430" s="5"/>
    </row>
    <row r="431" spans="1:22" x14ac:dyDescent="0.25">
      <c r="A431" s="158" t="s">
        <v>512</v>
      </c>
      <c r="B431" s="158" t="s">
        <v>513</v>
      </c>
      <c r="C431" s="158" t="s">
        <v>68</v>
      </c>
      <c r="D431" s="158" t="s">
        <v>534</v>
      </c>
      <c r="E431" s="157">
        <v>862</v>
      </c>
      <c r="F431" s="158" t="s">
        <v>525</v>
      </c>
      <c r="G431" s="159">
        <v>2433339.7999999998</v>
      </c>
      <c r="H431" s="159">
        <v>0</v>
      </c>
      <c r="I431" s="159">
        <v>1185732.72</v>
      </c>
      <c r="J431" s="159">
        <v>48.7</v>
      </c>
      <c r="K431" t="str">
        <f>VLOOKUP($C431,Lists!$C$3:$M$118,7,FALSE)</f>
        <v>COKE_PET</v>
      </c>
      <c r="S431" s="4"/>
      <c r="T431" s="4"/>
      <c r="U431" s="5"/>
      <c r="V431" s="5"/>
    </row>
    <row r="432" spans="1:22" x14ac:dyDescent="0.25">
      <c r="A432" s="158" t="s">
        <v>512</v>
      </c>
      <c r="B432" s="158" t="s">
        <v>513</v>
      </c>
      <c r="C432" s="158" t="s">
        <v>49</v>
      </c>
      <c r="D432" s="158" t="s">
        <v>50</v>
      </c>
      <c r="E432" s="157">
        <v>1292</v>
      </c>
      <c r="F432" s="158" t="s">
        <v>525</v>
      </c>
      <c r="G432" s="159">
        <v>12955374.960000001</v>
      </c>
      <c r="H432" s="159">
        <v>0</v>
      </c>
      <c r="I432" s="159">
        <v>4126286.24</v>
      </c>
      <c r="J432" s="159">
        <v>31.8</v>
      </c>
      <c r="K432" t="str">
        <f>VLOOKUP($C432,Lists!$C$3:$M$118,7,FALSE)</f>
        <v>Squash</v>
      </c>
      <c r="S432" s="4"/>
      <c r="T432" s="4"/>
      <c r="U432" s="5"/>
      <c r="V432" s="5"/>
    </row>
    <row r="433" spans="1:22" x14ac:dyDescent="0.25">
      <c r="A433" s="158" t="s">
        <v>512</v>
      </c>
      <c r="B433" s="158" t="s">
        <v>513</v>
      </c>
      <c r="C433" s="158" t="s">
        <v>51</v>
      </c>
      <c r="D433" s="158" t="s">
        <v>52</v>
      </c>
      <c r="E433" s="157">
        <v>2156</v>
      </c>
      <c r="F433" s="158" t="s">
        <v>525</v>
      </c>
      <c r="G433" s="159">
        <v>21619031.280000001</v>
      </c>
      <c r="H433" s="159">
        <v>0</v>
      </c>
      <c r="I433" s="159">
        <v>6828116.6799999997</v>
      </c>
      <c r="J433" s="159">
        <v>31.6</v>
      </c>
      <c r="K433" t="str">
        <f>VLOOKUP($C433,Lists!$C$3:$M$118,7,FALSE)</f>
        <v>Squash</v>
      </c>
      <c r="S433" s="4"/>
      <c r="T433" s="4"/>
      <c r="U433" s="5"/>
      <c r="V433" s="5"/>
    </row>
    <row r="434" spans="1:22" x14ac:dyDescent="0.25">
      <c r="A434" s="158" t="s">
        <v>512</v>
      </c>
      <c r="B434" s="158" t="s">
        <v>513</v>
      </c>
      <c r="C434" s="158" t="s">
        <v>26</v>
      </c>
      <c r="D434" s="158" t="s">
        <v>27</v>
      </c>
      <c r="E434" s="157">
        <v>720</v>
      </c>
      <c r="F434" s="158" t="s">
        <v>525</v>
      </c>
      <c r="G434" s="159">
        <v>1571328</v>
      </c>
      <c r="H434" s="159">
        <v>0</v>
      </c>
      <c r="I434" s="159">
        <v>692755.19</v>
      </c>
      <c r="J434" s="159">
        <v>44.1</v>
      </c>
      <c r="K434" t="str">
        <f>VLOOKUP($C434,Lists!$C$3:$M$118,7,FALSE)</f>
        <v>Water</v>
      </c>
      <c r="S434" s="4"/>
      <c r="T434" s="4"/>
      <c r="U434" s="5"/>
      <c r="V434" s="5"/>
    </row>
    <row r="435" spans="1:22" x14ac:dyDescent="0.25">
      <c r="A435" s="158" t="s">
        <v>449</v>
      </c>
      <c r="B435" s="158" t="s">
        <v>86</v>
      </c>
      <c r="C435" s="158" t="s">
        <v>41</v>
      </c>
      <c r="D435" s="158" t="s">
        <v>42</v>
      </c>
      <c r="E435" s="157">
        <v>167</v>
      </c>
      <c r="F435" s="158" t="s">
        <v>525</v>
      </c>
      <c r="G435" s="159">
        <v>1290128.44</v>
      </c>
      <c r="H435" s="159">
        <v>0</v>
      </c>
      <c r="I435" s="159">
        <v>541133.43999999994</v>
      </c>
      <c r="J435" s="159">
        <v>41.9</v>
      </c>
      <c r="K435" t="str">
        <f>VLOOKUP($C435,Lists!$C$3:$M$118,7,FALSE)</f>
        <v>Alcomix</v>
      </c>
      <c r="S435" s="4"/>
      <c r="T435" s="4"/>
      <c r="U435" s="5"/>
      <c r="V435" s="5"/>
    </row>
    <row r="436" spans="1:22" x14ac:dyDescent="0.25">
      <c r="A436" s="158" t="s">
        <v>449</v>
      </c>
      <c r="B436" s="158" t="s">
        <v>86</v>
      </c>
      <c r="C436" s="158" t="s">
        <v>10</v>
      </c>
      <c r="D436" s="158" t="s">
        <v>11</v>
      </c>
      <c r="E436" s="157">
        <v>251</v>
      </c>
      <c r="F436" s="158" t="s">
        <v>525</v>
      </c>
      <c r="G436" s="159">
        <v>1939055.32</v>
      </c>
      <c r="H436" s="159">
        <v>0</v>
      </c>
      <c r="I436" s="159">
        <v>813320.32</v>
      </c>
      <c r="J436" s="159">
        <v>41.9</v>
      </c>
      <c r="K436" t="str">
        <f>VLOOKUP($C436,Lists!$C$3:$M$118,7,FALSE)</f>
        <v>Alcomix</v>
      </c>
      <c r="S436" s="4"/>
      <c r="T436" s="4"/>
      <c r="U436" s="5"/>
      <c r="V436" s="5"/>
    </row>
    <row r="437" spans="1:22" x14ac:dyDescent="0.25">
      <c r="A437" s="158" t="s">
        <v>449</v>
      </c>
      <c r="B437" s="158" t="s">
        <v>86</v>
      </c>
      <c r="C437" s="158" t="s">
        <v>12</v>
      </c>
      <c r="D437" s="158" t="s">
        <v>13</v>
      </c>
      <c r="E437" s="157">
        <v>4177</v>
      </c>
      <c r="F437" s="158" t="s">
        <v>525</v>
      </c>
      <c r="G437" s="159">
        <v>26890565.289999999</v>
      </c>
      <c r="H437" s="159">
        <v>0</v>
      </c>
      <c r="I437" s="159">
        <v>11752073.039999999</v>
      </c>
      <c r="J437" s="159">
        <v>43.7</v>
      </c>
      <c r="K437" t="str">
        <f>VLOOKUP($C437,Lists!$C$3:$M$118,7,FALSE)</f>
        <v>Beers</v>
      </c>
      <c r="S437" s="4"/>
      <c r="T437" s="4"/>
      <c r="U437" s="5"/>
      <c r="V437" s="5"/>
    </row>
    <row r="438" spans="1:22" x14ac:dyDescent="0.25">
      <c r="A438" s="158" t="s">
        <v>449</v>
      </c>
      <c r="B438" s="158" t="s">
        <v>86</v>
      </c>
      <c r="C438" s="158" t="s">
        <v>14</v>
      </c>
      <c r="D438" s="158" t="s">
        <v>15</v>
      </c>
      <c r="E438" s="157">
        <v>1520</v>
      </c>
      <c r="F438" s="158" t="s">
        <v>525</v>
      </c>
      <c r="G438" s="159">
        <v>11742486.4</v>
      </c>
      <c r="H438" s="159">
        <v>0</v>
      </c>
      <c r="I438" s="159">
        <v>5798708.7999999998</v>
      </c>
      <c r="J438" s="159">
        <v>49.4</v>
      </c>
      <c r="K438" t="str">
        <f>VLOOKUP($C438,Lists!$C$3:$M$118,7,FALSE)</f>
        <v>Beers</v>
      </c>
      <c r="S438" s="4"/>
      <c r="T438" s="4"/>
      <c r="U438" s="5"/>
      <c r="V438" s="5"/>
    </row>
    <row r="439" spans="1:22" x14ac:dyDescent="0.25">
      <c r="A439" s="158" t="s">
        <v>449</v>
      </c>
      <c r="B439" s="158" t="s">
        <v>86</v>
      </c>
      <c r="C439" s="158" t="s">
        <v>54</v>
      </c>
      <c r="D439" s="158" t="s">
        <v>55</v>
      </c>
      <c r="E439" s="157">
        <v>140</v>
      </c>
      <c r="F439" s="158" t="s">
        <v>525</v>
      </c>
      <c r="G439" s="159">
        <v>1081544.8</v>
      </c>
      <c r="H439" s="159">
        <v>0</v>
      </c>
      <c r="I439" s="159">
        <v>567779.80000000005</v>
      </c>
      <c r="J439" s="159">
        <v>52.5</v>
      </c>
      <c r="K439" t="str">
        <f>VLOOKUP($C439,Lists!$C$3:$M$118,7,FALSE)</f>
        <v>Beers</v>
      </c>
      <c r="S439" s="4"/>
      <c r="T439" s="4"/>
      <c r="U439" s="5"/>
      <c r="V439" s="5"/>
    </row>
    <row r="440" spans="1:22" x14ac:dyDescent="0.25">
      <c r="A440" s="158" t="s">
        <v>449</v>
      </c>
      <c r="B440" s="158" t="s">
        <v>86</v>
      </c>
      <c r="C440" s="158" t="s">
        <v>16</v>
      </c>
      <c r="D440" s="158" t="s">
        <v>17</v>
      </c>
      <c r="E440" s="157">
        <v>4382</v>
      </c>
      <c r="F440" s="158" t="s">
        <v>525</v>
      </c>
      <c r="G440" s="159">
        <v>33852352.240000002</v>
      </c>
      <c r="H440" s="159">
        <v>0</v>
      </c>
      <c r="I440" s="159">
        <v>16717067.08</v>
      </c>
      <c r="J440" s="159">
        <v>49.4</v>
      </c>
      <c r="K440" t="str">
        <f>VLOOKUP($C440,Lists!$C$3:$M$118,7,FALSE)</f>
        <v>Beers</v>
      </c>
      <c r="S440" s="4"/>
      <c r="T440" s="4"/>
      <c r="U440" s="5"/>
      <c r="V440" s="5"/>
    </row>
    <row r="441" spans="1:22" x14ac:dyDescent="0.25">
      <c r="A441" s="158" t="s">
        <v>449</v>
      </c>
      <c r="B441" s="158" t="s">
        <v>86</v>
      </c>
      <c r="C441" s="158" t="s">
        <v>56</v>
      </c>
      <c r="D441" s="158" t="s">
        <v>57</v>
      </c>
      <c r="E441" s="157">
        <v>349</v>
      </c>
      <c r="F441" s="158" t="s">
        <v>525</v>
      </c>
      <c r="G441" s="159">
        <v>2696136.68</v>
      </c>
      <c r="H441" s="159">
        <v>0</v>
      </c>
      <c r="I441" s="159">
        <v>1415393.93</v>
      </c>
      <c r="J441" s="159">
        <v>52.5</v>
      </c>
      <c r="K441" t="str">
        <f>VLOOKUP($C441,Lists!$C$3:$M$118,7,FALSE)</f>
        <v>Beers</v>
      </c>
      <c r="S441" s="4"/>
      <c r="T441" s="4"/>
      <c r="U441" s="5"/>
      <c r="V441" s="5"/>
    </row>
    <row r="442" spans="1:22" x14ac:dyDescent="0.25">
      <c r="A442" s="158" t="s">
        <v>449</v>
      </c>
      <c r="B442" s="158" t="s">
        <v>86</v>
      </c>
      <c r="C442" s="158" t="s">
        <v>18</v>
      </c>
      <c r="D442" s="158" t="s">
        <v>19</v>
      </c>
      <c r="E442" s="157">
        <v>431</v>
      </c>
      <c r="F442" s="158" t="s">
        <v>525</v>
      </c>
      <c r="G442" s="159">
        <v>4439485.33</v>
      </c>
      <c r="H442" s="159">
        <v>0</v>
      </c>
      <c r="I442" s="159">
        <v>2301940.83</v>
      </c>
      <c r="J442" s="159">
        <v>51.9</v>
      </c>
      <c r="K442" t="str">
        <f>VLOOKUP($C442,Lists!$C$3:$M$118,7,FALSE)</f>
        <v>Beers</v>
      </c>
      <c r="S442" s="4"/>
      <c r="T442" s="4"/>
      <c r="U442" s="5"/>
      <c r="V442" s="5"/>
    </row>
    <row r="443" spans="1:22" x14ac:dyDescent="0.25">
      <c r="A443" s="158" t="s">
        <v>449</v>
      </c>
      <c r="B443" s="158" t="s">
        <v>86</v>
      </c>
      <c r="C443" s="158" t="s">
        <v>20</v>
      </c>
      <c r="D443" s="158" t="s">
        <v>21</v>
      </c>
      <c r="E443" s="157">
        <v>6141</v>
      </c>
      <c r="F443" s="158" t="s">
        <v>525</v>
      </c>
      <c r="G443" s="159">
        <v>24306262.23</v>
      </c>
      <c r="H443" s="159">
        <v>0</v>
      </c>
      <c r="I443" s="159">
        <v>10214509.5</v>
      </c>
      <c r="J443" s="159">
        <v>42</v>
      </c>
      <c r="K443" t="str">
        <f>VLOOKUP($C443,Lists!$C$3:$M$118,7,FALSE)</f>
        <v>COKE_RGB</v>
      </c>
      <c r="S443" s="4"/>
      <c r="T443" s="4"/>
      <c r="U443" s="5"/>
      <c r="V443" s="5"/>
    </row>
    <row r="444" spans="1:22" x14ac:dyDescent="0.25">
      <c r="A444" s="158" t="s">
        <v>449</v>
      </c>
      <c r="B444" s="158" t="s">
        <v>86</v>
      </c>
      <c r="C444" s="158" t="s">
        <v>28</v>
      </c>
      <c r="D444" s="158" t="s">
        <v>530</v>
      </c>
      <c r="E444" s="157">
        <v>144</v>
      </c>
      <c r="F444" s="158" t="s">
        <v>525</v>
      </c>
      <c r="G444" s="159">
        <v>406497.6</v>
      </c>
      <c r="H444" s="159">
        <v>0</v>
      </c>
      <c r="I444" s="159">
        <v>205034.4</v>
      </c>
      <c r="J444" s="159">
        <v>50.4</v>
      </c>
      <c r="K444" t="str">
        <f>VLOOKUP($C444,Lists!$C$3:$M$118,7,FALSE)</f>
        <v>COKE_PET</v>
      </c>
      <c r="S444" s="4"/>
      <c r="T444" s="4"/>
      <c r="U444" s="5"/>
      <c r="V444" s="5"/>
    </row>
    <row r="445" spans="1:22" x14ac:dyDescent="0.25">
      <c r="A445" s="158" t="s">
        <v>449</v>
      </c>
      <c r="B445" s="158" t="s">
        <v>86</v>
      </c>
      <c r="C445" s="158" t="s">
        <v>58</v>
      </c>
      <c r="D445" s="158" t="s">
        <v>537</v>
      </c>
      <c r="E445" s="157">
        <v>288</v>
      </c>
      <c r="F445" s="158" t="s">
        <v>525</v>
      </c>
      <c r="G445" s="159">
        <v>696853.44</v>
      </c>
      <c r="H445" s="159">
        <v>0</v>
      </c>
      <c r="I445" s="159">
        <v>386084.16</v>
      </c>
      <c r="J445" s="159">
        <v>55.4</v>
      </c>
      <c r="K445" t="str">
        <f>VLOOKUP($C445,Lists!$C$3:$M$118,7,FALSE)</f>
        <v>SOBO_PET</v>
      </c>
      <c r="S445" s="4"/>
      <c r="T445" s="4"/>
      <c r="U445" s="5"/>
      <c r="V445" s="5"/>
    </row>
    <row r="446" spans="1:22" x14ac:dyDescent="0.25">
      <c r="A446" s="158" t="s">
        <v>449</v>
      </c>
      <c r="B446" s="158" t="s">
        <v>86</v>
      </c>
      <c r="C446" s="158" t="s">
        <v>78</v>
      </c>
      <c r="D446" s="158" t="s">
        <v>526</v>
      </c>
      <c r="E446" s="157">
        <v>144</v>
      </c>
      <c r="F446" s="158" t="s">
        <v>525</v>
      </c>
      <c r="G446" s="159">
        <v>348426.72</v>
      </c>
      <c r="H446" s="159">
        <v>0</v>
      </c>
      <c r="I446" s="159">
        <v>190236.96</v>
      </c>
      <c r="J446" s="159">
        <v>54.6</v>
      </c>
      <c r="K446" t="str">
        <f>VLOOKUP($C446,Lists!$C$3:$M$118,7,FALSE)</f>
        <v>SOBO_PET</v>
      </c>
      <c r="S446" s="4"/>
      <c r="T446" s="4"/>
      <c r="U446" s="5"/>
      <c r="V446" s="5"/>
    </row>
    <row r="447" spans="1:22" x14ac:dyDescent="0.25">
      <c r="A447" s="158" t="s">
        <v>449</v>
      </c>
      <c r="B447" s="158" t="s">
        <v>86</v>
      </c>
      <c r="C447" s="158" t="s">
        <v>43</v>
      </c>
      <c r="D447" s="158" t="s">
        <v>44</v>
      </c>
      <c r="E447" s="157">
        <v>167</v>
      </c>
      <c r="F447" s="158" t="s">
        <v>525</v>
      </c>
      <c r="G447" s="159">
        <v>1290128.44</v>
      </c>
      <c r="H447" s="159">
        <v>0</v>
      </c>
      <c r="I447" s="159">
        <v>637094.98</v>
      </c>
      <c r="J447" s="159">
        <v>49.4</v>
      </c>
      <c r="K447" t="str">
        <f>VLOOKUP($C447,Lists!$C$3:$M$118,7,FALSE)</f>
        <v>Beers</v>
      </c>
      <c r="S447" s="4"/>
      <c r="T447" s="4"/>
      <c r="U447" s="5"/>
      <c r="V447" s="5"/>
    </row>
    <row r="448" spans="1:22" x14ac:dyDescent="0.25">
      <c r="A448" s="158" t="s">
        <v>449</v>
      </c>
      <c r="B448" s="158" t="s">
        <v>86</v>
      </c>
      <c r="C448" s="158" t="s">
        <v>59</v>
      </c>
      <c r="D448" s="158" t="s">
        <v>60</v>
      </c>
      <c r="E448" s="157">
        <v>1686</v>
      </c>
      <c r="F448" s="158" t="s">
        <v>525</v>
      </c>
      <c r="G448" s="159">
        <v>6673238.5800000001</v>
      </c>
      <c r="H448" s="159">
        <v>0</v>
      </c>
      <c r="I448" s="159">
        <v>2717123.88</v>
      </c>
      <c r="J448" s="159">
        <v>40.700000000000003</v>
      </c>
      <c r="K448" t="str">
        <f>VLOOKUP($C448,Lists!$C$3:$M$118,7,FALSE)</f>
        <v>COKE_RGB</v>
      </c>
      <c r="S448" s="4"/>
      <c r="T448" s="4"/>
      <c r="U448" s="5"/>
      <c r="V448" s="5"/>
    </row>
    <row r="449" spans="1:22" x14ac:dyDescent="0.25">
      <c r="A449" s="158" t="s">
        <v>449</v>
      </c>
      <c r="B449" s="158" t="s">
        <v>86</v>
      </c>
      <c r="C449" s="158" t="s">
        <v>22</v>
      </c>
      <c r="D449" s="158" t="s">
        <v>23</v>
      </c>
      <c r="E449" s="157">
        <v>1436</v>
      </c>
      <c r="F449" s="158" t="s">
        <v>525</v>
      </c>
      <c r="G449" s="159">
        <v>5683731.0800000001</v>
      </c>
      <c r="H449" s="159">
        <v>0</v>
      </c>
      <c r="I449" s="159">
        <v>2289788.16</v>
      </c>
      <c r="J449" s="159">
        <v>40.299999999999997</v>
      </c>
      <c r="K449" t="str">
        <f>VLOOKUP($C449,Lists!$C$3:$M$118,7,FALSE)</f>
        <v>COKE_RGB</v>
      </c>
      <c r="S449" s="4"/>
      <c r="T449" s="4"/>
      <c r="U449" s="5"/>
      <c r="V449" s="5"/>
    </row>
    <row r="450" spans="1:22" x14ac:dyDescent="0.25">
      <c r="A450" s="158" t="s">
        <v>449</v>
      </c>
      <c r="B450" s="158" t="s">
        <v>86</v>
      </c>
      <c r="C450" s="158" t="s">
        <v>67</v>
      </c>
      <c r="D450" s="158" t="s">
        <v>533</v>
      </c>
      <c r="E450" s="157">
        <v>144</v>
      </c>
      <c r="F450" s="158" t="s">
        <v>525</v>
      </c>
      <c r="G450" s="159">
        <v>406497.6</v>
      </c>
      <c r="H450" s="159">
        <v>0</v>
      </c>
      <c r="I450" s="159">
        <v>199961.28</v>
      </c>
      <c r="J450" s="159">
        <v>49.2</v>
      </c>
      <c r="K450" t="str">
        <f>VLOOKUP($C450,Lists!$C$3:$M$118,7,FALSE)</f>
        <v>COKE_PET</v>
      </c>
      <c r="S450" s="4"/>
      <c r="T450" s="4"/>
      <c r="U450" s="5"/>
      <c r="V450" s="5"/>
    </row>
    <row r="451" spans="1:22" x14ac:dyDescent="0.25">
      <c r="A451" s="158" t="s">
        <v>449</v>
      </c>
      <c r="B451" s="158" t="s">
        <v>86</v>
      </c>
      <c r="C451" s="158" t="s">
        <v>24</v>
      </c>
      <c r="D451" s="158" t="s">
        <v>25</v>
      </c>
      <c r="E451" s="157">
        <v>1675</v>
      </c>
      <c r="F451" s="158" t="s">
        <v>525</v>
      </c>
      <c r="G451" s="159">
        <v>10783264.75</v>
      </c>
      <c r="H451" s="159">
        <v>0</v>
      </c>
      <c r="I451" s="159">
        <v>5191897</v>
      </c>
      <c r="J451" s="159">
        <v>48.1</v>
      </c>
      <c r="K451" t="str">
        <f>VLOOKUP($C451,Lists!$C$3:$M$118,7,FALSE)</f>
        <v>Beers</v>
      </c>
      <c r="S451" s="4"/>
      <c r="T451" s="4"/>
      <c r="U451" s="5"/>
      <c r="V451" s="5"/>
    </row>
    <row r="452" spans="1:22" x14ac:dyDescent="0.25">
      <c r="A452" s="158" t="s">
        <v>449</v>
      </c>
      <c r="B452" s="158" t="s">
        <v>86</v>
      </c>
      <c r="C452" s="158" t="s">
        <v>29</v>
      </c>
      <c r="D452" s="158" t="s">
        <v>30</v>
      </c>
      <c r="E452" s="157">
        <v>30</v>
      </c>
      <c r="F452" s="158" t="s">
        <v>525</v>
      </c>
      <c r="G452" s="159">
        <v>1091531.7</v>
      </c>
      <c r="H452" s="159">
        <v>0</v>
      </c>
      <c r="I452" s="159">
        <v>311531.7</v>
      </c>
      <c r="J452" s="159">
        <v>28.5</v>
      </c>
      <c r="K452" t="str">
        <f>VLOOKUP($C452,Lists!$C$3:$M$118,7,FALSE)</f>
        <v>Spirits</v>
      </c>
      <c r="S452" s="4"/>
      <c r="T452" s="4"/>
      <c r="U452" s="5"/>
      <c r="V452" s="5"/>
    </row>
    <row r="453" spans="1:22" x14ac:dyDescent="0.25">
      <c r="A453" s="158" t="s">
        <v>449</v>
      </c>
      <c r="B453" s="158" t="s">
        <v>86</v>
      </c>
      <c r="C453" s="158" t="s">
        <v>33</v>
      </c>
      <c r="D453" s="158" t="s">
        <v>34</v>
      </c>
      <c r="E453" s="157">
        <v>10</v>
      </c>
      <c r="F453" s="158" t="s">
        <v>525</v>
      </c>
      <c r="G453" s="159">
        <v>556904</v>
      </c>
      <c r="H453" s="159">
        <v>0</v>
      </c>
      <c r="I453" s="159">
        <v>106904</v>
      </c>
      <c r="J453" s="159">
        <v>19.2</v>
      </c>
      <c r="K453" t="str">
        <f>VLOOKUP($C453,Lists!$C$3:$M$118,7,FALSE)</f>
        <v>Spirits</v>
      </c>
      <c r="S453" s="4"/>
      <c r="T453" s="4"/>
      <c r="U453" s="5"/>
      <c r="V453" s="5"/>
    </row>
    <row r="454" spans="1:22" x14ac:dyDescent="0.25">
      <c r="A454" s="158" t="s">
        <v>449</v>
      </c>
      <c r="B454" s="158" t="s">
        <v>86</v>
      </c>
      <c r="C454" s="158" t="s">
        <v>37</v>
      </c>
      <c r="D454" s="158" t="s">
        <v>38</v>
      </c>
      <c r="E454" s="157">
        <v>669.3</v>
      </c>
      <c r="F454" s="158" t="s">
        <v>525</v>
      </c>
      <c r="G454" s="159">
        <v>2207592.35</v>
      </c>
      <c r="H454" s="159">
        <v>0</v>
      </c>
      <c r="I454" s="159">
        <v>1034182.28</v>
      </c>
      <c r="J454" s="159">
        <v>46.8</v>
      </c>
      <c r="K454" t="str">
        <f>VLOOKUP($C454,Lists!$C$3:$M$118,7,FALSE)</f>
        <v>SOBO_RGB</v>
      </c>
      <c r="S454" s="4"/>
      <c r="T454" s="4"/>
      <c r="U454" s="5"/>
      <c r="V454" s="5"/>
    </row>
    <row r="455" spans="1:22" x14ac:dyDescent="0.25">
      <c r="A455" s="158" t="s">
        <v>449</v>
      </c>
      <c r="B455" s="158" t="s">
        <v>86</v>
      </c>
      <c r="C455" s="158" t="s">
        <v>39</v>
      </c>
      <c r="D455" s="158" t="s">
        <v>40</v>
      </c>
      <c r="E455" s="157">
        <v>587</v>
      </c>
      <c r="F455" s="158" t="s">
        <v>525</v>
      </c>
      <c r="G455" s="159">
        <v>1936137.32</v>
      </c>
      <c r="H455" s="159">
        <v>0</v>
      </c>
      <c r="I455" s="159">
        <v>898996.37</v>
      </c>
      <c r="J455" s="159">
        <v>46.4</v>
      </c>
      <c r="K455" t="str">
        <f>VLOOKUP($C455,Lists!$C$3:$M$118,7,FALSE)</f>
        <v>SOBO_RGB</v>
      </c>
      <c r="S455" s="4"/>
      <c r="T455" s="4"/>
      <c r="U455" s="5"/>
      <c r="V455" s="5"/>
    </row>
    <row r="456" spans="1:22" x14ac:dyDescent="0.25">
      <c r="A456" s="158" t="s">
        <v>449</v>
      </c>
      <c r="B456" s="158" t="s">
        <v>86</v>
      </c>
      <c r="C456" s="158" t="s">
        <v>88</v>
      </c>
      <c r="D456" s="158" t="s">
        <v>527</v>
      </c>
      <c r="E456" s="157">
        <v>143</v>
      </c>
      <c r="F456" s="158" t="s">
        <v>525</v>
      </c>
      <c r="G456" s="159">
        <v>403674.7</v>
      </c>
      <c r="H456" s="159">
        <v>0</v>
      </c>
      <c r="I456" s="159">
        <v>236836.6</v>
      </c>
      <c r="J456" s="159">
        <v>58.7</v>
      </c>
      <c r="K456" t="str">
        <f>VLOOKUP($C456,Lists!$C$3:$M$118,7,FALSE)</f>
        <v>SOBO_PET</v>
      </c>
      <c r="S456" s="4"/>
      <c r="T456" s="4"/>
      <c r="U456" s="5"/>
      <c r="V456" s="5"/>
    </row>
    <row r="457" spans="1:22" x14ac:dyDescent="0.25">
      <c r="A457" s="158" t="s">
        <v>449</v>
      </c>
      <c r="B457" s="158" t="s">
        <v>86</v>
      </c>
      <c r="C457" s="158" t="s">
        <v>47</v>
      </c>
      <c r="D457" s="158" t="s">
        <v>48</v>
      </c>
      <c r="E457" s="157">
        <v>719</v>
      </c>
      <c r="F457" s="158" t="s">
        <v>525</v>
      </c>
      <c r="G457" s="159">
        <v>2845823.57</v>
      </c>
      <c r="H457" s="159">
        <v>0</v>
      </c>
      <c r="I457" s="159">
        <v>1241950.26</v>
      </c>
      <c r="J457" s="159">
        <v>43.6</v>
      </c>
      <c r="K457" t="str">
        <f>VLOOKUP($C457,Lists!$C$3:$M$118,7,FALSE)</f>
        <v>COKE_RGB</v>
      </c>
      <c r="S457" s="4"/>
      <c r="T457" s="4"/>
      <c r="U457" s="5"/>
      <c r="V457" s="5"/>
    </row>
    <row r="458" spans="1:22" x14ac:dyDescent="0.25">
      <c r="A458" s="158" t="s">
        <v>449</v>
      </c>
      <c r="B458" s="158" t="s">
        <v>86</v>
      </c>
      <c r="C458" s="158" t="s">
        <v>49</v>
      </c>
      <c r="D458" s="158" t="s">
        <v>50</v>
      </c>
      <c r="E458" s="157">
        <v>143</v>
      </c>
      <c r="F458" s="158" t="s">
        <v>525</v>
      </c>
      <c r="G458" s="159">
        <v>1433915.34</v>
      </c>
      <c r="H458" s="159">
        <v>0</v>
      </c>
      <c r="I458" s="159">
        <v>456701.96</v>
      </c>
      <c r="J458" s="159">
        <v>31.8</v>
      </c>
      <c r="K458" t="str">
        <f>VLOOKUP($C458,Lists!$C$3:$M$118,7,FALSE)</f>
        <v>Squash</v>
      </c>
      <c r="S458" s="4"/>
      <c r="T458" s="4"/>
      <c r="U458" s="5"/>
      <c r="V458" s="5"/>
    </row>
    <row r="459" spans="1:22" x14ac:dyDescent="0.25">
      <c r="A459" s="158" t="s">
        <v>449</v>
      </c>
      <c r="B459" s="158" t="s">
        <v>86</v>
      </c>
      <c r="C459" s="158" t="s">
        <v>51</v>
      </c>
      <c r="D459" s="158" t="s">
        <v>52</v>
      </c>
      <c r="E459" s="157">
        <v>431</v>
      </c>
      <c r="F459" s="158" t="s">
        <v>525</v>
      </c>
      <c r="G459" s="159">
        <v>4321800.78</v>
      </c>
      <c r="H459" s="159">
        <v>0</v>
      </c>
      <c r="I459" s="159">
        <v>1364989.93</v>
      </c>
      <c r="J459" s="159">
        <v>31.6</v>
      </c>
      <c r="K459" t="str">
        <f>VLOOKUP($C459,Lists!$C$3:$M$118,7,FALSE)</f>
        <v>Squash</v>
      </c>
      <c r="S459" s="4"/>
      <c r="T459" s="4"/>
      <c r="U459" s="5"/>
      <c r="V459" s="5"/>
    </row>
    <row r="460" spans="1:22" x14ac:dyDescent="0.25">
      <c r="A460" s="158" t="s">
        <v>449</v>
      </c>
      <c r="B460" s="158" t="s">
        <v>86</v>
      </c>
      <c r="C460" s="158" t="s">
        <v>104</v>
      </c>
      <c r="D460" s="158" t="s">
        <v>105</v>
      </c>
      <c r="E460" s="157">
        <v>168</v>
      </c>
      <c r="F460" s="158" t="s">
        <v>525</v>
      </c>
      <c r="G460" s="159">
        <v>554124.48</v>
      </c>
      <c r="H460" s="159">
        <v>0</v>
      </c>
      <c r="I460" s="159">
        <v>238397.04</v>
      </c>
      <c r="J460" s="159">
        <v>43</v>
      </c>
      <c r="K460" t="str">
        <f>VLOOKUP($C460,Lists!$C$3:$M$118,7,FALSE)</f>
        <v>SOBO_RGB</v>
      </c>
      <c r="S460" s="4"/>
      <c r="T460" s="4"/>
      <c r="U460" s="5"/>
      <c r="V460" s="5"/>
    </row>
    <row r="461" spans="1:22" x14ac:dyDescent="0.25">
      <c r="A461" s="158" t="s">
        <v>451</v>
      </c>
      <c r="B461" s="158" t="s">
        <v>452</v>
      </c>
      <c r="C461" s="158" t="s">
        <v>10</v>
      </c>
      <c r="D461" s="158" t="s">
        <v>11</v>
      </c>
      <c r="E461" s="157">
        <v>72</v>
      </c>
      <c r="F461" s="158" t="s">
        <v>525</v>
      </c>
      <c r="G461" s="159">
        <v>556223.04</v>
      </c>
      <c r="H461" s="159">
        <v>0</v>
      </c>
      <c r="I461" s="159">
        <v>233303.04000000001</v>
      </c>
      <c r="J461" s="159">
        <v>41.9</v>
      </c>
      <c r="K461" t="str">
        <f>VLOOKUP($C461,Lists!$C$3:$M$118,7,FALSE)</f>
        <v>Alcomix</v>
      </c>
      <c r="S461" s="4"/>
      <c r="T461" s="4"/>
      <c r="U461" s="5"/>
      <c r="V461" s="5"/>
    </row>
    <row r="462" spans="1:22" x14ac:dyDescent="0.25">
      <c r="A462" s="158" t="s">
        <v>451</v>
      </c>
      <c r="B462" s="158" t="s">
        <v>452</v>
      </c>
      <c r="C462" s="158" t="s">
        <v>12</v>
      </c>
      <c r="D462" s="158" t="s">
        <v>13</v>
      </c>
      <c r="E462" s="157">
        <v>1511</v>
      </c>
      <c r="F462" s="158" t="s">
        <v>525</v>
      </c>
      <c r="G462" s="159">
        <v>9727470.4700000007</v>
      </c>
      <c r="H462" s="159">
        <v>0</v>
      </c>
      <c r="I462" s="159">
        <v>4251228.71</v>
      </c>
      <c r="J462" s="159">
        <v>43.7</v>
      </c>
      <c r="K462" t="str">
        <f>VLOOKUP($C462,Lists!$C$3:$M$118,7,FALSE)</f>
        <v>Beers</v>
      </c>
      <c r="S462" s="4"/>
      <c r="T462" s="4"/>
      <c r="U462" s="5"/>
      <c r="V462" s="5"/>
    </row>
    <row r="463" spans="1:22" x14ac:dyDescent="0.25">
      <c r="A463" s="158" t="s">
        <v>451</v>
      </c>
      <c r="B463" s="158" t="s">
        <v>452</v>
      </c>
      <c r="C463" s="158" t="s">
        <v>14</v>
      </c>
      <c r="D463" s="158" t="s">
        <v>15</v>
      </c>
      <c r="E463" s="157">
        <v>1152</v>
      </c>
      <c r="F463" s="158" t="s">
        <v>525</v>
      </c>
      <c r="G463" s="159">
        <v>8899568.6400000006</v>
      </c>
      <c r="H463" s="159">
        <v>0</v>
      </c>
      <c r="I463" s="159">
        <v>4394810.88</v>
      </c>
      <c r="J463" s="159">
        <v>49.4</v>
      </c>
      <c r="K463" t="str">
        <f>VLOOKUP($C463,Lists!$C$3:$M$118,7,FALSE)</f>
        <v>Beers</v>
      </c>
      <c r="S463" s="4"/>
      <c r="T463" s="4"/>
      <c r="U463" s="5"/>
      <c r="V463" s="5"/>
    </row>
    <row r="464" spans="1:22" x14ac:dyDescent="0.25">
      <c r="A464" s="158" t="s">
        <v>451</v>
      </c>
      <c r="B464" s="158" t="s">
        <v>452</v>
      </c>
      <c r="C464" s="158" t="s">
        <v>16</v>
      </c>
      <c r="D464" s="158" t="s">
        <v>17</v>
      </c>
      <c r="E464" s="157">
        <v>1151</v>
      </c>
      <c r="F464" s="158" t="s">
        <v>525</v>
      </c>
      <c r="G464" s="159">
        <v>8891843.3200000003</v>
      </c>
      <c r="H464" s="159">
        <v>0</v>
      </c>
      <c r="I464" s="159">
        <v>4390995.9400000004</v>
      </c>
      <c r="J464" s="159">
        <v>49.4</v>
      </c>
      <c r="K464" t="str">
        <f>VLOOKUP($C464,Lists!$C$3:$M$118,7,FALSE)</f>
        <v>Beers</v>
      </c>
      <c r="S464" s="4"/>
      <c r="T464" s="4"/>
      <c r="U464" s="5"/>
      <c r="V464" s="5"/>
    </row>
    <row r="465" spans="1:22" x14ac:dyDescent="0.25">
      <c r="A465" s="158" t="s">
        <v>451</v>
      </c>
      <c r="B465" s="158" t="s">
        <v>452</v>
      </c>
      <c r="C465" s="158" t="s">
        <v>18</v>
      </c>
      <c r="D465" s="158" t="s">
        <v>19</v>
      </c>
      <c r="E465" s="157">
        <v>288</v>
      </c>
      <c r="F465" s="158" t="s">
        <v>525</v>
      </c>
      <c r="G465" s="159">
        <v>2966523.84</v>
      </c>
      <c r="H465" s="159">
        <v>0</v>
      </c>
      <c r="I465" s="159">
        <v>1538187.84</v>
      </c>
      <c r="J465" s="159">
        <v>51.9</v>
      </c>
      <c r="K465" t="str">
        <f>VLOOKUP($C465,Lists!$C$3:$M$118,7,FALSE)</f>
        <v>Beers</v>
      </c>
      <c r="S465" s="4"/>
      <c r="T465" s="4"/>
      <c r="U465" s="5"/>
      <c r="V465" s="5"/>
    </row>
    <row r="466" spans="1:22" x14ac:dyDescent="0.25">
      <c r="A466" s="158" t="s">
        <v>451</v>
      </c>
      <c r="B466" s="158" t="s">
        <v>452</v>
      </c>
      <c r="C466" s="158" t="s">
        <v>20</v>
      </c>
      <c r="D466" s="158" t="s">
        <v>21</v>
      </c>
      <c r="E466" s="157">
        <v>1727</v>
      </c>
      <c r="F466" s="158" t="s">
        <v>525</v>
      </c>
      <c r="G466" s="159">
        <v>6835517.8099999996</v>
      </c>
      <c r="H466" s="159">
        <v>0</v>
      </c>
      <c r="I466" s="159">
        <v>2872570.9</v>
      </c>
      <c r="J466" s="159">
        <v>42</v>
      </c>
      <c r="K466" t="str">
        <f>VLOOKUP($C466,Lists!$C$3:$M$118,7,FALSE)</f>
        <v>COKE_RGB</v>
      </c>
      <c r="S466" s="4"/>
      <c r="T466" s="4"/>
      <c r="U466" s="5"/>
      <c r="V466" s="5"/>
    </row>
    <row r="467" spans="1:22" x14ac:dyDescent="0.25">
      <c r="A467" s="158" t="s">
        <v>451</v>
      </c>
      <c r="B467" s="158" t="s">
        <v>452</v>
      </c>
      <c r="C467" s="158" t="s">
        <v>28</v>
      </c>
      <c r="D467" s="158" t="s">
        <v>530</v>
      </c>
      <c r="E467" s="157">
        <v>142</v>
      </c>
      <c r="F467" s="158" t="s">
        <v>525</v>
      </c>
      <c r="G467" s="159">
        <v>400851.8</v>
      </c>
      <c r="H467" s="159">
        <v>0</v>
      </c>
      <c r="I467" s="159">
        <v>202186.7</v>
      </c>
      <c r="J467" s="159">
        <v>50.4</v>
      </c>
      <c r="K467" t="str">
        <f>VLOOKUP($C467,Lists!$C$3:$M$118,7,FALSE)</f>
        <v>COKE_PET</v>
      </c>
      <c r="S467" s="4"/>
      <c r="T467" s="4"/>
      <c r="U467" s="5"/>
      <c r="V467" s="5"/>
    </row>
    <row r="468" spans="1:22" x14ac:dyDescent="0.25">
      <c r="A468" s="158" t="s">
        <v>451</v>
      </c>
      <c r="B468" s="158" t="s">
        <v>452</v>
      </c>
      <c r="C468" s="158" t="s">
        <v>43</v>
      </c>
      <c r="D468" s="158" t="s">
        <v>44</v>
      </c>
      <c r="E468" s="157">
        <v>144</v>
      </c>
      <c r="F468" s="158" t="s">
        <v>525</v>
      </c>
      <c r="G468" s="159">
        <v>1112446.08</v>
      </c>
      <c r="H468" s="159">
        <v>0</v>
      </c>
      <c r="I468" s="159">
        <v>549351.36</v>
      </c>
      <c r="J468" s="159">
        <v>49.4</v>
      </c>
      <c r="K468" t="str">
        <f>VLOOKUP($C468,Lists!$C$3:$M$118,7,FALSE)</f>
        <v>Beers</v>
      </c>
      <c r="S468" s="4"/>
      <c r="T468" s="4"/>
      <c r="U468" s="5"/>
      <c r="V468" s="5"/>
    </row>
    <row r="469" spans="1:22" x14ac:dyDescent="0.25">
      <c r="A469" s="158" t="s">
        <v>451</v>
      </c>
      <c r="B469" s="158" t="s">
        <v>452</v>
      </c>
      <c r="C469" s="158" t="s">
        <v>22</v>
      </c>
      <c r="D469" s="158" t="s">
        <v>23</v>
      </c>
      <c r="E469" s="157">
        <v>1007</v>
      </c>
      <c r="F469" s="158" t="s">
        <v>525</v>
      </c>
      <c r="G469" s="159">
        <v>3985736.21</v>
      </c>
      <c r="H469" s="159">
        <v>0</v>
      </c>
      <c r="I469" s="159">
        <v>1605721.92</v>
      </c>
      <c r="J469" s="159">
        <v>40.299999999999997</v>
      </c>
      <c r="K469" t="str">
        <f>VLOOKUP($C469,Lists!$C$3:$M$118,7,FALSE)</f>
        <v>COKE_RGB</v>
      </c>
      <c r="S469" s="4"/>
      <c r="T469" s="4"/>
      <c r="U469" s="5"/>
      <c r="V469" s="5"/>
    </row>
    <row r="470" spans="1:22" x14ac:dyDescent="0.25">
      <c r="A470" s="158" t="s">
        <v>451</v>
      </c>
      <c r="B470" s="158" t="s">
        <v>452</v>
      </c>
      <c r="C470" s="158" t="s">
        <v>67</v>
      </c>
      <c r="D470" s="158" t="s">
        <v>533</v>
      </c>
      <c r="E470" s="157">
        <v>144</v>
      </c>
      <c r="F470" s="158" t="s">
        <v>525</v>
      </c>
      <c r="G470" s="159">
        <v>406497.6</v>
      </c>
      <c r="H470" s="159">
        <v>0</v>
      </c>
      <c r="I470" s="159">
        <v>199961.28</v>
      </c>
      <c r="J470" s="159">
        <v>49.2</v>
      </c>
      <c r="K470" t="str">
        <f>VLOOKUP($C470,Lists!$C$3:$M$118,7,FALSE)</f>
        <v>COKE_PET</v>
      </c>
      <c r="S470" s="4"/>
      <c r="T470" s="4"/>
      <c r="U470" s="5"/>
      <c r="V470" s="5"/>
    </row>
    <row r="471" spans="1:22" x14ac:dyDescent="0.25">
      <c r="A471" s="158" t="s">
        <v>451</v>
      </c>
      <c r="B471" s="158" t="s">
        <v>452</v>
      </c>
      <c r="C471" s="158" t="s">
        <v>261</v>
      </c>
      <c r="D471" s="158" t="s">
        <v>538</v>
      </c>
      <c r="E471" s="157">
        <v>144</v>
      </c>
      <c r="F471" s="158" t="s">
        <v>525</v>
      </c>
      <c r="G471" s="159">
        <v>569956.31999999995</v>
      </c>
      <c r="H471" s="159">
        <v>0</v>
      </c>
      <c r="I471" s="159">
        <v>229616.64000000001</v>
      </c>
      <c r="J471" s="159">
        <v>40.299999999999997</v>
      </c>
      <c r="K471" t="str">
        <f>VLOOKUP($C471,Lists!$C$3:$M$118,7,FALSE)</f>
        <v>COKE_RGB</v>
      </c>
      <c r="S471" s="4"/>
      <c r="T471" s="4"/>
      <c r="U471" s="5"/>
      <c r="V471" s="5"/>
    </row>
    <row r="472" spans="1:22" x14ac:dyDescent="0.25">
      <c r="A472" s="158" t="s">
        <v>451</v>
      </c>
      <c r="B472" s="158" t="s">
        <v>452</v>
      </c>
      <c r="C472" s="158" t="s">
        <v>24</v>
      </c>
      <c r="D472" s="158" t="s">
        <v>25</v>
      </c>
      <c r="E472" s="157">
        <v>216</v>
      </c>
      <c r="F472" s="158" t="s">
        <v>525</v>
      </c>
      <c r="G472" s="159">
        <v>1390558.32</v>
      </c>
      <c r="H472" s="159">
        <v>0</v>
      </c>
      <c r="I472" s="159">
        <v>669522.24</v>
      </c>
      <c r="J472" s="159">
        <v>48.1</v>
      </c>
      <c r="K472" t="str">
        <f>VLOOKUP($C472,Lists!$C$3:$M$118,7,FALSE)</f>
        <v>Beers</v>
      </c>
      <c r="S472" s="4"/>
      <c r="T472" s="4"/>
      <c r="U472" s="5"/>
      <c r="V472" s="5"/>
    </row>
    <row r="473" spans="1:22" x14ac:dyDescent="0.25">
      <c r="A473" s="158" t="s">
        <v>451</v>
      </c>
      <c r="B473" s="158" t="s">
        <v>452</v>
      </c>
      <c r="C473" s="158" t="s">
        <v>29</v>
      </c>
      <c r="D473" s="158" t="s">
        <v>30</v>
      </c>
      <c r="E473" s="157">
        <v>90</v>
      </c>
      <c r="F473" s="158" t="s">
        <v>525</v>
      </c>
      <c r="G473" s="159">
        <v>3274595.1</v>
      </c>
      <c r="H473" s="159">
        <v>0</v>
      </c>
      <c r="I473" s="159">
        <v>934595.1</v>
      </c>
      <c r="J473" s="159">
        <v>28.5</v>
      </c>
      <c r="K473" t="str">
        <f>VLOOKUP($C473,Lists!$C$3:$M$118,7,FALSE)</f>
        <v>Spirits</v>
      </c>
      <c r="S473" s="4"/>
      <c r="T473" s="4"/>
      <c r="U473" s="5"/>
      <c r="V473" s="5"/>
    </row>
    <row r="474" spans="1:22" x14ac:dyDescent="0.25">
      <c r="A474" s="158" t="s">
        <v>451</v>
      </c>
      <c r="B474" s="158" t="s">
        <v>452</v>
      </c>
      <c r="C474" s="158" t="s">
        <v>31</v>
      </c>
      <c r="D474" s="158" t="s">
        <v>32</v>
      </c>
      <c r="E474" s="157">
        <v>2</v>
      </c>
      <c r="F474" s="158" t="s">
        <v>525</v>
      </c>
      <c r="G474" s="159">
        <v>68313.56</v>
      </c>
      <c r="H474" s="159">
        <v>0</v>
      </c>
      <c r="I474" s="159">
        <v>20313.560000000001</v>
      </c>
      <c r="J474" s="159">
        <v>29.7</v>
      </c>
      <c r="K474" t="str">
        <f>VLOOKUP($C474,Lists!$C$3:$M$118,7,FALSE)</f>
        <v>Spirits</v>
      </c>
      <c r="S474" s="4"/>
      <c r="T474" s="4"/>
      <c r="U474" s="5"/>
      <c r="V474" s="5"/>
    </row>
    <row r="475" spans="1:22" x14ac:dyDescent="0.25">
      <c r="A475" s="158" t="s">
        <v>451</v>
      </c>
      <c r="B475" s="158" t="s">
        <v>452</v>
      </c>
      <c r="C475" s="158" t="s">
        <v>33</v>
      </c>
      <c r="D475" s="158" t="s">
        <v>34</v>
      </c>
      <c r="E475" s="157">
        <v>15</v>
      </c>
      <c r="F475" s="158" t="s">
        <v>525</v>
      </c>
      <c r="G475" s="159">
        <v>835356</v>
      </c>
      <c r="H475" s="159">
        <v>0</v>
      </c>
      <c r="I475" s="159">
        <v>160356</v>
      </c>
      <c r="J475" s="159">
        <v>19.2</v>
      </c>
      <c r="K475" t="str">
        <f>VLOOKUP($C475,Lists!$C$3:$M$118,7,FALSE)</f>
        <v>Spirits</v>
      </c>
      <c r="S475" s="4"/>
      <c r="T475" s="4"/>
      <c r="U475" s="5"/>
      <c r="V475" s="5"/>
    </row>
    <row r="476" spans="1:22" x14ac:dyDescent="0.25">
      <c r="A476" s="158" t="s">
        <v>451</v>
      </c>
      <c r="B476" s="158" t="s">
        <v>452</v>
      </c>
      <c r="C476" s="158" t="s">
        <v>37</v>
      </c>
      <c r="D476" s="158" t="s">
        <v>38</v>
      </c>
      <c r="E476" s="157">
        <v>288</v>
      </c>
      <c r="F476" s="158" t="s">
        <v>525</v>
      </c>
      <c r="G476" s="159">
        <v>949927.68</v>
      </c>
      <c r="H476" s="159">
        <v>0</v>
      </c>
      <c r="I476" s="159">
        <v>445008.96</v>
      </c>
      <c r="J476" s="159">
        <v>46.8</v>
      </c>
      <c r="K476" t="str">
        <f>VLOOKUP($C476,Lists!$C$3:$M$118,7,FALSE)</f>
        <v>SOBO_RGB</v>
      </c>
      <c r="S476" s="4"/>
      <c r="T476" s="4"/>
      <c r="U476" s="5"/>
      <c r="V476" s="5"/>
    </row>
    <row r="477" spans="1:22" x14ac:dyDescent="0.25">
      <c r="A477" s="158" t="s">
        <v>451</v>
      </c>
      <c r="B477" s="158" t="s">
        <v>452</v>
      </c>
      <c r="C477" s="158" t="s">
        <v>39</v>
      </c>
      <c r="D477" s="158" t="s">
        <v>40</v>
      </c>
      <c r="E477" s="157">
        <v>288</v>
      </c>
      <c r="F477" s="158" t="s">
        <v>525</v>
      </c>
      <c r="G477" s="159">
        <v>949927.68</v>
      </c>
      <c r="H477" s="159">
        <v>0</v>
      </c>
      <c r="I477" s="159">
        <v>441074.88</v>
      </c>
      <c r="J477" s="159">
        <v>46.4</v>
      </c>
      <c r="K477" t="str">
        <f>VLOOKUP($C477,Lists!$C$3:$M$118,7,FALSE)</f>
        <v>SOBO_RGB</v>
      </c>
      <c r="S477" s="4"/>
      <c r="T477" s="4"/>
      <c r="U477" s="5"/>
      <c r="V477" s="5"/>
    </row>
    <row r="478" spans="1:22" x14ac:dyDescent="0.25">
      <c r="A478" s="158" t="s">
        <v>451</v>
      </c>
      <c r="B478" s="158" t="s">
        <v>452</v>
      </c>
      <c r="C478" s="158" t="s">
        <v>47</v>
      </c>
      <c r="D478" s="158" t="s">
        <v>48</v>
      </c>
      <c r="E478" s="157">
        <v>431</v>
      </c>
      <c r="F478" s="158" t="s">
        <v>525</v>
      </c>
      <c r="G478" s="159">
        <v>1705910.93</v>
      </c>
      <c r="H478" s="159">
        <v>0</v>
      </c>
      <c r="I478" s="159">
        <v>744479.23</v>
      </c>
      <c r="J478" s="159">
        <v>43.6</v>
      </c>
      <c r="K478" t="str">
        <f>VLOOKUP($C478,Lists!$C$3:$M$118,7,FALSE)</f>
        <v>COKE_RGB</v>
      </c>
      <c r="S478" s="4"/>
      <c r="T478" s="4"/>
      <c r="U478" s="5"/>
      <c r="V478" s="5"/>
    </row>
    <row r="479" spans="1:22" x14ac:dyDescent="0.25">
      <c r="A479" s="158" t="s">
        <v>451</v>
      </c>
      <c r="B479" s="158" t="s">
        <v>452</v>
      </c>
      <c r="C479" s="158" t="s">
        <v>49</v>
      </c>
      <c r="D479" s="158" t="s">
        <v>50</v>
      </c>
      <c r="E479" s="157">
        <v>72</v>
      </c>
      <c r="F479" s="158" t="s">
        <v>525</v>
      </c>
      <c r="G479" s="159">
        <v>721971.36</v>
      </c>
      <c r="H479" s="159">
        <v>0</v>
      </c>
      <c r="I479" s="159">
        <v>229947.84</v>
      </c>
      <c r="J479" s="159">
        <v>31.8</v>
      </c>
      <c r="K479" t="str">
        <f>VLOOKUP($C479,Lists!$C$3:$M$118,7,FALSE)</f>
        <v>Squash</v>
      </c>
      <c r="S479" s="4"/>
      <c r="T479" s="4"/>
      <c r="U479" s="5"/>
      <c r="V479" s="5"/>
    </row>
    <row r="480" spans="1:22" x14ac:dyDescent="0.25">
      <c r="A480" s="158" t="s">
        <v>453</v>
      </c>
      <c r="B480" s="158" t="s">
        <v>454</v>
      </c>
      <c r="C480" s="158" t="s">
        <v>69</v>
      </c>
      <c r="D480" s="158" t="s">
        <v>70</v>
      </c>
      <c r="E480" s="157">
        <v>36</v>
      </c>
      <c r="F480" s="158" t="s">
        <v>525</v>
      </c>
      <c r="G480" s="159">
        <v>278111.52</v>
      </c>
      <c r="H480" s="159">
        <v>0</v>
      </c>
      <c r="I480" s="159">
        <v>116651.52</v>
      </c>
      <c r="J480" s="159">
        <v>41.9</v>
      </c>
      <c r="K480" t="str">
        <f>VLOOKUP($C480,Lists!$C$3:$M$118,7,FALSE)</f>
        <v>Alcomix</v>
      </c>
      <c r="S480" s="4"/>
      <c r="T480" s="4"/>
      <c r="U480" s="5"/>
      <c r="V480" s="5"/>
    </row>
    <row r="481" spans="1:22" x14ac:dyDescent="0.25">
      <c r="A481" s="158" t="s">
        <v>453</v>
      </c>
      <c r="B481" s="158" t="s">
        <v>454</v>
      </c>
      <c r="C481" s="158" t="s">
        <v>41</v>
      </c>
      <c r="D481" s="158" t="s">
        <v>42</v>
      </c>
      <c r="E481" s="157">
        <v>59</v>
      </c>
      <c r="F481" s="158" t="s">
        <v>525</v>
      </c>
      <c r="G481" s="159">
        <v>455793.88</v>
      </c>
      <c r="H481" s="159">
        <v>0</v>
      </c>
      <c r="I481" s="159">
        <v>191178.88</v>
      </c>
      <c r="J481" s="159">
        <v>41.9</v>
      </c>
      <c r="K481" t="str">
        <f>VLOOKUP($C481,Lists!$C$3:$M$118,7,FALSE)</f>
        <v>Alcomix</v>
      </c>
      <c r="S481" s="4"/>
      <c r="T481" s="4"/>
      <c r="U481" s="5"/>
      <c r="V481" s="5"/>
    </row>
    <row r="482" spans="1:22" x14ac:dyDescent="0.25">
      <c r="A482" s="158" t="s">
        <v>453</v>
      </c>
      <c r="B482" s="158" t="s">
        <v>454</v>
      </c>
      <c r="C482" s="158" t="s">
        <v>10</v>
      </c>
      <c r="D482" s="158" t="s">
        <v>11</v>
      </c>
      <c r="E482" s="157">
        <v>144</v>
      </c>
      <c r="F482" s="158" t="s">
        <v>525</v>
      </c>
      <c r="G482" s="159">
        <v>1112446.08</v>
      </c>
      <c r="H482" s="159">
        <v>0</v>
      </c>
      <c r="I482" s="159">
        <v>466606.08000000002</v>
      </c>
      <c r="J482" s="159">
        <v>41.9</v>
      </c>
      <c r="K482" t="str">
        <f>VLOOKUP($C482,Lists!$C$3:$M$118,7,FALSE)</f>
        <v>Alcomix</v>
      </c>
      <c r="S482" s="4"/>
      <c r="T482" s="4"/>
      <c r="U482" s="5"/>
      <c r="V482" s="5"/>
    </row>
    <row r="483" spans="1:22" x14ac:dyDescent="0.25">
      <c r="A483" s="158" t="s">
        <v>453</v>
      </c>
      <c r="B483" s="158" t="s">
        <v>454</v>
      </c>
      <c r="C483" s="158" t="s">
        <v>71</v>
      </c>
      <c r="D483" s="158" t="s">
        <v>553</v>
      </c>
      <c r="E483" s="157">
        <v>36</v>
      </c>
      <c r="F483" s="158" t="s">
        <v>525</v>
      </c>
      <c r="G483" s="159">
        <v>278111.52</v>
      </c>
      <c r="H483" s="159">
        <v>0</v>
      </c>
      <c r="I483" s="159">
        <v>116651.52</v>
      </c>
      <c r="J483" s="159">
        <v>41.9</v>
      </c>
      <c r="K483" t="str">
        <f>VLOOKUP($C483,Lists!$C$3:$M$118,7,FALSE)</f>
        <v>Alcomix</v>
      </c>
      <c r="S483" s="4"/>
      <c r="T483" s="4"/>
      <c r="U483" s="5"/>
      <c r="V483" s="5"/>
    </row>
    <row r="484" spans="1:22" x14ac:dyDescent="0.25">
      <c r="A484" s="158" t="s">
        <v>453</v>
      </c>
      <c r="B484" s="158" t="s">
        <v>454</v>
      </c>
      <c r="C484" s="158" t="s">
        <v>12</v>
      </c>
      <c r="D484" s="158" t="s">
        <v>13</v>
      </c>
      <c r="E484" s="157">
        <v>1439</v>
      </c>
      <c r="F484" s="158" t="s">
        <v>525</v>
      </c>
      <c r="G484" s="159">
        <v>9263951.0299999993</v>
      </c>
      <c r="H484" s="159">
        <v>0</v>
      </c>
      <c r="I484" s="159">
        <v>4048655.27</v>
      </c>
      <c r="J484" s="159">
        <v>43.7</v>
      </c>
      <c r="K484" t="str">
        <f>VLOOKUP($C484,Lists!$C$3:$M$118,7,FALSE)</f>
        <v>Beers</v>
      </c>
      <c r="S484" s="4"/>
      <c r="T484" s="4"/>
      <c r="U484" s="5"/>
      <c r="V484" s="5"/>
    </row>
    <row r="485" spans="1:22" x14ac:dyDescent="0.25">
      <c r="A485" s="158" t="s">
        <v>453</v>
      </c>
      <c r="B485" s="158" t="s">
        <v>454</v>
      </c>
      <c r="C485" s="158" t="s">
        <v>14</v>
      </c>
      <c r="D485" s="158" t="s">
        <v>15</v>
      </c>
      <c r="E485" s="157">
        <v>647</v>
      </c>
      <c r="F485" s="158" t="s">
        <v>525</v>
      </c>
      <c r="G485" s="159">
        <v>4998282.04</v>
      </c>
      <c r="H485" s="159">
        <v>0</v>
      </c>
      <c r="I485" s="159">
        <v>2468266.1800000002</v>
      </c>
      <c r="J485" s="159">
        <v>49.4</v>
      </c>
      <c r="K485" t="str">
        <f>VLOOKUP($C485,Lists!$C$3:$M$118,7,FALSE)</f>
        <v>Beers</v>
      </c>
      <c r="S485" s="4"/>
      <c r="T485" s="4"/>
      <c r="U485" s="5"/>
      <c r="V485" s="5"/>
    </row>
    <row r="486" spans="1:22" x14ac:dyDescent="0.25">
      <c r="A486" s="158" t="s">
        <v>453</v>
      </c>
      <c r="B486" s="158" t="s">
        <v>454</v>
      </c>
      <c r="C486" s="158" t="s">
        <v>54</v>
      </c>
      <c r="D486" s="158" t="s">
        <v>55</v>
      </c>
      <c r="E486" s="157">
        <v>100</v>
      </c>
      <c r="F486" s="158" t="s">
        <v>525</v>
      </c>
      <c r="G486" s="159">
        <v>772532</v>
      </c>
      <c r="H486" s="159">
        <v>0</v>
      </c>
      <c r="I486" s="159">
        <v>405557</v>
      </c>
      <c r="J486" s="159">
        <v>52.5</v>
      </c>
      <c r="K486" t="str">
        <f>VLOOKUP($C486,Lists!$C$3:$M$118,7,FALSE)</f>
        <v>Beers</v>
      </c>
      <c r="S486" s="4"/>
      <c r="T486" s="4"/>
      <c r="U486" s="5"/>
      <c r="V486" s="5"/>
    </row>
    <row r="487" spans="1:22" x14ac:dyDescent="0.25">
      <c r="A487" s="158" t="s">
        <v>453</v>
      </c>
      <c r="B487" s="158" t="s">
        <v>454</v>
      </c>
      <c r="C487" s="158" t="s">
        <v>16</v>
      </c>
      <c r="D487" s="158" t="s">
        <v>17</v>
      </c>
      <c r="E487" s="157">
        <v>443</v>
      </c>
      <c r="F487" s="158" t="s">
        <v>525</v>
      </c>
      <c r="G487" s="159">
        <v>3422316.76</v>
      </c>
      <c r="H487" s="159">
        <v>0</v>
      </c>
      <c r="I487" s="159">
        <v>1690018.42</v>
      </c>
      <c r="J487" s="159">
        <v>49.4</v>
      </c>
      <c r="K487" t="str">
        <f>VLOOKUP($C487,Lists!$C$3:$M$118,7,FALSE)</f>
        <v>Beers</v>
      </c>
      <c r="S487" s="4"/>
      <c r="T487" s="4"/>
      <c r="U487" s="5"/>
      <c r="V487" s="5"/>
    </row>
    <row r="488" spans="1:22" x14ac:dyDescent="0.25">
      <c r="A488" s="158" t="s">
        <v>453</v>
      </c>
      <c r="B488" s="158" t="s">
        <v>454</v>
      </c>
      <c r="C488" s="158" t="s">
        <v>56</v>
      </c>
      <c r="D488" s="158" t="s">
        <v>57</v>
      </c>
      <c r="E488" s="157">
        <v>100</v>
      </c>
      <c r="F488" s="158" t="s">
        <v>525</v>
      </c>
      <c r="G488" s="159">
        <v>772532</v>
      </c>
      <c r="H488" s="159">
        <v>0</v>
      </c>
      <c r="I488" s="159">
        <v>405557</v>
      </c>
      <c r="J488" s="159">
        <v>52.5</v>
      </c>
      <c r="K488" t="str">
        <f>VLOOKUP($C488,Lists!$C$3:$M$118,7,FALSE)</f>
        <v>Beers</v>
      </c>
      <c r="S488" s="4"/>
      <c r="T488" s="4"/>
      <c r="U488" s="5"/>
      <c r="V488" s="5"/>
    </row>
    <row r="489" spans="1:22" x14ac:dyDescent="0.25">
      <c r="A489" s="158" t="s">
        <v>453</v>
      </c>
      <c r="B489" s="158" t="s">
        <v>454</v>
      </c>
      <c r="C489" s="158" t="s">
        <v>18</v>
      </c>
      <c r="D489" s="158" t="s">
        <v>19</v>
      </c>
      <c r="E489" s="157">
        <v>144</v>
      </c>
      <c r="F489" s="158" t="s">
        <v>525</v>
      </c>
      <c r="G489" s="159">
        <v>1483261.92</v>
      </c>
      <c r="H489" s="159">
        <v>0</v>
      </c>
      <c r="I489" s="159">
        <v>769093.92</v>
      </c>
      <c r="J489" s="159">
        <v>51.9</v>
      </c>
      <c r="K489" t="str">
        <f>VLOOKUP($C489,Lists!$C$3:$M$118,7,FALSE)</f>
        <v>Beers</v>
      </c>
      <c r="S489" s="4"/>
      <c r="T489" s="4"/>
      <c r="U489" s="5"/>
      <c r="V489" s="5"/>
    </row>
    <row r="490" spans="1:22" x14ac:dyDescent="0.25">
      <c r="A490" s="158" t="s">
        <v>453</v>
      </c>
      <c r="B490" s="158" t="s">
        <v>454</v>
      </c>
      <c r="C490" s="158" t="s">
        <v>20</v>
      </c>
      <c r="D490" s="158" t="s">
        <v>21</v>
      </c>
      <c r="E490" s="157">
        <v>2160</v>
      </c>
      <c r="F490" s="158" t="s">
        <v>525</v>
      </c>
      <c r="G490" s="159">
        <v>8549344.8000000007</v>
      </c>
      <c r="H490" s="159">
        <v>0</v>
      </c>
      <c r="I490" s="159">
        <v>3592792.8</v>
      </c>
      <c r="J490" s="159">
        <v>42</v>
      </c>
      <c r="K490" t="str">
        <f>VLOOKUP($C490,Lists!$C$3:$M$118,7,FALSE)</f>
        <v>COKE_RGB</v>
      </c>
      <c r="S490" s="4"/>
      <c r="T490" s="4"/>
      <c r="U490" s="5"/>
      <c r="V490" s="5"/>
    </row>
    <row r="491" spans="1:22" x14ac:dyDescent="0.25">
      <c r="A491" s="158" t="s">
        <v>453</v>
      </c>
      <c r="B491" s="158" t="s">
        <v>454</v>
      </c>
      <c r="C491" s="158" t="s">
        <v>43</v>
      </c>
      <c r="D491" s="158" t="s">
        <v>44</v>
      </c>
      <c r="E491" s="157">
        <v>144</v>
      </c>
      <c r="F491" s="158" t="s">
        <v>525</v>
      </c>
      <c r="G491" s="159">
        <v>1112446.08</v>
      </c>
      <c r="H491" s="159">
        <v>0</v>
      </c>
      <c r="I491" s="159">
        <v>549351.36</v>
      </c>
      <c r="J491" s="159">
        <v>49.4</v>
      </c>
      <c r="K491" t="str">
        <f>VLOOKUP($C491,Lists!$C$3:$M$118,7,FALSE)</f>
        <v>Beers</v>
      </c>
      <c r="S491" s="4"/>
      <c r="T491" s="4"/>
      <c r="U491" s="5"/>
      <c r="V491" s="5"/>
    </row>
    <row r="492" spans="1:22" x14ac:dyDescent="0.25">
      <c r="A492" s="158" t="s">
        <v>453</v>
      </c>
      <c r="B492" s="158" t="s">
        <v>454</v>
      </c>
      <c r="C492" s="158" t="s">
        <v>59</v>
      </c>
      <c r="D492" s="158" t="s">
        <v>60</v>
      </c>
      <c r="E492" s="157">
        <v>288</v>
      </c>
      <c r="F492" s="158" t="s">
        <v>525</v>
      </c>
      <c r="G492" s="159">
        <v>1139912.6399999999</v>
      </c>
      <c r="H492" s="159">
        <v>0</v>
      </c>
      <c r="I492" s="159">
        <v>464135.04</v>
      </c>
      <c r="J492" s="159">
        <v>40.700000000000003</v>
      </c>
      <c r="K492" t="str">
        <f>VLOOKUP($C492,Lists!$C$3:$M$118,7,FALSE)</f>
        <v>COKE_RGB</v>
      </c>
      <c r="S492" s="4"/>
      <c r="T492" s="4"/>
      <c r="U492" s="5"/>
      <c r="V492" s="5"/>
    </row>
    <row r="493" spans="1:22" x14ac:dyDescent="0.25">
      <c r="A493" s="158" t="s">
        <v>453</v>
      </c>
      <c r="B493" s="158" t="s">
        <v>454</v>
      </c>
      <c r="C493" s="158" t="s">
        <v>22</v>
      </c>
      <c r="D493" s="158" t="s">
        <v>23</v>
      </c>
      <c r="E493" s="157">
        <v>647</v>
      </c>
      <c r="F493" s="158" t="s">
        <v>525</v>
      </c>
      <c r="G493" s="159">
        <v>2560845.41</v>
      </c>
      <c r="H493" s="159">
        <v>0</v>
      </c>
      <c r="I493" s="159">
        <v>1031680.32</v>
      </c>
      <c r="J493" s="159">
        <v>40.299999999999997</v>
      </c>
      <c r="K493" t="str">
        <f>VLOOKUP($C493,Lists!$C$3:$M$118,7,FALSE)</f>
        <v>COKE_RGB</v>
      </c>
      <c r="S493" s="4"/>
      <c r="T493" s="4"/>
      <c r="U493" s="5"/>
      <c r="V493" s="5"/>
    </row>
    <row r="494" spans="1:22" x14ac:dyDescent="0.25">
      <c r="A494" s="158" t="s">
        <v>453</v>
      </c>
      <c r="B494" s="158" t="s">
        <v>454</v>
      </c>
      <c r="C494" s="158" t="s">
        <v>261</v>
      </c>
      <c r="D494" s="158" t="s">
        <v>538</v>
      </c>
      <c r="E494" s="157">
        <v>72</v>
      </c>
      <c r="F494" s="158" t="s">
        <v>525</v>
      </c>
      <c r="G494" s="159">
        <v>284978.15999999997</v>
      </c>
      <c r="H494" s="159">
        <v>0</v>
      </c>
      <c r="I494" s="159">
        <v>114808.32000000001</v>
      </c>
      <c r="J494" s="159">
        <v>40.299999999999997</v>
      </c>
      <c r="K494" t="str">
        <f>VLOOKUP($C494,Lists!$C$3:$M$118,7,FALSE)</f>
        <v>COKE_RGB</v>
      </c>
      <c r="S494" s="4"/>
      <c r="T494" s="4"/>
      <c r="U494" s="5"/>
      <c r="V494" s="5"/>
    </row>
    <row r="495" spans="1:22" x14ac:dyDescent="0.25">
      <c r="A495" s="158" t="s">
        <v>453</v>
      </c>
      <c r="B495" s="158" t="s">
        <v>454</v>
      </c>
      <c r="C495" s="158" t="s">
        <v>29</v>
      </c>
      <c r="D495" s="158" t="s">
        <v>30</v>
      </c>
      <c r="E495" s="157">
        <v>15</v>
      </c>
      <c r="F495" s="158" t="s">
        <v>525</v>
      </c>
      <c r="G495" s="159">
        <v>545765.85</v>
      </c>
      <c r="H495" s="159">
        <v>0</v>
      </c>
      <c r="I495" s="159">
        <v>155765.85</v>
      </c>
      <c r="J495" s="159">
        <v>28.5</v>
      </c>
      <c r="K495" t="str">
        <f>VLOOKUP($C495,Lists!$C$3:$M$118,7,FALSE)</f>
        <v>Spirits</v>
      </c>
      <c r="S495" s="4"/>
      <c r="T495" s="4"/>
      <c r="U495" s="5"/>
      <c r="V495" s="5"/>
    </row>
    <row r="496" spans="1:22" x14ac:dyDescent="0.25">
      <c r="A496" s="158" t="s">
        <v>453</v>
      </c>
      <c r="B496" s="158" t="s">
        <v>454</v>
      </c>
      <c r="C496" s="158" t="s">
        <v>31</v>
      </c>
      <c r="D496" s="158" t="s">
        <v>32</v>
      </c>
      <c r="E496" s="157">
        <v>3</v>
      </c>
      <c r="F496" s="158" t="s">
        <v>525</v>
      </c>
      <c r="G496" s="159">
        <v>102470.34</v>
      </c>
      <c r="H496" s="159">
        <v>0</v>
      </c>
      <c r="I496" s="159">
        <v>30470.34</v>
      </c>
      <c r="J496" s="159">
        <v>29.7</v>
      </c>
      <c r="K496" t="str">
        <f>VLOOKUP($C496,Lists!$C$3:$M$118,7,FALSE)</f>
        <v>Spirits</v>
      </c>
      <c r="S496" s="4"/>
      <c r="T496" s="4"/>
      <c r="U496" s="5"/>
      <c r="V496" s="5"/>
    </row>
    <row r="497" spans="1:22" x14ac:dyDescent="0.25">
      <c r="A497" s="158" t="s">
        <v>453</v>
      </c>
      <c r="B497" s="158" t="s">
        <v>454</v>
      </c>
      <c r="C497" s="158" t="s">
        <v>33</v>
      </c>
      <c r="D497" s="158" t="s">
        <v>34</v>
      </c>
      <c r="E497" s="157">
        <v>5</v>
      </c>
      <c r="F497" s="158" t="s">
        <v>525</v>
      </c>
      <c r="G497" s="159">
        <v>278452</v>
      </c>
      <c r="H497" s="159">
        <v>0</v>
      </c>
      <c r="I497" s="159">
        <v>53452</v>
      </c>
      <c r="J497" s="159">
        <v>19.2</v>
      </c>
      <c r="K497" t="str">
        <f>VLOOKUP($C497,Lists!$C$3:$M$118,7,FALSE)</f>
        <v>Spirits</v>
      </c>
      <c r="S497" s="4"/>
      <c r="T497" s="4"/>
      <c r="U497" s="5"/>
      <c r="V497" s="5"/>
    </row>
    <row r="498" spans="1:22" x14ac:dyDescent="0.25">
      <c r="A498" s="158" t="s">
        <v>453</v>
      </c>
      <c r="B498" s="158" t="s">
        <v>454</v>
      </c>
      <c r="C498" s="158" t="s">
        <v>37</v>
      </c>
      <c r="D498" s="158" t="s">
        <v>38</v>
      </c>
      <c r="E498" s="157">
        <v>432</v>
      </c>
      <c r="F498" s="158" t="s">
        <v>525</v>
      </c>
      <c r="G498" s="159">
        <v>1424891.52</v>
      </c>
      <c r="H498" s="159">
        <v>0</v>
      </c>
      <c r="I498" s="159">
        <v>667513.43999999994</v>
      </c>
      <c r="J498" s="159">
        <v>46.8</v>
      </c>
      <c r="K498" t="str">
        <f>VLOOKUP($C498,Lists!$C$3:$M$118,7,FALSE)</f>
        <v>SOBO_RGB</v>
      </c>
      <c r="S498" s="4"/>
      <c r="T498" s="4"/>
      <c r="U498" s="5"/>
      <c r="V498" s="5"/>
    </row>
    <row r="499" spans="1:22" x14ac:dyDescent="0.25">
      <c r="A499" s="158" t="s">
        <v>453</v>
      </c>
      <c r="B499" s="158" t="s">
        <v>454</v>
      </c>
      <c r="C499" s="158" t="s">
        <v>39</v>
      </c>
      <c r="D499" s="158" t="s">
        <v>40</v>
      </c>
      <c r="E499" s="157">
        <v>216</v>
      </c>
      <c r="F499" s="158" t="s">
        <v>525</v>
      </c>
      <c r="G499" s="159">
        <v>712445.76</v>
      </c>
      <c r="H499" s="159">
        <v>0</v>
      </c>
      <c r="I499" s="159">
        <v>330806.15999999997</v>
      </c>
      <c r="J499" s="159">
        <v>46.4</v>
      </c>
      <c r="K499" t="str">
        <f>VLOOKUP($C499,Lists!$C$3:$M$118,7,FALSE)</f>
        <v>SOBO_RGB</v>
      </c>
      <c r="S499" s="4"/>
      <c r="T499" s="4"/>
      <c r="U499" s="5"/>
      <c r="V499" s="5"/>
    </row>
    <row r="500" spans="1:22" x14ac:dyDescent="0.25">
      <c r="A500" s="158" t="s">
        <v>453</v>
      </c>
      <c r="B500" s="158" t="s">
        <v>454</v>
      </c>
      <c r="C500" s="158" t="s">
        <v>45</v>
      </c>
      <c r="D500" s="158" t="s">
        <v>46</v>
      </c>
      <c r="E500" s="157">
        <v>864</v>
      </c>
      <c r="F500" s="158" t="s">
        <v>525</v>
      </c>
      <c r="G500" s="159">
        <v>3419737.92</v>
      </c>
      <c r="H500" s="159">
        <v>0</v>
      </c>
      <c r="I500" s="159">
        <v>1684342.08</v>
      </c>
      <c r="J500" s="159">
        <v>49.3</v>
      </c>
      <c r="K500" t="str">
        <f>VLOOKUP($C500,Lists!$C$3:$M$118,7,FALSE)</f>
        <v>SOBO_RGB</v>
      </c>
      <c r="S500" s="4"/>
      <c r="T500" s="4"/>
      <c r="U500" s="5"/>
      <c r="V500" s="5"/>
    </row>
    <row r="501" spans="1:22" x14ac:dyDescent="0.25">
      <c r="A501" s="158" t="s">
        <v>453</v>
      </c>
      <c r="B501" s="158" t="s">
        <v>454</v>
      </c>
      <c r="C501" s="158" t="s">
        <v>47</v>
      </c>
      <c r="D501" s="158" t="s">
        <v>48</v>
      </c>
      <c r="E501" s="157">
        <v>216</v>
      </c>
      <c r="F501" s="158" t="s">
        <v>525</v>
      </c>
      <c r="G501" s="159">
        <v>854934.48</v>
      </c>
      <c r="H501" s="159">
        <v>0</v>
      </c>
      <c r="I501" s="159">
        <v>373103.28</v>
      </c>
      <c r="J501" s="159">
        <v>43.6</v>
      </c>
      <c r="K501" t="str">
        <f>VLOOKUP($C501,Lists!$C$3:$M$118,7,FALSE)</f>
        <v>COKE_RGB</v>
      </c>
      <c r="S501" s="4"/>
      <c r="T501" s="4"/>
      <c r="U501" s="5"/>
      <c r="V501" s="5"/>
    </row>
    <row r="502" spans="1:22" x14ac:dyDescent="0.25">
      <c r="A502" s="158" t="s">
        <v>453</v>
      </c>
      <c r="B502" s="158" t="s">
        <v>454</v>
      </c>
      <c r="C502" s="158" t="s">
        <v>49</v>
      </c>
      <c r="D502" s="158" t="s">
        <v>50</v>
      </c>
      <c r="E502" s="157">
        <v>216</v>
      </c>
      <c r="F502" s="158" t="s">
        <v>525</v>
      </c>
      <c r="G502" s="159">
        <v>2165914.08</v>
      </c>
      <c r="H502" s="159">
        <v>0</v>
      </c>
      <c r="I502" s="159">
        <v>689843.52</v>
      </c>
      <c r="J502" s="159">
        <v>31.8</v>
      </c>
      <c r="K502" t="str">
        <f>VLOOKUP($C502,Lists!$C$3:$M$118,7,FALSE)</f>
        <v>Squash</v>
      </c>
      <c r="S502" s="4"/>
      <c r="T502" s="4"/>
      <c r="U502" s="5"/>
      <c r="V502" s="5"/>
    </row>
    <row r="503" spans="1:22" x14ac:dyDescent="0.25">
      <c r="A503" s="158" t="s">
        <v>453</v>
      </c>
      <c r="B503" s="158" t="s">
        <v>454</v>
      </c>
      <c r="C503" s="158" t="s">
        <v>51</v>
      </c>
      <c r="D503" s="158" t="s">
        <v>52</v>
      </c>
      <c r="E503" s="157">
        <v>144</v>
      </c>
      <c r="F503" s="158" t="s">
        <v>525</v>
      </c>
      <c r="G503" s="159">
        <v>1443942.72</v>
      </c>
      <c r="H503" s="159">
        <v>0</v>
      </c>
      <c r="I503" s="159">
        <v>456052.32</v>
      </c>
      <c r="J503" s="159">
        <v>31.6</v>
      </c>
      <c r="K503" t="str">
        <f>VLOOKUP($C503,Lists!$C$3:$M$118,7,FALSE)</f>
        <v>Squash</v>
      </c>
      <c r="S503" s="4"/>
      <c r="T503" s="4"/>
      <c r="U503" s="5"/>
      <c r="V503" s="5"/>
    </row>
    <row r="504" spans="1:22" x14ac:dyDescent="0.25">
      <c r="A504" s="158" t="s">
        <v>453</v>
      </c>
      <c r="B504" s="158" t="s">
        <v>454</v>
      </c>
      <c r="C504" s="158" t="s">
        <v>104</v>
      </c>
      <c r="D504" s="158" t="s">
        <v>105</v>
      </c>
      <c r="E504" s="157">
        <v>72</v>
      </c>
      <c r="F504" s="158" t="s">
        <v>525</v>
      </c>
      <c r="G504" s="159">
        <v>237481.92</v>
      </c>
      <c r="H504" s="159">
        <v>0</v>
      </c>
      <c r="I504" s="159">
        <v>102170.16</v>
      </c>
      <c r="J504" s="159">
        <v>43</v>
      </c>
      <c r="K504" t="str">
        <f>VLOOKUP($C504,Lists!$C$3:$M$118,7,FALSE)</f>
        <v>SOBO_RGB</v>
      </c>
      <c r="S504" s="4"/>
      <c r="T504" s="4"/>
      <c r="U504" s="5"/>
      <c r="V504" s="5"/>
    </row>
    <row r="505" spans="1:22" x14ac:dyDescent="0.25">
      <c r="A505" s="158" t="s">
        <v>455</v>
      </c>
      <c r="B505" s="158" t="s">
        <v>456</v>
      </c>
      <c r="C505" s="158" t="s">
        <v>12</v>
      </c>
      <c r="D505" s="158" t="s">
        <v>13</v>
      </c>
      <c r="E505" s="157">
        <v>3454</v>
      </c>
      <c r="F505" s="158" t="s">
        <v>525</v>
      </c>
      <c r="G505" s="159">
        <v>22236057.579999998</v>
      </c>
      <c r="H505" s="159">
        <v>0</v>
      </c>
      <c r="I505" s="159">
        <v>9717898.0800000001</v>
      </c>
      <c r="J505" s="159">
        <v>43.7</v>
      </c>
      <c r="K505" t="str">
        <f>VLOOKUP($C505,Lists!$C$3:$M$118,7,FALSE)</f>
        <v>Beers</v>
      </c>
      <c r="S505" s="4"/>
      <c r="T505" s="4"/>
      <c r="U505" s="5"/>
      <c r="V505" s="5"/>
    </row>
    <row r="506" spans="1:22" x14ac:dyDescent="0.25">
      <c r="A506" s="158" t="s">
        <v>455</v>
      </c>
      <c r="B506" s="158" t="s">
        <v>456</v>
      </c>
      <c r="C506" s="158" t="s">
        <v>14</v>
      </c>
      <c r="D506" s="158" t="s">
        <v>15</v>
      </c>
      <c r="E506" s="157">
        <v>648</v>
      </c>
      <c r="F506" s="158" t="s">
        <v>525</v>
      </c>
      <c r="G506" s="159">
        <v>5006007.3600000003</v>
      </c>
      <c r="H506" s="159">
        <v>0</v>
      </c>
      <c r="I506" s="159">
        <v>2472081.12</v>
      </c>
      <c r="J506" s="159">
        <v>49.4</v>
      </c>
      <c r="K506" t="str">
        <f>VLOOKUP($C506,Lists!$C$3:$M$118,7,FALSE)</f>
        <v>Beers</v>
      </c>
      <c r="S506" s="4"/>
      <c r="T506" s="4"/>
      <c r="U506" s="5"/>
      <c r="V506" s="5"/>
    </row>
    <row r="507" spans="1:22" x14ac:dyDescent="0.25">
      <c r="A507" s="158" t="s">
        <v>455</v>
      </c>
      <c r="B507" s="158" t="s">
        <v>456</v>
      </c>
      <c r="C507" s="158" t="s">
        <v>16</v>
      </c>
      <c r="D507" s="158" t="s">
        <v>17</v>
      </c>
      <c r="E507" s="157">
        <v>1152</v>
      </c>
      <c r="F507" s="158" t="s">
        <v>525</v>
      </c>
      <c r="G507" s="159">
        <v>8899568.6400000006</v>
      </c>
      <c r="H507" s="159">
        <v>0</v>
      </c>
      <c r="I507" s="159">
        <v>4394810.88</v>
      </c>
      <c r="J507" s="159">
        <v>49.4</v>
      </c>
      <c r="K507" t="str">
        <f>VLOOKUP($C507,Lists!$C$3:$M$118,7,FALSE)</f>
        <v>Beers</v>
      </c>
      <c r="S507" s="4"/>
      <c r="T507" s="4"/>
      <c r="U507" s="5"/>
      <c r="V507" s="5"/>
    </row>
    <row r="508" spans="1:22" x14ac:dyDescent="0.25">
      <c r="A508" s="158" t="s">
        <v>455</v>
      </c>
      <c r="B508" s="158" t="s">
        <v>456</v>
      </c>
      <c r="C508" s="158" t="s">
        <v>56</v>
      </c>
      <c r="D508" s="158" t="s">
        <v>57</v>
      </c>
      <c r="E508" s="157">
        <v>50</v>
      </c>
      <c r="F508" s="158" t="s">
        <v>525</v>
      </c>
      <c r="G508" s="159">
        <v>386266</v>
      </c>
      <c r="H508" s="159">
        <v>0</v>
      </c>
      <c r="I508" s="159">
        <v>202778.5</v>
      </c>
      <c r="J508" s="159">
        <v>52.5</v>
      </c>
      <c r="K508" t="str">
        <f>VLOOKUP($C508,Lists!$C$3:$M$118,7,FALSE)</f>
        <v>Beers</v>
      </c>
      <c r="S508" s="4"/>
      <c r="T508" s="4"/>
      <c r="U508" s="5"/>
      <c r="V508" s="5"/>
    </row>
    <row r="509" spans="1:22" x14ac:dyDescent="0.25">
      <c r="A509" s="158" t="s">
        <v>455</v>
      </c>
      <c r="B509" s="158" t="s">
        <v>456</v>
      </c>
      <c r="C509" s="158" t="s">
        <v>18</v>
      </c>
      <c r="D509" s="158" t="s">
        <v>19</v>
      </c>
      <c r="E509" s="157">
        <v>72</v>
      </c>
      <c r="F509" s="158" t="s">
        <v>525</v>
      </c>
      <c r="G509" s="159">
        <v>741630.96</v>
      </c>
      <c r="H509" s="159">
        <v>0</v>
      </c>
      <c r="I509" s="159">
        <v>384546.96</v>
      </c>
      <c r="J509" s="159">
        <v>51.9</v>
      </c>
      <c r="K509" t="str">
        <f>VLOOKUP($C509,Lists!$C$3:$M$118,7,FALSE)</f>
        <v>Beers</v>
      </c>
      <c r="S509" s="4"/>
      <c r="T509" s="4"/>
      <c r="U509" s="5"/>
      <c r="V509" s="5"/>
    </row>
    <row r="510" spans="1:22" x14ac:dyDescent="0.25">
      <c r="A510" s="158" t="s">
        <v>455</v>
      </c>
      <c r="B510" s="158" t="s">
        <v>456</v>
      </c>
      <c r="C510" s="158" t="s">
        <v>20</v>
      </c>
      <c r="D510" s="158" t="s">
        <v>21</v>
      </c>
      <c r="E510" s="157">
        <v>1367</v>
      </c>
      <c r="F510" s="158" t="s">
        <v>525</v>
      </c>
      <c r="G510" s="159">
        <v>5410627.0099999998</v>
      </c>
      <c r="H510" s="159">
        <v>0</v>
      </c>
      <c r="I510" s="159">
        <v>2273772.09</v>
      </c>
      <c r="J510" s="159">
        <v>42</v>
      </c>
      <c r="K510" t="str">
        <f>VLOOKUP($C510,Lists!$C$3:$M$118,7,FALSE)</f>
        <v>COKE_RGB</v>
      </c>
      <c r="S510" s="4"/>
      <c r="T510" s="4"/>
      <c r="U510" s="5"/>
      <c r="V510" s="5"/>
    </row>
    <row r="511" spans="1:22" x14ac:dyDescent="0.25">
      <c r="A511" s="158" t="s">
        <v>455</v>
      </c>
      <c r="B511" s="158" t="s">
        <v>456</v>
      </c>
      <c r="C511" s="158" t="s">
        <v>28</v>
      </c>
      <c r="D511" s="158" t="s">
        <v>530</v>
      </c>
      <c r="E511" s="157">
        <v>144</v>
      </c>
      <c r="F511" s="158" t="s">
        <v>525</v>
      </c>
      <c r="G511" s="159">
        <v>406497.6</v>
      </c>
      <c r="H511" s="159">
        <v>0</v>
      </c>
      <c r="I511" s="159">
        <v>205034.4</v>
      </c>
      <c r="J511" s="159">
        <v>50.4</v>
      </c>
      <c r="K511" t="str">
        <f>VLOOKUP($C511,Lists!$C$3:$M$118,7,FALSE)</f>
        <v>COKE_PET</v>
      </c>
      <c r="S511" s="4"/>
      <c r="T511" s="4"/>
      <c r="U511" s="5"/>
      <c r="V511" s="5"/>
    </row>
    <row r="512" spans="1:22" x14ac:dyDescent="0.25">
      <c r="A512" s="158" t="s">
        <v>455</v>
      </c>
      <c r="B512" s="158" t="s">
        <v>456</v>
      </c>
      <c r="C512" s="158" t="s">
        <v>58</v>
      </c>
      <c r="D512" s="158" t="s">
        <v>537</v>
      </c>
      <c r="E512" s="157">
        <v>432</v>
      </c>
      <c r="F512" s="158" t="s">
        <v>525</v>
      </c>
      <c r="G512" s="159">
        <v>1045280.16</v>
      </c>
      <c r="H512" s="159">
        <v>0</v>
      </c>
      <c r="I512" s="159">
        <v>579126.24</v>
      </c>
      <c r="J512" s="159">
        <v>55.4</v>
      </c>
      <c r="K512" t="str">
        <f>VLOOKUP($C512,Lists!$C$3:$M$118,7,FALSE)</f>
        <v>SOBO_PET</v>
      </c>
      <c r="S512" s="4"/>
      <c r="T512" s="4"/>
      <c r="U512" s="5"/>
      <c r="V512" s="5"/>
    </row>
    <row r="513" spans="1:22" x14ac:dyDescent="0.25">
      <c r="A513" s="158" t="s">
        <v>455</v>
      </c>
      <c r="B513" s="158" t="s">
        <v>456</v>
      </c>
      <c r="C513" s="158" t="s">
        <v>78</v>
      </c>
      <c r="D513" s="158" t="s">
        <v>526</v>
      </c>
      <c r="E513" s="157">
        <v>288</v>
      </c>
      <c r="F513" s="158" t="s">
        <v>525</v>
      </c>
      <c r="G513" s="159">
        <v>696853.44</v>
      </c>
      <c r="H513" s="159">
        <v>0</v>
      </c>
      <c r="I513" s="159">
        <v>380473.92</v>
      </c>
      <c r="J513" s="159">
        <v>54.6</v>
      </c>
      <c r="K513" t="str">
        <f>VLOOKUP($C513,Lists!$C$3:$M$118,7,FALSE)</f>
        <v>SOBO_PET</v>
      </c>
      <c r="S513" s="4"/>
      <c r="T513" s="4"/>
      <c r="U513" s="5"/>
      <c r="V513" s="5"/>
    </row>
    <row r="514" spans="1:22" x14ac:dyDescent="0.25">
      <c r="A514" s="158" t="s">
        <v>455</v>
      </c>
      <c r="B514" s="158" t="s">
        <v>456</v>
      </c>
      <c r="C514" s="158" t="s">
        <v>43</v>
      </c>
      <c r="D514" s="158" t="s">
        <v>44</v>
      </c>
      <c r="E514" s="157">
        <v>144</v>
      </c>
      <c r="F514" s="158" t="s">
        <v>525</v>
      </c>
      <c r="G514" s="159">
        <v>1112446.08</v>
      </c>
      <c r="H514" s="159">
        <v>0</v>
      </c>
      <c r="I514" s="159">
        <v>549351.36</v>
      </c>
      <c r="J514" s="159">
        <v>49.4</v>
      </c>
      <c r="K514" t="str">
        <f>VLOOKUP($C514,Lists!$C$3:$M$118,7,FALSE)</f>
        <v>Beers</v>
      </c>
      <c r="S514" s="4"/>
      <c r="T514" s="4"/>
      <c r="U514" s="5"/>
      <c r="V514" s="5"/>
    </row>
    <row r="515" spans="1:22" x14ac:dyDescent="0.25">
      <c r="A515" s="158" t="s">
        <v>455</v>
      </c>
      <c r="B515" s="158" t="s">
        <v>456</v>
      </c>
      <c r="C515" s="158" t="s">
        <v>59</v>
      </c>
      <c r="D515" s="158" t="s">
        <v>60</v>
      </c>
      <c r="E515" s="157">
        <v>216</v>
      </c>
      <c r="F515" s="158" t="s">
        <v>525</v>
      </c>
      <c r="G515" s="159">
        <v>854934.48</v>
      </c>
      <c r="H515" s="159">
        <v>0</v>
      </c>
      <c r="I515" s="159">
        <v>348101.28</v>
      </c>
      <c r="J515" s="159">
        <v>40.700000000000003</v>
      </c>
      <c r="K515" t="str">
        <f>VLOOKUP($C515,Lists!$C$3:$M$118,7,FALSE)</f>
        <v>COKE_RGB</v>
      </c>
      <c r="S515" s="4"/>
      <c r="T515" s="4"/>
      <c r="U515" s="5"/>
      <c r="V515" s="5"/>
    </row>
    <row r="516" spans="1:22" x14ac:dyDescent="0.25">
      <c r="A516" s="158" t="s">
        <v>455</v>
      </c>
      <c r="B516" s="158" t="s">
        <v>456</v>
      </c>
      <c r="C516" s="158" t="s">
        <v>22</v>
      </c>
      <c r="D516" s="158" t="s">
        <v>23</v>
      </c>
      <c r="E516" s="157">
        <v>287</v>
      </c>
      <c r="F516" s="158" t="s">
        <v>525</v>
      </c>
      <c r="G516" s="159">
        <v>1135954.6100000001</v>
      </c>
      <c r="H516" s="159">
        <v>0</v>
      </c>
      <c r="I516" s="159">
        <v>457638.72</v>
      </c>
      <c r="J516" s="159">
        <v>40.299999999999997</v>
      </c>
      <c r="K516" t="str">
        <f>VLOOKUP($C516,Lists!$C$3:$M$118,7,FALSE)</f>
        <v>COKE_RGB</v>
      </c>
      <c r="S516" s="4"/>
      <c r="T516" s="4"/>
      <c r="U516" s="5"/>
      <c r="V516" s="5"/>
    </row>
    <row r="517" spans="1:22" x14ac:dyDescent="0.25">
      <c r="A517" s="158" t="s">
        <v>455</v>
      </c>
      <c r="B517" s="158" t="s">
        <v>456</v>
      </c>
      <c r="C517" s="158" t="s">
        <v>67</v>
      </c>
      <c r="D517" s="158" t="s">
        <v>533</v>
      </c>
      <c r="E517" s="157">
        <v>144</v>
      </c>
      <c r="F517" s="158" t="s">
        <v>525</v>
      </c>
      <c r="G517" s="159">
        <v>406497.6</v>
      </c>
      <c r="H517" s="159">
        <v>0</v>
      </c>
      <c r="I517" s="159">
        <v>199961.28</v>
      </c>
      <c r="J517" s="159">
        <v>49.2</v>
      </c>
      <c r="K517" t="str">
        <f>VLOOKUP($C517,Lists!$C$3:$M$118,7,FALSE)</f>
        <v>COKE_PET</v>
      </c>
      <c r="S517" s="4"/>
      <c r="T517" s="4"/>
      <c r="U517" s="5"/>
      <c r="V517" s="5"/>
    </row>
    <row r="518" spans="1:22" x14ac:dyDescent="0.25">
      <c r="A518" s="158" t="s">
        <v>455</v>
      </c>
      <c r="B518" s="158" t="s">
        <v>456</v>
      </c>
      <c r="C518" s="158" t="s">
        <v>261</v>
      </c>
      <c r="D518" s="158" t="s">
        <v>538</v>
      </c>
      <c r="E518" s="157">
        <v>144</v>
      </c>
      <c r="F518" s="158" t="s">
        <v>525</v>
      </c>
      <c r="G518" s="159">
        <v>569956.31999999995</v>
      </c>
      <c r="H518" s="159">
        <v>0</v>
      </c>
      <c r="I518" s="159">
        <v>229616.64000000001</v>
      </c>
      <c r="J518" s="159">
        <v>40.299999999999997</v>
      </c>
      <c r="K518" t="str">
        <f>VLOOKUP($C518,Lists!$C$3:$M$118,7,FALSE)</f>
        <v>COKE_RGB</v>
      </c>
      <c r="S518" s="4"/>
      <c r="T518" s="4"/>
      <c r="U518" s="5"/>
      <c r="V518" s="5"/>
    </row>
    <row r="519" spans="1:22" x14ac:dyDescent="0.25">
      <c r="A519" s="158" t="s">
        <v>455</v>
      </c>
      <c r="B519" s="158" t="s">
        <v>456</v>
      </c>
      <c r="C519" s="158" t="s">
        <v>24</v>
      </c>
      <c r="D519" s="158" t="s">
        <v>25</v>
      </c>
      <c r="E519" s="157">
        <v>288</v>
      </c>
      <c r="F519" s="158" t="s">
        <v>525</v>
      </c>
      <c r="G519" s="159">
        <v>1854077.76</v>
      </c>
      <c r="H519" s="159">
        <v>0</v>
      </c>
      <c r="I519" s="159">
        <v>892696.32</v>
      </c>
      <c r="J519" s="159">
        <v>48.1</v>
      </c>
      <c r="K519" t="str">
        <f>VLOOKUP($C519,Lists!$C$3:$M$118,7,FALSE)</f>
        <v>Beers</v>
      </c>
      <c r="S519" s="4"/>
      <c r="T519" s="4"/>
      <c r="U519" s="5"/>
      <c r="V519" s="5"/>
    </row>
    <row r="520" spans="1:22" x14ac:dyDescent="0.25">
      <c r="A520" s="158" t="s">
        <v>455</v>
      </c>
      <c r="B520" s="158" t="s">
        <v>456</v>
      </c>
      <c r="C520" s="158" t="s">
        <v>37</v>
      </c>
      <c r="D520" s="158" t="s">
        <v>38</v>
      </c>
      <c r="E520" s="157">
        <v>432</v>
      </c>
      <c r="F520" s="158" t="s">
        <v>525</v>
      </c>
      <c r="G520" s="159">
        <v>1424891.52</v>
      </c>
      <c r="H520" s="159">
        <v>0</v>
      </c>
      <c r="I520" s="159">
        <v>667513.44999999995</v>
      </c>
      <c r="J520" s="159">
        <v>46.8</v>
      </c>
      <c r="K520" t="str">
        <f>VLOOKUP($C520,Lists!$C$3:$M$118,7,FALSE)</f>
        <v>SOBO_RGB</v>
      </c>
      <c r="S520" s="4"/>
      <c r="T520" s="4"/>
      <c r="U520" s="5"/>
      <c r="V520" s="5"/>
    </row>
    <row r="521" spans="1:22" x14ac:dyDescent="0.25">
      <c r="A521" s="158" t="s">
        <v>455</v>
      </c>
      <c r="B521" s="158" t="s">
        <v>456</v>
      </c>
      <c r="C521" s="158" t="s">
        <v>39</v>
      </c>
      <c r="D521" s="158" t="s">
        <v>40</v>
      </c>
      <c r="E521" s="157">
        <v>216</v>
      </c>
      <c r="F521" s="158" t="s">
        <v>525</v>
      </c>
      <c r="G521" s="159">
        <v>712445.76</v>
      </c>
      <c r="H521" s="159">
        <v>0</v>
      </c>
      <c r="I521" s="159">
        <v>330806.15999999997</v>
      </c>
      <c r="J521" s="159">
        <v>46.4</v>
      </c>
      <c r="K521" t="str">
        <f>VLOOKUP($C521,Lists!$C$3:$M$118,7,FALSE)</f>
        <v>SOBO_RGB</v>
      </c>
      <c r="S521" s="4"/>
      <c r="T521" s="4"/>
      <c r="U521" s="5"/>
      <c r="V521" s="5"/>
    </row>
    <row r="522" spans="1:22" x14ac:dyDescent="0.25">
      <c r="A522" s="158" t="s">
        <v>455</v>
      </c>
      <c r="B522" s="158" t="s">
        <v>456</v>
      </c>
      <c r="C522" s="158" t="s">
        <v>88</v>
      </c>
      <c r="D522" s="158" t="s">
        <v>527</v>
      </c>
      <c r="E522" s="157">
        <v>144</v>
      </c>
      <c r="F522" s="158" t="s">
        <v>525</v>
      </c>
      <c r="G522" s="159">
        <v>406497.6</v>
      </c>
      <c r="H522" s="159">
        <v>0</v>
      </c>
      <c r="I522" s="159">
        <v>238492.79999999999</v>
      </c>
      <c r="J522" s="159">
        <v>58.7</v>
      </c>
      <c r="K522" t="str">
        <f>VLOOKUP($C522,Lists!$C$3:$M$118,7,FALSE)</f>
        <v>SOBO_PET</v>
      </c>
      <c r="S522" s="4"/>
      <c r="T522" s="4"/>
      <c r="U522" s="5"/>
      <c r="V522" s="5"/>
    </row>
    <row r="523" spans="1:22" x14ac:dyDescent="0.25">
      <c r="A523" s="158" t="s">
        <v>455</v>
      </c>
      <c r="B523" s="158" t="s">
        <v>456</v>
      </c>
      <c r="C523" s="158" t="s">
        <v>47</v>
      </c>
      <c r="D523" s="158" t="s">
        <v>48</v>
      </c>
      <c r="E523" s="157">
        <v>144</v>
      </c>
      <c r="F523" s="158" t="s">
        <v>525</v>
      </c>
      <c r="G523" s="159">
        <v>569956.31999999995</v>
      </c>
      <c r="H523" s="159">
        <v>0</v>
      </c>
      <c r="I523" s="159">
        <v>248735.52</v>
      </c>
      <c r="J523" s="159">
        <v>43.6</v>
      </c>
      <c r="K523" t="str">
        <f>VLOOKUP($C523,Lists!$C$3:$M$118,7,FALSE)</f>
        <v>COKE_RGB</v>
      </c>
      <c r="S523" s="4"/>
      <c r="T523" s="4"/>
      <c r="U523" s="5"/>
      <c r="V523" s="5"/>
    </row>
    <row r="524" spans="1:22" x14ac:dyDescent="0.25">
      <c r="A524" s="158" t="s">
        <v>455</v>
      </c>
      <c r="B524" s="158" t="s">
        <v>456</v>
      </c>
      <c r="C524" s="158" t="s">
        <v>49</v>
      </c>
      <c r="D524" s="158" t="s">
        <v>50</v>
      </c>
      <c r="E524" s="157">
        <v>144</v>
      </c>
      <c r="F524" s="158" t="s">
        <v>525</v>
      </c>
      <c r="G524" s="159">
        <v>1443942.72</v>
      </c>
      <c r="H524" s="159">
        <v>0</v>
      </c>
      <c r="I524" s="159">
        <v>459895.67</v>
      </c>
      <c r="J524" s="159">
        <v>31.8</v>
      </c>
      <c r="K524" t="str">
        <f>VLOOKUP($C524,Lists!$C$3:$M$118,7,FALSE)</f>
        <v>Squash</v>
      </c>
      <c r="S524" s="4"/>
      <c r="T524" s="4"/>
      <c r="U524" s="5"/>
      <c r="V524" s="5"/>
    </row>
    <row r="525" spans="1:22" x14ac:dyDescent="0.25">
      <c r="A525" s="158" t="s">
        <v>455</v>
      </c>
      <c r="B525" s="158" t="s">
        <v>456</v>
      </c>
      <c r="C525" s="158" t="s">
        <v>51</v>
      </c>
      <c r="D525" s="158" t="s">
        <v>52</v>
      </c>
      <c r="E525" s="157">
        <v>144</v>
      </c>
      <c r="F525" s="158" t="s">
        <v>525</v>
      </c>
      <c r="G525" s="159">
        <v>1443942.72</v>
      </c>
      <c r="H525" s="159">
        <v>0</v>
      </c>
      <c r="I525" s="159">
        <v>456052.32</v>
      </c>
      <c r="J525" s="159">
        <v>31.6</v>
      </c>
      <c r="K525" t="str">
        <f>VLOOKUP($C525,Lists!$C$3:$M$118,7,FALSE)</f>
        <v>Squash</v>
      </c>
      <c r="S525" s="4"/>
      <c r="T525" s="4"/>
      <c r="U525" s="5"/>
      <c r="V525" s="5"/>
    </row>
    <row r="526" spans="1:22" x14ac:dyDescent="0.25">
      <c r="A526" s="158" t="s">
        <v>560</v>
      </c>
      <c r="B526" s="158" t="s">
        <v>561</v>
      </c>
      <c r="C526" s="158" t="s">
        <v>12</v>
      </c>
      <c r="D526" s="158" t="s">
        <v>13</v>
      </c>
      <c r="E526" s="157">
        <v>792</v>
      </c>
      <c r="F526" s="158" t="s">
        <v>525</v>
      </c>
      <c r="G526" s="159">
        <v>5194918.08</v>
      </c>
      <c r="H526" s="159">
        <v>0</v>
      </c>
      <c r="I526" s="159">
        <v>2324512.08</v>
      </c>
      <c r="J526" s="159">
        <v>44.7</v>
      </c>
      <c r="K526" t="str">
        <f>VLOOKUP($C526,Lists!$C$3:$M$118,7,FALSE)</f>
        <v>Beers</v>
      </c>
      <c r="S526" s="4"/>
      <c r="T526" s="4"/>
      <c r="U526" s="5"/>
      <c r="V526" s="5"/>
    </row>
    <row r="527" spans="1:22" x14ac:dyDescent="0.25">
      <c r="A527" s="158" t="s">
        <v>560</v>
      </c>
      <c r="B527" s="158" t="s">
        <v>561</v>
      </c>
      <c r="C527" s="158" t="s">
        <v>14</v>
      </c>
      <c r="D527" s="158" t="s">
        <v>15</v>
      </c>
      <c r="E527" s="157">
        <v>144</v>
      </c>
      <c r="F527" s="158" t="s">
        <v>525</v>
      </c>
      <c r="G527" s="159">
        <v>1133435.52</v>
      </c>
      <c r="H527" s="159">
        <v>0</v>
      </c>
      <c r="I527" s="159">
        <v>570340.80000000005</v>
      </c>
      <c r="J527" s="159">
        <v>50.3</v>
      </c>
      <c r="K527" t="str">
        <f>VLOOKUP($C527,Lists!$C$3:$M$118,7,FALSE)</f>
        <v>Beers</v>
      </c>
      <c r="S527" s="4"/>
      <c r="T527" s="4"/>
      <c r="U527" s="5"/>
      <c r="V527" s="5"/>
    </row>
    <row r="528" spans="1:22" x14ac:dyDescent="0.25">
      <c r="A528" s="158" t="s">
        <v>560</v>
      </c>
      <c r="B528" s="158" t="s">
        <v>561</v>
      </c>
      <c r="C528" s="158" t="s">
        <v>16</v>
      </c>
      <c r="D528" s="158" t="s">
        <v>17</v>
      </c>
      <c r="E528" s="157">
        <v>72</v>
      </c>
      <c r="F528" s="158" t="s">
        <v>525</v>
      </c>
      <c r="G528" s="159">
        <v>566717.76</v>
      </c>
      <c r="H528" s="159">
        <v>0</v>
      </c>
      <c r="I528" s="159">
        <v>285170.40000000002</v>
      </c>
      <c r="J528" s="159">
        <v>50.3</v>
      </c>
      <c r="K528" t="str">
        <f>VLOOKUP($C528,Lists!$C$3:$M$118,7,FALSE)</f>
        <v>Beers</v>
      </c>
      <c r="S528" s="4"/>
      <c r="T528" s="4"/>
      <c r="U528" s="5"/>
      <c r="V528" s="5"/>
    </row>
    <row r="529" spans="1:22" x14ac:dyDescent="0.25">
      <c r="A529" s="158" t="s">
        <v>560</v>
      </c>
      <c r="B529" s="158" t="s">
        <v>561</v>
      </c>
      <c r="C529" s="158" t="s">
        <v>20</v>
      </c>
      <c r="D529" s="158" t="s">
        <v>21</v>
      </c>
      <c r="E529" s="157">
        <v>864</v>
      </c>
      <c r="F529" s="158" t="s">
        <v>525</v>
      </c>
      <c r="G529" s="159">
        <v>3484261.44</v>
      </c>
      <c r="H529" s="159">
        <v>0</v>
      </c>
      <c r="I529" s="159">
        <v>1501640.63</v>
      </c>
      <c r="J529" s="159">
        <v>43.1</v>
      </c>
      <c r="K529" t="str">
        <f>VLOOKUP($C529,Lists!$C$3:$M$118,7,FALSE)</f>
        <v>COKE_RGB</v>
      </c>
      <c r="S529" s="4"/>
      <c r="T529" s="4"/>
      <c r="U529" s="5"/>
      <c r="V529" s="5"/>
    </row>
    <row r="530" spans="1:22" x14ac:dyDescent="0.25">
      <c r="A530" s="158" t="s">
        <v>560</v>
      </c>
      <c r="B530" s="158" t="s">
        <v>561</v>
      </c>
      <c r="C530" s="158" t="s">
        <v>43</v>
      </c>
      <c r="D530" s="158" t="s">
        <v>44</v>
      </c>
      <c r="E530" s="157">
        <v>72</v>
      </c>
      <c r="F530" s="158" t="s">
        <v>525</v>
      </c>
      <c r="G530" s="159">
        <v>566717.76</v>
      </c>
      <c r="H530" s="159">
        <v>0</v>
      </c>
      <c r="I530" s="159">
        <v>285170.40000000002</v>
      </c>
      <c r="J530" s="159">
        <v>50.3</v>
      </c>
      <c r="K530" t="str">
        <f>VLOOKUP($C530,Lists!$C$3:$M$118,7,FALSE)</f>
        <v>Beers</v>
      </c>
      <c r="S530" s="4"/>
      <c r="T530" s="4"/>
      <c r="U530" s="5"/>
      <c r="V530" s="5"/>
    </row>
    <row r="531" spans="1:22" x14ac:dyDescent="0.25">
      <c r="A531" s="158" t="s">
        <v>560</v>
      </c>
      <c r="B531" s="158" t="s">
        <v>561</v>
      </c>
      <c r="C531" s="158" t="s">
        <v>22</v>
      </c>
      <c r="D531" s="158" t="s">
        <v>23</v>
      </c>
      <c r="E531" s="157">
        <v>144</v>
      </c>
      <c r="F531" s="158" t="s">
        <v>525</v>
      </c>
      <c r="G531" s="159">
        <v>580710.24</v>
      </c>
      <c r="H531" s="159">
        <v>0</v>
      </c>
      <c r="I531" s="159">
        <v>240370.56</v>
      </c>
      <c r="J531" s="159">
        <v>41.4</v>
      </c>
      <c r="K531" t="str">
        <f>VLOOKUP($C531,Lists!$C$3:$M$118,7,FALSE)</f>
        <v>COKE_RGB</v>
      </c>
      <c r="S531" s="4"/>
      <c r="T531" s="4"/>
      <c r="U531" s="5"/>
      <c r="V531" s="5"/>
    </row>
    <row r="532" spans="1:22" x14ac:dyDescent="0.25">
      <c r="A532" s="158" t="s">
        <v>560</v>
      </c>
      <c r="B532" s="158" t="s">
        <v>561</v>
      </c>
      <c r="C532" s="158" t="s">
        <v>24</v>
      </c>
      <c r="D532" s="158" t="s">
        <v>25</v>
      </c>
      <c r="E532" s="157">
        <v>72</v>
      </c>
      <c r="F532" s="158" t="s">
        <v>525</v>
      </c>
      <c r="G532" s="159">
        <v>472265.28</v>
      </c>
      <c r="H532" s="159">
        <v>0</v>
      </c>
      <c r="I532" s="159">
        <v>231919.92</v>
      </c>
      <c r="J532" s="159">
        <v>49.1</v>
      </c>
      <c r="K532" t="str">
        <f>VLOOKUP($C532,Lists!$C$3:$M$118,7,FALSE)</f>
        <v>Beers</v>
      </c>
      <c r="S532" s="4"/>
      <c r="T532" s="4"/>
      <c r="U532" s="5"/>
      <c r="V532" s="5"/>
    </row>
    <row r="533" spans="1:22" x14ac:dyDescent="0.25">
      <c r="A533" s="158" t="s">
        <v>562</v>
      </c>
      <c r="B533" s="158" t="s">
        <v>563</v>
      </c>
      <c r="C533" s="158" t="s">
        <v>16</v>
      </c>
      <c r="D533" s="158" t="s">
        <v>17</v>
      </c>
      <c r="E533" s="157">
        <v>144</v>
      </c>
      <c r="F533" s="158" t="s">
        <v>525</v>
      </c>
      <c r="G533" s="159">
        <v>1133435.52</v>
      </c>
      <c r="H533" s="159">
        <v>0</v>
      </c>
      <c r="I533" s="159">
        <v>570340.80000000005</v>
      </c>
      <c r="J533" s="159">
        <v>50.3</v>
      </c>
      <c r="K533" t="str">
        <f>VLOOKUP($C533,Lists!$C$3:$M$118,7,FALSE)</f>
        <v>Beers</v>
      </c>
      <c r="S533" s="4"/>
      <c r="T533" s="4"/>
      <c r="U533" s="5"/>
      <c r="V533" s="5"/>
    </row>
    <row r="534" spans="1:22" x14ac:dyDescent="0.25">
      <c r="A534" s="158" t="s">
        <v>562</v>
      </c>
      <c r="B534" s="158" t="s">
        <v>563</v>
      </c>
      <c r="C534" s="158" t="s">
        <v>20</v>
      </c>
      <c r="D534" s="158" t="s">
        <v>21</v>
      </c>
      <c r="E534" s="157">
        <v>359</v>
      </c>
      <c r="F534" s="158" t="s">
        <v>525</v>
      </c>
      <c r="G534" s="159">
        <v>1447742.89</v>
      </c>
      <c r="H534" s="159">
        <v>0</v>
      </c>
      <c r="I534" s="159">
        <v>623945.59</v>
      </c>
      <c r="J534" s="159">
        <v>43.1</v>
      </c>
      <c r="K534" t="str">
        <f>VLOOKUP($C534,Lists!$C$3:$M$118,7,FALSE)</f>
        <v>COKE_RGB</v>
      </c>
      <c r="S534" s="4"/>
      <c r="T534" s="4"/>
      <c r="U534" s="5"/>
      <c r="V534" s="5"/>
    </row>
    <row r="535" spans="1:22" x14ac:dyDescent="0.25">
      <c r="A535" s="158" t="s">
        <v>562</v>
      </c>
      <c r="B535" s="158" t="s">
        <v>563</v>
      </c>
      <c r="C535" s="158" t="s">
        <v>59</v>
      </c>
      <c r="D535" s="158" t="s">
        <v>60</v>
      </c>
      <c r="E535" s="157">
        <v>71</v>
      </c>
      <c r="F535" s="158" t="s">
        <v>525</v>
      </c>
      <c r="G535" s="159">
        <v>286322.40999999997</v>
      </c>
      <c r="H535" s="159">
        <v>0</v>
      </c>
      <c r="I535" s="159">
        <v>119724.46</v>
      </c>
      <c r="J535" s="159">
        <v>41.8</v>
      </c>
      <c r="K535" t="str">
        <f>VLOOKUP($C535,Lists!$C$3:$M$118,7,FALSE)</f>
        <v>COKE_RGB</v>
      </c>
      <c r="S535" s="4"/>
      <c r="T535" s="4"/>
      <c r="U535" s="5"/>
      <c r="V535" s="5"/>
    </row>
    <row r="536" spans="1:22" x14ac:dyDescent="0.25">
      <c r="A536" s="158" t="s">
        <v>562</v>
      </c>
      <c r="B536" s="158" t="s">
        <v>563</v>
      </c>
      <c r="C536" s="158" t="s">
        <v>29</v>
      </c>
      <c r="D536" s="158" t="s">
        <v>30</v>
      </c>
      <c r="E536" s="157">
        <v>65</v>
      </c>
      <c r="F536" s="158" t="s">
        <v>525</v>
      </c>
      <c r="G536" s="159">
        <v>2409607.85</v>
      </c>
      <c r="H536" s="159">
        <v>0</v>
      </c>
      <c r="I536" s="159">
        <v>719607.85</v>
      </c>
      <c r="J536" s="159">
        <v>29.9</v>
      </c>
      <c r="K536" t="str">
        <f>VLOOKUP($C536,Lists!$C$3:$M$118,7,FALSE)</f>
        <v>Spirits</v>
      </c>
      <c r="S536" s="4"/>
      <c r="T536" s="4"/>
      <c r="U536" s="5"/>
      <c r="V536" s="5"/>
    </row>
    <row r="537" spans="1:22" x14ac:dyDescent="0.25">
      <c r="A537" s="158" t="s">
        <v>499</v>
      </c>
      <c r="B537" s="158" t="s">
        <v>500</v>
      </c>
      <c r="C537" s="158" t="s">
        <v>69</v>
      </c>
      <c r="D537" s="158" t="s">
        <v>70</v>
      </c>
      <c r="E537" s="157">
        <v>36</v>
      </c>
      <c r="F537" s="158" t="s">
        <v>525</v>
      </c>
      <c r="G537" s="159">
        <v>278111.52</v>
      </c>
      <c r="H537" s="159">
        <v>0</v>
      </c>
      <c r="I537" s="159">
        <v>116651.52</v>
      </c>
      <c r="J537" s="159">
        <v>41.9</v>
      </c>
      <c r="K537" t="str">
        <f>VLOOKUP($C537,Lists!$C$3:$M$118,7,FALSE)</f>
        <v>Alcomix</v>
      </c>
      <c r="S537" s="4"/>
      <c r="T537" s="4"/>
      <c r="U537" s="5"/>
      <c r="V537" s="5"/>
    </row>
    <row r="538" spans="1:22" x14ac:dyDescent="0.25">
      <c r="A538" s="158" t="s">
        <v>499</v>
      </c>
      <c r="B538" s="158" t="s">
        <v>500</v>
      </c>
      <c r="C538" s="158" t="s">
        <v>41</v>
      </c>
      <c r="D538" s="158" t="s">
        <v>42</v>
      </c>
      <c r="E538" s="157">
        <v>144</v>
      </c>
      <c r="F538" s="158" t="s">
        <v>525</v>
      </c>
      <c r="G538" s="159">
        <v>1112446.08</v>
      </c>
      <c r="H538" s="159">
        <v>0</v>
      </c>
      <c r="I538" s="159">
        <v>466606.08000000002</v>
      </c>
      <c r="J538" s="159">
        <v>41.9</v>
      </c>
      <c r="K538" t="str">
        <f>VLOOKUP($C538,Lists!$C$3:$M$118,7,FALSE)</f>
        <v>Alcomix</v>
      </c>
      <c r="S538" s="4"/>
      <c r="T538" s="4"/>
      <c r="U538" s="5"/>
      <c r="V538" s="5"/>
    </row>
    <row r="539" spans="1:22" x14ac:dyDescent="0.25">
      <c r="A539" s="158" t="s">
        <v>499</v>
      </c>
      <c r="B539" s="158" t="s">
        <v>500</v>
      </c>
      <c r="C539" s="158" t="s">
        <v>10</v>
      </c>
      <c r="D539" s="158" t="s">
        <v>11</v>
      </c>
      <c r="E539" s="157">
        <v>144</v>
      </c>
      <c r="F539" s="158" t="s">
        <v>525</v>
      </c>
      <c r="G539" s="159">
        <v>1112446.08</v>
      </c>
      <c r="H539" s="159">
        <v>0</v>
      </c>
      <c r="I539" s="159">
        <v>466606.08000000002</v>
      </c>
      <c r="J539" s="159">
        <v>41.9</v>
      </c>
      <c r="K539" t="str">
        <f>VLOOKUP($C539,Lists!$C$3:$M$118,7,FALSE)</f>
        <v>Alcomix</v>
      </c>
      <c r="S539" s="4"/>
      <c r="T539" s="4"/>
      <c r="U539" s="5"/>
      <c r="V539" s="5"/>
    </row>
    <row r="540" spans="1:22" x14ac:dyDescent="0.25">
      <c r="A540" s="158" t="s">
        <v>499</v>
      </c>
      <c r="B540" s="158" t="s">
        <v>500</v>
      </c>
      <c r="C540" s="158" t="s">
        <v>71</v>
      </c>
      <c r="D540" s="158" t="s">
        <v>553</v>
      </c>
      <c r="E540" s="157">
        <v>36</v>
      </c>
      <c r="F540" s="158" t="s">
        <v>525</v>
      </c>
      <c r="G540" s="159">
        <v>278111.52</v>
      </c>
      <c r="H540" s="159">
        <v>0</v>
      </c>
      <c r="I540" s="159">
        <v>116651.52</v>
      </c>
      <c r="J540" s="159">
        <v>41.9</v>
      </c>
      <c r="K540" t="str">
        <f>VLOOKUP($C540,Lists!$C$3:$M$118,7,FALSE)</f>
        <v>Alcomix</v>
      </c>
      <c r="S540" s="4"/>
      <c r="T540" s="4"/>
      <c r="U540" s="5"/>
      <c r="V540" s="5"/>
    </row>
    <row r="541" spans="1:22" x14ac:dyDescent="0.25">
      <c r="A541" s="158" t="s">
        <v>499</v>
      </c>
      <c r="B541" s="158" t="s">
        <v>500</v>
      </c>
      <c r="C541" s="158" t="s">
        <v>12</v>
      </c>
      <c r="D541" s="158" t="s">
        <v>13</v>
      </c>
      <c r="E541" s="157">
        <v>3528</v>
      </c>
      <c r="F541" s="158" t="s">
        <v>525</v>
      </c>
      <c r="G541" s="159">
        <v>22712452.559999999</v>
      </c>
      <c r="H541" s="159">
        <v>0</v>
      </c>
      <c r="I541" s="159">
        <v>9926098.5600000005</v>
      </c>
      <c r="J541" s="159">
        <v>43.7</v>
      </c>
      <c r="K541" t="str">
        <f>VLOOKUP($C541,Lists!$C$3:$M$118,7,FALSE)</f>
        <v>Beers</v>
      </c>
      <c r="S541" s="4"/>
      <c r="T541" s="4"/>
      <c r="U541" s="5"/>
      <c r="V541" s="5"/>
    </row>
    <row r="542" spans="1:22" x14ac:dyDescent="0.25">
      <c r="A542" s="158" t="s">
        <v>499</v>
      </c>
      <c r="B542" s="158" t="s">
        <v>500</v>
      </c>
      <c r="C542" s="158" t="s">
        <v>14</v>
      </c>
      <c r="D542" s="158" t="s">
        <v>15</v>
      </c>
      <c r="E542" s="157">
        <v>2303</v>
      </c>
      <c r="F542" s="158" t="s">
        <v>525</v>
      </c>
      <c r="G542" s="159">
        <v>17791411.960000001</v>
      </c>
      <c r="H542" s="159">
        <v>0</v>
      </c>
      <c r="I542" s="159">
        <v>8785806.8200000003</v>
      </c>
      <c r="J542" s="159">
        <v>49.4</v>
      </c>
      <c r="K542" t="str">
        <f>VLOOKUP($C542,Lists!$C$3:$M$118,7,FALSE)</f>
        <v>Beers</v>
      </c>
      <c r="S542" s="4"/>
      <c r="T542" s="4"/>
      <c r="U542" s="5"/>
      <c r="V542" s="5"/>
    </row>
    <row r="543" spans="1:22" x14ac:dyDescent="0.25">
      <c r="A543" s="158" t="s">
        <v>499</v>
      </c>
      <c r="B543" s="158" t="s">
        <v>500</v>
      </c>
      <c r="C543" s="158" t="s">
        <v>54</v>
      </c>
      <c r="D543" s="158" t="s">
        <v>55</v>
      </c>
      <c r="E543" s="157">
        <v>200</v>
      </c>
      <c r="F543" s="158" t="s">
        <v>525</v>
      </c>
      <c r="G543" s="159">
        <v>1545064</v>
      </c>
      <c r="H543" s="159">
        <v>0</v>
      </c>
      <c r="I543" s="159">
        <v>811114</v>
      </c>
      <c r="J543" s="159">
        <v>52.5</v>
      </c>
      <c r="K543" t="str">
        <f>VLOOKUP($C543,Lists!$C$3:$M$118,7,FALSE)</f>
        <v>Beers</v>
      </c>
      <c r="S543" s="4"/>
      <c r="T543" s="4"/>
      <c r="U543" s="5"/>
      <c r="V543" s="5"/>
    </row>
    <row r="544" spans="1:22" x14ac:dyDescent="0.25">
      <c r="A544" s="158" t="s">
        <v>499</v>
      </c>
      <c r="B544" s="158" t="s">
        <v>500</v>
      </c>
      <c r="C544" s="158" t="s">
        <v>16</v>
      </c>
      <c r="D544" s="158" t="s">
        <v>17</v>
      </c>
      <c r="E544" s="157">
        <v>3096</v>
      </c>
      <c r="F544" s="158" t="s">
        <v>525</v>
      </c>
      <c r="G544" s="159">
        <v>23917590.719999999</v>
      </c>
      <c r="H544" s="159">
        <v>0</v>
      </c>
      <c r="I544" s="159">
        <v>11811054.24</v>
      </c>
      <c r="J544" s="159">
        <v>49.4</v>
      </c>
      <c r="K544" t="str">
        <f>VLOOKUP($C544,Lists!$C$3:$M$118,7,FALSE)</f>
        <v>Beers</v>
      </c>
      <c r="S544" s="4"/>
      <c r="T544" s="4"/>
      <c r="U544" s="5"/>
      <c r="V544" s="5"/>
    </row>
    <row r="545" spans="1:22" x14ac:dyDescent="0.25">
      <c r="A545" s="158" t="s">
        <v>499</v>
      </c>
      <c r="B545" s="158" t="s">
        <v>500</v>
      </c>
      <c r="C545" s="158" t="s">
        <v>56</v>
      </c>
      <c r="D545" s="158" t="s">
        <v>57</v>
      </c>
      <c r="E545" s="157">
        <v>100</v>
      </c>
      <c r="F545" s="158" t="s">
        <v>525</v>
      </c>
      <c r="G545" s="159">
        <v>772532</v>
      </c>
      <c r="H545" s="159">
        <v>0</v>
      </c>
      <c r="I545" s="159">
        <v>405557</v>
      </c>
      <c r="J545" s="159">
        <v>52.5</v>
      </c>
      <c r="K545" t="str">
        <f>VLOOKUP($C545,Lists!$C$3:$M$118,7,FALSE)</f>
        <v>Beers</v>
      </c>
      <c r="S545" s="4"/>
      <c r="T545" s="4"/>
      <c r="U545" s="5"/>
      <c r="V545" s="5"/>
    </row>
    <row r="546" spans="1:22" x14ac:dyDescent="0.25">
      <c r="A546" s="158" t="s">
        <v>499</v>
      </c>
      <c r="B546" s="158" t="s">
        <v>500</v>
      </c>
      <c r="C546" s="158" t="s">
        <v>18</v>
      </c>
      <c r="D546" s="158" t="s">
        <v>19</v>
      </c>
      <c r="E546" s="157">
        <v>288</v>
      </c>
      <c r="F546" s="158" t="s">
        <v>525</v>
      </c>
      <c r="G546" s="159">
        <v>2966523.84</v>
      </c>
      <c r="H546" s="159">
        <v>0</v>
      </c>
      <c r="I546" s="159">
        <v>1538187.84</v>
      </c>
      <c r="J546" s="159">
        <v>51.9</v>
      </c>
      <c r="K546" t="str">
        <f>VLOOKUP($C546,Lists!$C$3:$M$118,7,FALSE)</f>
        <v>Beers</v>
      </c>
      <c r="S546" s="4"/>
      <c r="T546" s="4"/>
      <c r="U546" s="5"/>
      <c r="V546" s="5"/>
    </row>
    <row r="547" spans="1:22" x14ac:dyDescent="0.25">
      <c r="A547" s="158" t="s">
        <v>499</v>
      </c>
      <c r="B547" s="158" t="s">
        <v>500</v>
      </c>
      <c r="C547" s="158" t="s">
        <v>20</v>
      </c>
      <c r="D547" s="158" t="s">
        <v>21</v>
      </c>
      <c r="E547" s="157">
        <v>5830</v>
      </c>
      <c r="F547" s="158" t="s">
        <v>525</v>
      </c>
      <c r="G547" s="159">
        <v>23075314.899999999</v>
      </c>
      <c r="H547" s="159">
        <v>0</v>
      </c>
      <c r="I547" s="159">
        <v>9697213.8800000008</v>
      </c>
      <c r="J547" s="159">
        <v>42</v>
      </c>
      <c r="K547" t="str">
        <f>VLOOKUP($C547,Lists!$C$3:$M$118,7,FALSE)</f>
        <v>COKE_RGB</v>
      </c>
      <c r="S547" s="4"/>
      <c r="T547" s="4"/>
      <c r="U547" s="5"/>
      <c r="V547" s="5"/>
    </row>
    <row r="548" spans="1:22" x14ac:dyDescent="0.25">
      <c r="A548" s="158" t="s">
        <v>499</v>
      </c>
      <c r="B548" s="158" t="s">
        <v>500</v>
      </c>
      <c r="C548" s="158" t="s">
        <v>28</v>
      </c>
      <c r="D548" s="158" t="s">
        <v>530</v>
      </c>
      <c r="E548" s="157">
        <v>288</v>
      </c>
      <c r="F548" s="158" t="s">
        <v>525</v>
      </c>
      <c r="G548" s="159">
        <v>812995.2</v>
      </c>
      <c r="H548" s="159">
        <v>0</v>
      </c>
      <c r="I548" s="159">
        <v>410068.8</v>
      </c>
      <c r="J548" s="159">
        <v>50.4</v>
      </c>
      <c r="K548" t="str">
        <f>VLOOKUP($C548,Lists!$C$3:$M$118,7,FALSE)</f>
        <v>COKE_PET</v>
      </c>
      <c r="S548" s="4"/>
      <c r="T548" s="4"/>
      <c r="U548" s="5"/>
      <c r="V548" s="5"/>
    </row>
    <row r="549" spans="1:22" x14ac:dyDescent="0.25">
      <c r="A549" s="158" t="s">
        <v>499</v>
      </c>
      <c r="B549" s="158" t="s">
        <v>500</v>
      </c>
      <c r="C549" s="158" t="s">
        <v>58</v>
      </c>
      <c r="D549" s="158" t="s">
        <v>537</v>
      </c>
      <c r="E549" s="157">
        <v>576</v>
      </c>
      <c r="F549" s="158" t="s">
        <v>525</v>
      </c>
      <c r="G549" s="159">
        <v>1393706.88</v>
      </c>
      <c r="H549" s="159">
        <v>0</v>
      </c>
      <c r="I549" s="159">
        <v>772168.32</v>
      </c>
      <c r="J549" s="159">
        <v>55.4</v>
      </c>
      <c r="K549" t="str">
        <f>VLOOKUP($C549,Lists!$C$3:$M$118,7,FALSE)</f>
        <v>SOBO_PET</v>
      </c>
      <c r="S549" s="4"/>
      <c r="T549" s="4"/>
      <c r="U549" s="5"/>
      <c r="V549" s="5"/>
    </row>
    <row r="550" spans="1:22" x14ac:dyDescent="0.25">
      <c r="A550" s="158" t="s">
        <v>499</v>
      </c>
      <c r="B550" s="158" t="s">
        <v>500</v>
      </c>
      <c r="C550" s="158" t="s">
        <v>78</v>
      </c>
      <c r="D550" s="158" t="s">
        <v>526</v>
      </c>
      <c r="E550" s="157">
        <v>144</v>
      </c>
      <c r="F550" s="158" t="s">
        <v>525</v>
      </c>
      <c r="G550" s="159">
        <v>348426.72</v>
      </c>
      <c r="H550" s="159">
        <v>0</v>
      </c>
      <c r="I550" s="159">
        <v>190236.96</v>
      </c>
      <c r="J550" s="159">
        <v>54.6</v>
      </c>
      <c r="K550" t="str">
        <f>VLOOKUP($C550,Lists!$C$3:$M$118,7,FALSE)</f>
        <v>SOBO_PET</v>
      </c>
      <c r="S550" s="4"/>
      <c r="T550" s="4"/>
      <c r="U550" s="5"/>
      <c r="V550" s="5"/>
    </row>
    <row r="551" spans="1:22" x14ac:dyDescent="0.25">
      <c r="A551" s="158" t="s">
        <v>499</v>
      </c>
      <c r="B551" s="158" t="s">
        <v>500</v>
      </c>
      <c r="C551" s="158" t="s">
        <v>59</v>
      </c>
      <c r="D551" s="158" t="s">
        <v>60</v>
      </c>
      <c r="E551" s="157">
        <v>648</v>
      </c>
      <c r="F551" s="158" t="s">
        <v>525</v>
      </c>
      <c r="G551" s="159">
        <v>2564803.44</v>
      </c>
      <c r="H551" s="159">
        <v>0</v>
      </c>
      <c r="I551" s="159">
        <v>1044303.84</v>
      </c>
      <c r="J551" s="159">
        <v>40.700000000000003</v>
      </c>
      <c r="K551" t="str">
        <f>VLOOKUP($C551,Lists!$C$3:$M$118,7,FALSE)</f>
        <v>COKE_RGB</v>
      </c>
      <c r="S551" s="4"/>
      <c r="T551" s="4"/>
      <c r="U551" s="5"/>
      <c r="V551" s="5"/>
    </row>
    <row r="552" spans="1:22" x14ac:dyDescent="0.25">
      <c r="A552" s="158" t="s">
        <v>499</v>
      </c>
      <c r="B552" s="158" t="s">
        <v>500</v>
      </c>
      <c r="C552" s="158" t="s">
        <v>22</v>
      </c>
      <c r="D552" s="158" t="s">
        <v>23</v>
      </c>
      <c r="E552" s="157">
        <v>1365</v>
      </c>
      <c r="F552" s="158" t="s">
        <v>525</v>
      </c>
      <c r="G552" s="159">
        <v>5402710.9500000002</v>
      </c>
      <c r="H552" s="159">
        <v>0</v>
      </c>
      <c r="I552" s="159">
        <v>2176574.39</v>
      </c>
      <c r="J552" s="159">
        <v>40.299999999999997</v>
      </c>
      <c r="K552" t="str">
        <f>VLOOKUP($C552,Lists!$C$3:$M$118,7,FALSE)</f>
        <v>COKE_RGB</v>
      </c>
      <c r="S552" s="4"/>
      <c r="T552" s="4"/>
      <c r="U552" s="5"/>
      <c r="V552" s="5"/>
    </row>
    <row r="553" spans="1:22" x14ac:dyDescent="0.25">
      <c r="A553" s="158" t="s">
        <v>499</v>
      </c>
      <c r="B553" s="158" t="s">
        <v>500</v>
      </c>
      <c r="C553" s="158" t="s">
        <v>67</v>
      </c>
      <c r="D553" s="158" t="s">
        <v>533</v>
      </c>
      <c r="E553" s="157">
        <v>576</v>
      </c>
      <c r="F553" s="158" t="s">
        <v>525</v>
      </c>
      <c r="G553" s="159">
        <v>1625990.4</v>
      </c>
      <c r="H553" s="159">
        <v>0</v>
      </c>
      <c r="I553" s="159">
        <v>799845.13</v>
      </c>
      <c r="J553" s="159">
        <v>49.2</v>
      </c>
      <c r="K553" t="str">
        <f>VLOOKUP($C553,Lists!$C$3:$M$118,7,FALSE)</f>
        <v>COKE_PET</v>
      </c>
      <c r="S553" s="4"/>
      <c r="T553" s="4"/>
      <c r="U553" s="5"/>
      <c r="V553" s="5"/>
    </row>
    <row r="554" spans="1:22" x14ac:dyDescent="0.25">
      <c r="A554" s="158" t="s">
        <v>499</v>
      </c>
      <c r="B554" s="158" t="s">
        <v>500</v>
      </c>
      <c r="C554" s="158" t="s">
        <v>261</v>
      </c>
      <c r="D554" s="158" t="s">
        <v>538</v>
      </c>
      <c r="E554" s="157">
        <v>216</v>
      </c>
      <c r="F554" s="158" t="s">
        <v>525</v>
      </c>
      <c r="G554" s="159">
        <v>854934.48</v>
      </c>
      <c r="H554" s="159">
        <v>0</v>
      </c>
      <c r="I554" s="159">
        <v>344424.96000000002</v>
      </c>
      <c r="J554" s="159">
        <v>40.299999999999997</v>
      </c>
      <c r="K554" t="str">
        <f>VLOOKUP($C554,Lists!$C$3:$M$118,7,FALSE)</f>
        <v>COKE_RGB</v>
      </c>
      <c r="S554" s="4"/>
      <c r="T554" s="4"/>
      <c r="U554" s="5"/>
      <c r="V554" s="5"/>
    </row>
    <row r="555" spans="1:22" x14ac:dyDescent="0.25">
      <c r="A555" s="158" t="s">
        <v>499</v>
      </c>
      <c r="B555" s="158" t="s">
        <v>500</v>
      </c>
      <c r="C555" s="158" t="s">
        <v>24</v>
      </c>
      <c r="D555" s="158" t="s">
        <v>25</v>
      </c>
      <c r="E555" s="157">
        <v>1008</v>
      </c>
      <c r="F555" s="158" t="s">
        <v>525</v>
      </c>
      <c r="G555" s="159">
        <v>6489272.1600000001</v>
      </c>
      <c r="H555" s="159">
        <v>0</v>
      </c>
      <c r="I555" s="159">
        <v>3124437.12</v>
      </c>
      <c r="J555" s="159">
        <v>48.1</v>
      </c>
      <c r="K555" t="str">
        <f>VLOOKUP($C555,Lists!$C$3:$M$118,7,FALSE)</f>
        <v>Beers</v>
      </c>
      <c r="S555" s="4"/>
      <c r="T555" s="4"/>
      <c r="U555" s="5"/>
      <c r="V555" s="5"/>
    </row>
    <row r="556" spans="1:22" x14ac:dyDescent="0.25">
      <c r="A556" s="158" t="s">
        <v>499</v>
      </c>
      <c r="B556" s="158" t="s">
        <v>500</v>
      </c>
      <c r="C556" s="158" t="s">
        <v>29</v>
      </c>
      <c r="D556" s="158" t="s">
        <v>30</v>
      </c>
      <c r="E556" s="157">
        <v>70</v>
      </c>
      <c r="F556" s="158" t="s">
        <v>525</v>
      </c>
      <c r="G556" s="159">
        <v>2546907.2999999998</v>
      </c>
      <c r="H556" s="159">
        <v>0</v>
      </c>
      <c r="I556" s="159">
        <v>726907.3</v>
      </c>
      <c r="J556" s="159">
        <v>28.5</v>
      </c>
      <c r="K556" t="str">
        <f>VLOOKUP($C556,Lists!$C$3:$M$118,7,FALSE)</f>
        <v>Spirits</v>
      </c>
      <c r="S556" s="4"/>
      <c r="T556" s="4"/>
      <c r="U556" s="5"/>
      <c r="V556" s="5"/>
    </row>
    <row r="557" spans="1:22" x14ac:dyDescent="0.25">
      <c r="A557" s="158" t="s">
        <v>499</v>
      </c>
      <c r="B557" s="158" t="s">
        <v>500</v>
      </c>
      <c r="C557" s="158" t="s">
        <v>33</v>
      </c>
      <c r="D557" s="158" t="s">
        <v>34</v>
      </c>
      <c r="E557" s="157">
        <v>45</v>
      </c>
      <c r="F557" s="158" t="s">
        <v>525</v>
      </c>
      <c r="G557" s="159">
        <v>2506068</v>
      </c>
      <c r="H557" s="159">
        <v>0</v>
      </c>
      <c r="I557" s="159">
        <v>481068</v>
      </c>
      <c r="J557" s="159">
        <v>19.2</v>
      </c>
      <c r="K557" t="str">
        <f>VLOOKUP($C557,Lists!$C$3:$M$118,7,FALSE)</f>
        <v>Spirits</v>
      </c>
      <c r="S557" s="4"/>
      <c r="T557" s="4"/>
      <c r="U557" s="5"/>
      <c r="V557" s="5"/>
    </row>
    <row r="558" spans="1:22" x14ac:dyDescent="0.25">
      <c r="A558" s="158" t="s">
        <v>499</v>
      </c>
      <c r="B558" s="158" t="s">
        <v>500</v>
      </c>
      <c r="C558" s="158" t="s">
        <v>37</v>
      </c>
      <c r="D558" s="158" t="s">
        <v>38</v>
      </c>
      <c r="E558" s="157">
        <v>1152</v>
      </c>
      <c r="F558" s="158" t="s">
        <v>525</v>
      </c>
      <c r="G558" s="159">
        <v>3799710.72</v>
      </c>
      <c r="H558" s="159">
        <v>0</v>
      </c>
      <c r="I558" s="159">
        <v>1780035.84</v>
      </c>
      <c r="J558" s="159">
        <v>46.8</v>
      </c>
      <c r="K558" t="str">
        <f>VLOOKUP($C558,Lists!$C$3:$M$118,7,FALSE)</f>
        <v>SOBO_RGB</v>
      </c>
      <c r="S558" s="4"/>
      <c r="T558" s="4"/>
      <c r="U558" s="5"/>
      <c r="V558" s="5"/>
    </row>
    <row r="559" spans="1:22" x14ac:dyDescent="0.25">
      <c r="A559" s="158" t="s">
        <v>499</v>
      </c>
      <c r="B559" s="158" t="s">
        <v>500</v>
      </c>
      <c r="C559" s="158" t="s">
        <v>39</v>
      </c>
      <c r="D559" s="158" t="s">
        <v>40</v>
      </c>
      <c r="E559" s="157">
        <v>718</v>
      </c>
      <c r="F559" s="158" t="s">
        <v>525</v>
      </c>
      <c r="G559" s="159">
        <v>2368222.48</v>
      </c>
      <c r="H559" s="159">
        <v>0</v>
      </c>
      <c r="I559" s="159">
        <v>1099624.18</v>
      </c>
      <c r="J559" s="159">
        <v>46.4</v>
      </c>
      <c r="K559" t="str">
        <f>VLOOKUP($C559,Lists!$C$3:$M$118,7,FALSE)</f>
        <v>SOBO_RGB</v>
      </c>
      <c r="S559" s="4"/>
      <c r="T559" s="4"/>
      <c r="U559" s="5"/>
      <c r="V559" s="5"/>
    </row>
    <row r="560" spans="1:22" x14ac:dyDescent="0.25">
      <c r="A560" s="158" t="s">
        <v>499</v>
      </c>
      <c r="B560" s="158" t="s">
        <v>500</v>
      </c>
      <c r="C560" s="158" t="s">
        <v>88</v>
      </c>
      <c r="D560" s="158" t="s">
        <v>527</v>
      </c>
      <c r="E560" s="157">
        <v>432</v>
      </c>
      <c r="F560" s="158" t="s">
        <v>525</v>
      </c>
      <c r="G560" s="159">
        <v>1219492.8</v>
      </c>
      <c r="H560" s="159">
        <v>0</v>
      </c>
      <c r="I560" s="159">
        <v>715478.4</v>
      </c>
      <c r="J560" s="159">
        <v>58.7</v>
      </c>
      <c r="K560" t="str">
        <f>VLOOKUP($C560,Lists!$C$3:$M$118,7,FALSE)</f>
        <v>SOBO_PET</v>
      </c>
      <c r="S560" s="4"/>
      <c r="T560" s="4"/>
      <c r="U560" s="5"/>
      <c r="V560" s="5"/>
    </row>
    <row r="561" spans="1:22" x14ac:dyDescent="0.25">
      <c r="A561" s="158" t="s">
        <v>499</v>
      </c>
      <c r="B561" s="158" t="s">
        <v>500</v>
      </c>
      <c r="C561" s="158" t="s">
        <v>45</v>
      </c>
      <c r="D561" s="158" t="s">
        <v>46</v>
      </c>
      <c r="E561" s="157">
        <v>719</v>
      </c>
      <c r="F561" s="158" t="s">
        <v>525</v>
      </c>
      <c r="G561" s="159">
        <v>2845823.57</v>
      </c>
      <c r="H561" s="159">
        <v>0</v>
      </c>
      <c r="I561" s="159">
        <v>1401668.93</v>
      </c>
      <c r="J561" s="159">
        <v>49.3</v>
      </c>
      <c r="K561" t="str">
        <f>VLOOKUP($C561,Lists!$C$3:$M$118,7,FALSE)</f>
        <v>SOBO_RGB</v>
      </c>
      <c r="S561" s="4"/>
      <c r="T561" s="4"/>
      <c r="U561" s="5"/>
      <c r="V561" s="5"/>
    </row>
    <row r="562" spans="1:22" x14ac:dyDescent="0.25">
      <c r="A562" s="158" t="s">
        <v>499</v>
      </c>
      <c r="B562" s="158" t="s">
        <v>500</v>
      </c>
      <c r="C562" s="158" t="s">
        <v>47</v>
      </c>
      <c r="D562" s="158" t="s">
        <v>48</v>
      </c>
      <c r="E562" s="157">
        <v>791</v>
      </c>
      <c r="F562" s="158" t="s">
        <v>525</v>
      </c>
      <c r="G562" s="159">
        <v>3130801.73</v>
      </c>
      <c r="H562" s="159">
        <v>0</v>
      </c>
      <c r="I562" s="159">
        <v>1366318.03</v>
      </c>
      <c r="J562" s="159">
        <v>43.6</v>
      </c>
      <c r="K562" t="str">
        <f>VLOOKUP($C562,Lists!$C$3:$M$118,7,FALSE)</f>
        <v>COKE_RGB</v>
      </c>
      <c r="S562" s="4"/>
      <c r="T562" s="4"/>
      <c r="U562" s="5"/>
      <c r="V562" s="5"/>
    </row>
    <row r="563" spans="1:22" x14ac:dyDescent="0.25">
      <c r="A563" s="158" t="s">
        <v>499</v>
      </c>
      <c r="B563" s="158" t="s">
        <v>500</v>
      </c>
      <c r="C563" s="158" t="s">
        <v>68</v>
      </c>
      <c r="D563" s="158" t="s">
        <v>534</v>
      </c>
      <c r="E563" s="157">
        <v>576</v>
      </c>
      <c r="F563" s="158" t="s">
        <v>525</v>
      </c>
      <c r="G563" s="159">
        <v>1625990.4</v>
      </c>
      <c r="H563" s="159">
        <v>0</v>
      </c>
      <c r="I563" s="159">
        <v>792322.56000000006</v>
      </c>
      <c r="J563" s="159">
        <v>48.7</v>
      </c>
      <c r="K563" t="str">
        <f>VLOOKUP($C563,Lists!$C$3:$M$118,7,FALSE)</f>
        <v>COKE_PET</v>
      </c>
      <c r="S563" s="4"/>
      <c r="T563" s="4"/>
      <c r="U563" s="5"/>
      <c r="V563" s="5"/>
    </row>
    <row r="564" spans="1:22" x14ac:dyDescent="0.25">
      <c r="A564" s="158" t="s">
        <v>499</v>
      </c>
      <c r="B564" s="158" t="s">
        <v>500</v>
      </c>
      <c r="C564" s="158" t="s">
        <v>49</v>
      </c>
      <c r="D564" s="158" t="s">
        <v>50</v>
      </c>
      <c r="E564" s="157">
        <v>288</v>
      </c>
      <c r="F564" s="158" t="s">
        <v>525</v>
      </c>
      <c r="G564" s="159">
        <v>2887885.44</v>
      </c>
      <c r="H564" s="159">
        <v>0</v>
      </c>
      <c r="I564" s="159">
        <v>919791.36</v>
      </c>
      <c r="J564" s="159">
        <v>31.8</v>
      </c>
      <c r="K564" t="str">
        <f>VLOOKUP($C564,Lists!$C$3:$M$118,7,FALSE)</f>
        <v>Squash</v>
      </c>
      <c r="S564" s="4"/>
      <c r="T564" s="4"/>
      <c r="U564" s="5"/>
      <c r="V564" s="5"/>
    </row>
    <row r="565" spans="1:22" x14ac:dyDescent="0.25">
      <c r="A565" s="158" t="s">
        <v>499</v>
      </c>
      <c r="B565" s="158" t="s">
        <v>500</v>
      </c>
      <c r="C565" s="158" t="s">
        <v>51</v>
      </c>
      <c r="D565" s="158" t="s">
        <v>52</v>
      </c>
      <c r="E565" s="157">
        <v>288</v>
      </c>
      <c r="F565" s="158" t="s">
        <v>525</v>
      </c>
      <c r="G565" s="159">
        <v>2887885.44</v>
      </c>
      <c r="H565" s="159">
        <v>0</v>
      </c>
      <c r="I565" s="159">
        <v>912104.64</v>
      </c>
      <c r="J565" s="159">
        <v>31.6</v>
      </c>
      <c r="K565" t="str">
        <f>VLOOKUP($C565,Lists!$C$3:$M$118,7,FALSE)</f>
        <v>Squash</v>
      </c>
      <c r="S565" s="4"/>
      <c r="T565" s="4"/>
      <c r="U565" s="5"/>
      <c r="V565" s="5"/>
    </row>
    <row r="566" spans="1:22" x14ac:dyDescent="0.25">
      <c r="A566" s="158" t="s">
        <v>499</v>
      </c>
      <c r="B566" s="158" t="s">
        <v>500</v>
      </c>
      <c r="C566" s="158" t="s">
        <v>26</v>
      </c>
      <c r="D566" s="158" t="s">
        <v>27</v>
      </c>
      <c r="E566" s="157">
        <v>288</v>
      </c>
      <c r="F566" s="158" t="s">
        <v>525</v>
      </c>
      <c r="G566" s="159">
        <v>628531.19999999995</v>
      </c>
      <c r="H566" s="159">
        <v>0</v>
      </c>
      <c r="I566" s="159">
        <v>277102.08000000002</v>
      </c>
      <c r="J566" s="159">
        <v>44.1</v>
      </c>
      <c r="K566" t="str">
        <f>VLOOKUP($C566,Lists!$C$3:$M$118,7,FALSE)</f>
        <v>Water</v>
      </c>
      <c r="S566" s="4"/>
      <c r="T566" s="4"/>
      <c r="U566" s="5"/>
      <c r="V566" s="5"/>
    </row>
    <row r="567" spans="1:22" x14ac:dyDescent="0.25">
      <c r="A567" s="158" t="s">
        <v>564</v>
      </c>
      <c r="B567" s="158" t="s">
        <v>516</v>
      </c>
      <c r="C567" s="158" t="s">
        <v>69</v>
      </c>
      <c r="D567" s="158" t="s">
        <v>70</v>
      </c>
      <c r="E567" s="157">
        <v>48</v>
      </c>
      <c r="F567" s="158" t="s">
        <v>525</v>
      </c>
      <c r="G567" s="159">
        <v>370815.36</v>
      </c>
      <c r="H567" s="159">
        <v>0</v>
      </c>
      <c r="I567" s="159">
        <v>155535.35999999999</v>
      </c>
      <c r="J567" s="159">
        <v>41.9</v>
      </c>
      <c r="K567" t="str">
        <f>VLOOKUP($C567,Lists!$C$3:$M$118,7,FALSE)</f>
        <v>Alcomix</v>
      </c>
      <c r="S567" s="4"/>
      <c r="T567" s="4"/>
      <c r="U567" s="5"/>
      <c r="V567" s="5"/>
    </row>
    <row r="568" spans="1:22" x14ac:dyDescent="0.25">
      <c r="A568" s="158" t="s">
        <v>564</v>
      </c>
      <c r="B568" s="158" t="s">
        <v>516</v>
      </c>
      <c r="C568" s="158" t="s">
        <v>41</v>
      </c>
      <c r="D568" s="158" t="s">
        <v>42</v>
      </c>
      <c r="E568" s="157">
        <v>191</v>
      </c>
      <c r="F568" s="158" t="s">
        <v>525</v>
      </c>
      <c r="G568" s="159">
        <v>1475536.12</v>
      </c>
      <c r="H568" s="159">
        <v>0</v>
      </c>
      <c r="I568" s="159">
        <v>618901.12</v>
      </c>
      <c r="J568" s="159">
        <v>41.9</v>
      </c>
      <c r="K568" t="str">
        <f>VLOOKUP($C568,Lists!$C$3:$M$118,7,FALSE)</f>
        <v>Alcomix</v>
      </c>
      <c r="S568" s="4"/>
      <c r="T568" s="4"/>
      <c r="U568" s="5"/>
      <c r="V568" s="5"/>
    </row>
    <row r="569" spans="1:22" x14ac:dyDescent="0.25">
      <c r="A569" s="158" t="s">
        <v>564</v>
      </c>
      <c r="B569" s="158" t="s">
        <v>516</v>
      </c>
      <c r="C569" s="158" t="s">
        <v>10</v>
      </c>
      <c r="D569" s="158" t="s">
        <v>11</v>
      </c>
      <c r="E569" s="157">
        <v>420</v>
      </c>
      <c r="F569" s="158" t="s">
        <v>525</v>
      </c>
      <c r="G569" s="159">
        <v>3244634.4</v>
      </c>
      <c r="H569" s="159">
        <v>0</v>
      </c>
      <c r="I569" s="159">
        <v>1360934.4</v>
      </c>
      <c r="J569" s="159">
        <v>41.9</v>
      </c>
      <c r="K569" t="str">
        <f>VLOOKUP($C569,Lists!$C$3:$M$118,7,FALSE)</f>
        <v>Alcomix</v>
      </c>
      <c r="S569" s="4"/>
      <c r="T569" s="4"/>
      <c r="U569" s="5"/>
      <c r="V569" s="5"/>
    </row>
    <row r="570" spans="1:22" x14ac:dyDescent="0.25">
      <c r="A570" s="158" t="s">
        <v>564</v>
      </c>
      <c r="B570" s="158" t="s">
        <v>516</v>
      </c>
      <c r="C570" s="158" t="s">
        <v>71</v>
      </c>
      <c r="D570" s="158" t="s">
        <v>553</v>
      </c>
      <c r="E570" s="157">
        <v>48</v>
      </c>
      <c r="F570" s="158" t="s">
        <v>525</v>
      </c>
      <c r="G570" s="159">
        <v>370815.36</v>
      </c>
      <c r="H570" s="159">
        <v>0</v>
      </c>
      <c r="I570" s="159">
        <v>155535.35999999999</v>
      </c>
      <c r="J570" s="159">
        <v>41.9</v>
      </c>
      <c r="K570" t="str">
        <f>VLOOKUP($C570,Lists!$C$3:$M$118,7,FALSE)</f>
        <v>Alcomix</v>
      </c>
      <c r="S570" s="4"/>
      <c r="T570" s="4"/>
      <c r="U570" s="5"/>
      <c r="V570" s="5"/>
    </row>
    <row r="571" spans="1:22" x14ac:dyDescent="0.25">
      <c r="A571" s="158" t="s">
        <v>564</v>
      </c>
      <c r="B571" s="158" t="s">
        <v>516</v>
      </c>
      <c r="C571" s="158" t="s">
        <v>12</v>
      </c>
      <c r="D571" s="158" t="s">
        <v>13</v>
      </c>
      <c r="E571" s="157">
        <v>5165</v>
      </c>
      <c r="F571" s="158" t="s">
        <v>525</v>
      </c>
      <c r="G571" s="159">
        <v>33251082.050000001</v>
      </c>
      <c r="H571" s="159">
        <v>0</v>
      </c>
      <c r="I571" s="159">
        <v>14531830.789999999</v>
      </c>
      <c r="J571" s="159">
        <v>43.7</v>
      </c>
      <c r="K571" t="str">
        <f>VLOOKUP($C571,Lists!$C$3:$M$118,7,FALSE)</f>
        <v>Beers</v>
      </c>
      <c r="S571" s="4"/>
      <c r="T571" s="4"/>
      <c r="U571" s="5"/>
      <c r="V571" s="5"/>
    </row>
    <row r="572" spans="1:22" x14ac:dyDescent="0.25">
      <c r="A572" s="158" t="s">
        <v>564</v>
      </c>
      <c r="B572" s="158" t="s">
        <v>516</v>
      </c>
      <c r="C572" s="158" t="s">
        <v>14</v>
      </c>
      <c r="D572" s="158" t="s">
        <v>15</v>
      </c>
      <c r="E572" s="157">
        <v>3205</v>
      </c>
      <c r="F572" s="158" t="s">
        <v>525</v>
      </c>
      <c r="G572" s="159">
        <v>24759650.600000001</v>
      </c>
      <c r="H572" s="159">
        <v>0</v>
      </c>
      <c r="I572" s="159">
        <v>12226882.699999999</v>
      </c>
      <c r="J572" s="159">
        <v>49.4</v>
      </c>
      <c r="K572" t="str">
        <f>VLOOKUP($C572,Lists!$C$3:$M$118,7,FALSE)</f>
        <v>Beers</v>
      </c>
      <c r="S572" s="4"/>
      <c r="T572" s="4"/>
      <c r="U572" s="5"/>
      <c r="V572" s="5"/>
    </row>
    <row r="573" spans="1:22" x14ac:dyDescent="0.25">
      <c r="A573" s="158" t="s">
        <v>564</v>
      </c>
      <c r="B573" s="158" t="s">
        <v>516</v>
      </c>
      <c r="C573" s="158" t="s">
        <v>16</v>
      </c>
      <c r="D573" s="158" t="s">
        <v>17</v>
      </c>
      <c r="E573" s="157">
        <v>3461</v>
      </c>
      <c r="F573" s="158" t="s">
        <v>525</v>
      </c>
      <c r="G573" s="159">
        <v>26737332.52</v>
      </c>
      <c r="H573" s="159">
        <v>0</v>
      </c>
      <c r="I573" s="159">
        <v>13203507.34</v>
      </c>
      <c r="J573" s="159">
        <v>49.4</v>
      </c>
      <c r="K573" t="str">
        <f>VLOOKUP($C573,Lists!$C$3:$M$118,7,FALSE)</f>
        <v>Beers</v>
      </c>
      <c r="S573" s="4"/>
      <c r="T573" s="4"/>
      <c r="U573" s="5"/>
      <c r="V573" s="5"/>
    </row>
    <row r="574" spans="1:22" x14ac:dyDescent="0.25">
      <c r="A574" s="158" t="s">
        <v>564</v>
      </c>
      <c r="B574" s="158" t="s">
        <v>516</v>
      </c>
      <c r="C574" s="158" t="s">
        <v>18</v>
      </c>
      <c r="D574" s="158" t="s">
        <v>19</v>
      </c>
      <c r="E574" s="157">
        <v>418</v>
      </c>
      <c r="F574" s="158" t="s">
        <v>525</v>
      </c>
      <c r="G574" s="159">
        <v>4305579.74</v>
      </c>
      <c r="H574" s="159">
        <v>0</v>
      </c>
      <c r="I574" s="159">
        <v>2232508.7400000002</v>
      </c>
      <c r="J574" s="159">
        <v>51.9</v>
      </c>
      <c r="K574" t="str">
        <f>VLOOKUP($C574,Lists!$C$3:$M$118,7,FALSE)</f>
        <v>Beers</v>
      </c>
      <c r="S574" s="4"/>
      <c r="T574" s="4"/>
      <c r="U574" s="5"/>
      <c r="V574" s="5"/>
    </row>
    <row r="575" spans="1:22" x14ac:dyDescent="0.25">
      <c r="A575" s="158" t="s">
        <v>564</v>
      </c>
      <c r="B575" s="158" t="s">
        <v>516</v>
      </c>
      <c r="C575" s="158" t="s">
        <v>20</v>
      </c>
      <c r="D575" s="158" t="s">
        <v>21</v>
      </c>
      <c r="E575" s="157">
        <v>5390</v>
      </c>
      <c r="F575" s="158" t="s">
        <v>525</v>
      </c>
      <c r="G575" s="159">
        <v>21333781.699999999</v>
      </c>
      <c r="H575" s="159">
        <v>0</v>
      </c>
      <c r="I575" s="159">
        <v>8965348.6999999993</v>
      </c>
      <c r="J575" s="159">
        <v>42</v>
      </c>
      <c r="K575" t="str">
        <f>VLOOKUP($C575,Lists!$C$3:$M$118,7,FALSE)</f>
        <v>COKE_RGB</v>
      </c>
      <c r="S575" s="4"/>
      <c r="T575" s="4"/>
      <c r="U575" s="5"/>
      <c r="V575" s="5"/>
    </row>
    <row r="576" spans="1:22" x14ac:dyDescent="0.25">
      <c r="A576" s="158" t="s">
        <v>564</v>
      </c>
      <c r="B576" s="158" t="s">
        <v>516</v>
      </c>
      <c r="C576" s="158" t="s">
        <v>28</v>
      </c>
      <c r="D576" s="158" t="s">
        <v>530</v>
      </c>
      <c r="E576" s="157">
        <v>574</v>
      </c>
      <c r="F576" s="158" t="s">
        <v>525</v>
      </c>
      <c r="G576" s="159">
        <v>1620344.6</v>
      </c>
      <c r="H576" s="159">
        <v>0</v>
      </c>
      <c r="I576" s="159">
        <v>817289.9</v>
      </c>
      <c r="J576" s="159">
        <v>50.4</v>
      </c>
      <c r="K576" t="str">
        <f>VLOOKUP($C576,Lists!$C$3:$M$118,7,FALSE)</f>
        <v>COKE_PET</v>
      </c>
      <c r="S576" s="4"/>
      <c r="T576" s="4"/>
      <c r="U576" s="5"/>
      <c r="V576" s="5"/>
    </row>
    <row r="577" spans="1:22" x14ac:dyDescent="0.25">
      <c r="A577" s="158" t="s">
        <v>564</v>
      </c>
      <c r="B577" s="158" t="s">
        <v>516</v>
      </c>
      <c r="C577" s="158" t="s">
        <v>58</v>
      </c>
      <c r="D577" s="158" t="s">
        <v>537</v>
      </c>
      <c r="E577" s="157">
        <v>863</v>
      </c>
      <c r="F577" s="158" t="s">
        <v>525</v>
      </c>
      <c r="G577" s="159">
        <v>2088140.69</v>
      </c>
      <c r="H577" s="159">
        <v>0</v>
      </c>
      <c r="I577" s="159">
        <v>1156911.9099999999</v>
      </c>
      <c r="J577" s="159">
        <v>55.4</v>
      </c>
      <c r="K577" t="str">
        <f>VLOOKUP($C577,Lists!$C$3:$M$118,7,FALSE)</f>
        <v>SOBO_PET</v>
      </c>
      <c r="S577" s="4"/>
      <c r="T577" s="4"/>
      <c r="U577" s="5"/>
      <c r="V577" s="5"/>
    </row>
    <row r="578" spans="1:22" x14ac:dyDescent="0.25">
      <c r="A578" s="158" t="s">
        <v>564</v>
      </c>
      <c r="B578" s="158" t="s">
        <v>516</v>
      </c>
      <c r="C578" s="158" t="s">
        <v>43</v>
      </c>
      <c r="D578" s="158" t="s">
        <v>44</v>
      </c>
      <c r="E578" s="157">
        <v>764</v>
      </c>
      <c r="F578" s="158" t="s">
        <v>525</v>
      </c>
      <c r="G578" s="159">
        <v>5902144.4800000004</v>
      </c>
      <c r="H578" s="159">
        <v>0</v>
      </c>
      <c r="I578" s="159">
        <v>2914614.16</v>
      </c>
      <c r="J578" s="159">
        <v>49.4</v>
      </c>
      <c r="K578" t="str">
        <f>VLOOKUP($C578,Lists!$C$3:$M$118,7,FALSE)</f>
        <v>Beers</v>
      </c>
      <c r="S578" s="4"/>
      <c r="T578" s="4"/>
      <c r="U578" s="5"/>
      <c r="V578" s="5"/>
    </row>
    <row r="579" spans="1:22" x14ac:dyDescent="0.25">
      <c r="A579" s="158" t="s">
        <v>564</v>
      </c>
      <c r="B579" s="158" t="s">
        <v>516</v>
      </c>
      <c r="C579" s="158" t="s">
        <v>59</v>
      </c>
      <c r="D579" s="158" t="s">
        <v>60</v>
      </c>
      <c r="E579" s="157">
        <v>838</v>
      </c>
      <c r="F579" s="158" t="s">
        <v>525</v>
      </c>
      <c r="G579" s="159">
        <v>3316829.14</v>
      </c>
      <c r="H579" s="159">
        <v>0</v>
      </c>
      <c r="I579" s="159">
        <v>1350504.04</v>
      </c>
      <c r="J579" s="159">
        <v>40.700000000000003</v>
      </c>
      <c r="K579" t="str">
        <f>VLOOKUP($C579,Lists!$C$3:$M$118,7,FALSE)</f>
        <v>COKE_RGB</v>
      </c>
      <c r="S579" s="4"/>
      <c r="T579" s="4"/>
      <c r="U579" s="5"/>
      <c r="V579" s="5"/>
    </row>
    <row r="580" spans="1:22" x14ac:dyDescent="0.25">
      <c r="A580" s="158" t="s">
        <v>564</v>
      </c>
      <c r="B580" s="158" t="s">
        <v>516</v>
      </c>
      <c r="C580" s="158" t="s">
        <v>22</v>
      </c>
      <c r="D580" s="158" t="s">
        <v>23</v>
      </c>
      <c r="E580" s="157">
        <v>3313</v>
      </c>
      <c r="F580" s="158" t="s">
        <v>525</v>
      </c>
      <c r="G580" s="159">
        <v>13112953.390000001</v>
      </c>
      <c r="H580" s="159">
        <v>0</v>
      </c>
      <c r="I580" s="159">
        <v>5282777.28</v>
      </c>
      <c r="J580" s="159">
        <v>40.299999999999997</v>
      </c>
      <c r="K580" t="str">
        <f>VLOOKUP($C580,Lists!$C$3:$M$118,7,FALSE)</f>
        <v>COKE_RGB</v>
      </c>
      <c r="S580" s="4"/>
      <c r="T580" s="4"/>
      <c r="U580" s="5"/>
      <c r="V580" s="5"/>
    </row>
    <row r="581" spans="1:22" x14ac:dyDescent="0.25">
      <c r="A581" s="158" t="s">
        <v>564</v>
      </c>
      <c r="B581" s="158" t="s">
        <v>516</v>
      </c>
      <c r="C581" s="158" t="s">
        <v>67</v>
      </c>
      <c r="D581" s="158" t="s">
        <v>533</v>
      </c>
      <c r="E581" s="157">
        <v>864</v>
      </c>
      <c r="F581" s="158" t="s">
        <v>525</v>
      </c>
      <c r="G581" s="159">
        <v>2438985.6</v>
      </c>
      <c r="H581" s="159">
        <v>0</v>
      </c>
      <c r="I581" s="159">
        <v>1199767.68</v>
      </c>
      <c r="J581" s="159">
        <v>49.2</v>
      </c>
      <c r="K581" t="str">
        <f>VLOOKUP($C581,Lists!$C$3:$M$118,7,FALSE)</f>
        <v>COKE_PET</v>
      </c>
      <c r="S581" s="4"/>
      <c r="T581" s="4"/>
      <c r="U581" s="5"/>
      <c r="V581" s="5"/>
    </row>
    <row r="582" spans="1:22" x14ac:dyDescent="0.25">
      <c r="A582" s="158" t="s">
        <v>564</v>
      </c>
      <c r="B582" s="158" t="s">
        <v>516</v>
      </c>
      <c r="C582" s="158" t="s">
        <v>261</v>
      </c>
      <c r="D582" s="158" t="s">
        <v>538</v>
      </c>
      <c r="E582" s="157">
        <v>286</v>
      </c>
      <c r="F582" s="158" t="s">
        <v>525</v>
      </c>
      <c r="G582" s="159">
        <v>1131996.58</v>
      </c>
      <c r="H582" s="159">
        <v>0</v>
      </c>
      <c r="I582" s="159">
        <v>456044.16</v>
      </c>
      <c r="J582" s="159">
        <v>40.299999999999997</v>
      </c>
      <c r="K582" t="str">
        <f>VLOOKUP($C582,Lists!$C$3:$M$118,7,FALSE)</f>
        <v>COKE_RGB</v>
      </c>
      <c r="S582" s="4"/>
      <c r="T582" s="4"/>
      <c r="U582" s="5"/>
      <c r="V582" s="5"/>
    </row>
    <row r="583" spans="1:22" x14ac:dyDescent="0.25">
      <c r="A583" s="158" t="s">
        <v>564</v>
      </c>
      <c r="B583" s="158" t="s">
        <v>516</v>
      </c>
      <c r="C583" s="158" t="s">
        <v>24</v>
      </c>
      <c r="D583" s="158" t="s">
        <v>25</v>
      </c>
      <c r="E583" s="157">
        <v>1185</v>
      </c>
      <c r="F583" s="158" t="s">
        <v>525</v>
      </c>
      <c r="G583" s="159">
        <v>7628757.4500000002</v>
      </c>
      <c r="H583" s="159">
        <v>0</v>
      </c>
      <c r="I583" s="159">
        <v>3673073.37</v>
      </c>
      <c r="J583" s="159">
        <v>48.1</v>
      </c>
      <c r="K583" t="str">
        <f>VLOOKUP($C583,Lists!$C$3:$M$118,7,FALSE)</f>
        <v>Beers</v>
      </c>
      <c r="S583" s="4"/>
      <c r="T583" s="4"/>
      <c r="U583" s="5"/>
      <c r="V583" s="5"/>
    </row>
    <row r="584" spans="1:22" x14ac:dyDescent="0.25">
      <c r="A584" s="158" t="s">
        <v>564</v>
      </c>
      <c r="B584" s="158" t="s">
        <v>516</v>
      </c>
      <c r="C584" s="158" t="s">
        <v>29</v>
      </c>
      <c r="D584" s="158" t="s">
        <v>30</v>
      </c>
      <c r="E584" s="157">
        <v>40</v>
      </c>
      <c r="F584" s="158" t="s">
        <v>525</v>
      </c>
      <c r="G584" s="159">
        <v>1455375.6</v>
      </c>
      <c r="H584" s="159">
        <v>0</v>
      </c>
      <c r="I584" s="159">
        <v>415375.6</v>
      </c>
      <c r="J584" s="159">
        <v>28.5</v>
      </c>
      <c r="K584" t="str">
        <f>VLOOKUP($C584,Lists!$C$3:$M$118,7,FALSE)</f>
        <v>Spirits</v>
      </c>
      <c r="S584" s="4"/>
      <c r="T584" s="4"/>
      <c r="U584" s="5"/>
      <c r="V584" s="5"/>
    </row>
    <row r="585" spans="1:22" x14ac:dyDescent="0.25">
      <c r="A585" s="158" t="s">
        <v>564</v>
      </c>
      <c r="B585" s="158" t="s">
        <v>516</v>
      </c>
      <c r="C585" s="158" t="s">
        <v>31</v>
      </c>
      <c r="D585" s="158" t="s">
        <v>32</v>
      </c>
      <c r="E585" s="157">
        <v>10</v>
      </c>
      <c r="F585" s="158" t="s">
        <v>525</v>
      </c>
      <c r="G585" s="159">
        <v>341567.8</v>
      </c>
      <c r="H585" s="159">
        <v>0</v>
      </c>
      <c r="I585" s="159">
        <v>101567.8</v>
      </c>
      <c r="J585" s="159">
        <v>29.7</v>
      </c>
      <c r="K585" t="str">
        <f>VLOOKUP($C585,Lists!$C$3:$M$118,7,FALSE)</f>
        <v>Spirits</v>
      </c>
      <c r="S585" s="4"/>
      <c r="T585" s="4"/>
      <c r="U585" s="5"/>
      <c r="V585" s="5"/>
    </row>
    <row r="586" spans="1:22" x14ac:dyDescent="0.25">
      <c r="A586" s="158" t="s">
        <v>564</v>
      </c>
      <c r="B586" s="158" t="s">
        <v>516</v>
      </c>
      <c r="C586" s="158" t="s">
        <v>33</v>
      </c>
      <c r="D586" s="158" t="s">
        <v>34</v>
      </c>
      <c r="E586" s="157">
        <v>19</v>
      </c>
      <c r="F586" s="158" t="s">
        <v>525</v>
      </c>
      <c r="G586" s="159">
        <v>1058117.6000000001</v>
      </c>
      <c r="H586" s="159">
        <v>0</v>
      </c>
      <c r="I586" s="159">
        <v>203117.6</v>
      </c>
      <c r="J586" s="159">
        <v>19.2</v>
      </c>
      <c r="K586" t="str">
        <f>VLOOKUP($C586,Lists!$C$3:$M$118,7,FALSE)</f>
        <v>Spirits</v>
      </c>
      <c r="S586" s="4"/>
      <c r="T586" s="4"/>
      <c r="U586" s="5"/>
      <c r="V586" s="5"/>
    </row>
    <row r="587" spans="1:22" x14ac:dyDescent="0.25">
      <c r="A587" s="158" t="s">
        <v>564</v>
      </c>
      <c r="B587" s="158" t="s">
        <v>516</v>
      </c>
      <c r="C587" s="158" t="s">
        <v>37</v>
      </c>
      <c r="D587" s="158" t="s">
        <v>38</v>
      </c>
      <c r="E587" s="157">
        <v>755</v>
      </c>
      <c r="F587" s="158" t="s">
        <v>525</v>
      </c>
      <c r="G587" s="159">
        <v>2490261.7999999998</v>
      </c>
      <c r="H587" s="159">
        <v>0</v>
      </c>
      <c r="I587" s="159">
        <v>1166603.3500000001</v>
      </c>
      <c r="J587" s="159">
        <v>46.8</v>
      </c>
      <c r="K587" t="str">
        <f>VLOOKUP($C587,Lists!$C$3:$M$118,7,FALSE)</f>
        <v>SOBO_RGB</v>
      </c>
      <c r="S587" s="4"/>
      <c r="T587" s="4"/>
      <c r="U587" s="5"/>
      <c r="V587" s="5"/>
    </row>
    <row r="588" spans="1:22" x14ac:dyDescent="0.25">
      <c r="A588" s="158" t="s">
        <v>564</v>
      </c>
      <c r="B588" s="158" t="s">
        <v>516</v>
      </c>
      <c r="C588" s="158" t="s">
        <v>39</v>
      </c>
      <c r="D588" s="158" t="s">
        <v>40</v>
      </c>
      <c r="E588" s="157">
        <v>680</v>
      </c>
      <c r="F588" s="158" t="s">
        <v>525</v>
      </c>
      <c r="G588" s="159">
        <v>2242884.7999999998</v>
      </c>
      <c r="H588" s="159">
        <v>0</v>
      </c>
      <c r="I588" s="159">
        <v>1041426.8</v>
      </c>
      <c r="J588" s="159">
        <v>46.4</v>
      </c>
      <c r="K588" t="str">
        <f>VLOOKUP($C588,Lists!$C$3:$M$118,7,FALSE)</f>
        <v>SOBO_RGB</v>
      </c>
      <c r="S588" s="4"/>
      <c r="T588" s="4"/>
      <c r="U588" s="5"/>
      <c r="V588" s="5"/>
    </row>
    <row r="589" spans="1:22" x14ac:dyDescent="0.25">
      <c r="A589" s="158" t="s">
        <v>564</v>
      </c>
      <c r="B589" s="158" t="s">
        <v>516</v>
      </c>
      <c r="C589" s="158" t="s">
        <v>88</v>
      </c>
      <c r="D589" s="158" t="s">
        <v>527</v>
      </c>
      <c r="E589" s="157">
        <v>718</v>
      </c>
      <c r="F589" s="158" t="s">
        <v>525</v>
      </c>
      <c r="G589" s="159">
        <v>2026842.2</v>
      </c>
      <c r="H589" s="159">
        <v>0</v>
      </c>
      <c r="I589" s="159">
        <v>1189151.6000000001</v>
      </c>
      <c r="J589" s="159">
        <v>58.7</v>
      </c>
      <c r="K589" t="str">
        <f>VLOOKUP($C589,Lists!$C$3:$M$118,7,FALSE)</f>
        <v>SOBO_PET</v>
      </c>
      <c r="S589" s="4"/>
      <c r="T589" s="4"/>
      <c r="U589" s="5"/>
      <c r="V589" s="5"/>
    </row>
    <row r="590" spans="1:22" x14ac:dyDescent="0.25">
      <c r="A590" s="158" t="s">
        <v>564</v>
      </c>
      <c r="B590" s="158" t="s">
        <v>516</v>
      </c>
      <c r="C590" s="158" t="s">
        <v>45</v>
      </c>
      <c r="D590" s="158" t="s">
        <v>46</v>
      </c>
      <c r="E590" s="157">
        <v>789</v>
      </c>
      <c r="F590" s="158" t="s">
        <v>525</v>
      </c>
      <c r="G590" s="159">
        <v>3122885.67</v>
      </c>
      <c r="H590" s="159">
        <v>0</v>
      </c>
      <c r="I590" s="159">
        <v>1538131.83</v>
      </c>
      <c r="J590" s="159">
        <v>49.3</v>
      </c>
      <c r="K590" t="str">
        <f>VLOOKUP($C590,Lists!$C$3:$M$118,7,FALSE)</f>
        <v>SOBO_RGB</v>
      </c>
      <c r="S590" s="4"/>
      <c r="T590" s="4"/>
      <c r="U590" s="5"/>
      <c r="V590" s="5"/>
    </row>
    <row r="591" spans="1:22" x14ac:dyDescent="0.25">
      <c r="A591" s="158" t="s">
        <v>564</v>
      </c>
      <c r="B591" s="158" t="s">
        <v>516</v>
      </c>
      <c r="C591" s="158" t="s">
        <v>47</v>
      </c>
      <c r="D591" s="158" t="s">
        <v>48</v>
      </c>
      <c r="E591" s="157">
        <v>693</v>
      </c>
      <c r="F591" s="158" t="s">
        <v>525</v>
      </c>
      <c r="G591" s="159">
        <v>2742914.79</v>
      </c>
      <c r="H591" s="159">
        <v>0</v>
      </c>
      <c r="I591" s="159">
        <v>1197039.69</v>
      </c>
      <c r="J591" s="159">
        <v>43.6</v>
      </c>
      <c r="K591" t="str">
        <f>VLOOKUP($C591,Lists!$C$3:$M$118,7,FALSE)</f>
        <v>COKE_RGB</v>
      </c>
      <c r="S591" s="4"/>
      <c r="T591" s="4"/>
      <c r="U591" s="5"/>
      <c r="V591" s="5"/>
    </row>
    <row r="592" spans="1:22" x14ac:dyDescent="0.25">
      <c r="A592" s="158" t="s">
        <v>564</v>
      </c>
      <c r="B592" s="158" t="s">
        <v>516</v>
      </c>
      <c r="C592" s="158" t="s">
        <v>49</v>
      </c>
      <c r="D592" s="158" t="s">
        <v>50</v>
      </c>
      <c r="E592" s="157">
        <v>144</v>
      </c>
      <c r="F592" s="158" t="s">
        <v>525</v>
      </c>
      <c r="G592" s="159">
        <v>1443942.72</v>
      </c>
      <c r="H592" s="159">
        <v>0</v>
      </c>
      <c r="I592" s="159">
        <v>459895.68</v>
      </c>
      <c r="J592" s="159">
        <v>31.8</v>
      </c>
      <c r="K592" t="str">
        <f>VLOOKUP($C592,Lists!$C$3:$M$118,7,FALSE)</f>
        <v>Squash</v>
      </c>
      <c r="S592" s="4"/>
      <c r="T592" s="4"/>
      <c r="U592" s="5"/>
      <c r="V592" s="5"/>
    </row>
    <row r="593" spans="1:22" x14ac:dyDescent="0.25">
      <c r="A593" s="158" t="s">
        <v>564</v>
      </c>
      <c r="B593" s="158" t="s">
        <v>516</v>
      </c>
      <c r="C593" s="158" t="s">
        <v>51</v>
      </c>
      <c r="D593" s="158" t="s">
        <v>52</v>
      </c>
      <c r="E593" s="157">
        <v>144</v>
      </c>
      <c r="F593" s="158" t="s">
        <v>525</v>
      </c>
      <c r="G593" s="159">
        <v>1443942.72</v>
      </c>
      <c r="H593" s="159">
        <v>0</v>
      </c>
      <c r="I593" s="159">
        <v>456052.32</v>
      </c>
      <c r="J593" s="159">
        <v>31.6</v>
      </c>
      <c r="K593" t="str">
        <f>VLOOKUP($C593,Lists!$C$3:$M$118,7,FALSE)</f>
        <v>Squash</v>
      </c>
      <c r="S593" s="4"/>
      <c r="T593" s="4"/>
      <c r="U593" s="5"/>
      <c r="V593" s="5"/>
    </row>
    <row r="594" spans="1:22" x14ac:dyDescent="0.25">
      <c r="A594" s="158" t="s">
        <v>565</v>
      </c>
      <c r="B594" s="158" t="s">
        <v>517</v>
      </c>
      <c r="C594" s="158" t="s">
        <v>69</v>
      </c>
      <c r="D594" s="158" t="s">
        <v>70</v>
      </c>
      <c r="E594" s="157">
        <v>36</v>
      </c>
      <c r="F594" s="158" t="s">
        <v>525</v>
      </c>
      <c r="G594" s="159">
        <v>278111.52</v>
      </c>
      <c r="H594" s="159">
        <v>0</v>
      </c>
      <c r="I594" s="159">
        <v>116651.52</v>
      </c>
      <c r="J594" s="159">
        <v>41.9</v>
      </c>
      <c r="K594" t="str">
        <f>VLOOKUP($C594,Lists!$C$3:$M$118,7,FALSE)</f>
        <v>Alcomix</v>
      </c>
      <c r="S594" s="4"/>
      <c r="T594" s="4"/>
      <c r="U594" s="5"/>
      <c r="V594" s="5"/>
    </row>
    <row r="595" spans="1:22" x14ac:dyDescent="0.25">
      <c r="A595" s="158" t="s">
        <v>565</v>
      </c>
      <c r="B595" s="158" t="s">
        <v>517</v>
      </c>
      <c r="C595" s="158" t="s">
        <v>41</v>
      </c>
      <c r="D595" s="158" t="s">
        <v>42</v>
      </c>
      <c r="E595" s="157">
        <v>72</v>
      </c>
      <c r="F595" s="158" t="s">
        <v>525</v>
      </c>
      <c r="G595" s="159">
        <v>556223.04</v>
      </c>
      <c r="H595" s="159">
        <v>0</v>
      </c>
      <c r="I595" s="159">
        <v>233303.04000000001</v>
      </c>
      <c r="J595" s="159">
        <v>41.9</v>
      </c>
      <c r="K595" t="str">
        <f>VLOOKUP($C595,Lists!$C$3:$M$118,7,FALSE)</f>
        <v>Alcomix</v>
      </c>
      <c r="S595" s="4"/>
      <c r="T595" s="4"/>
      <c r="U595" s="5"/>
      <c r="V595" s="5"/>
    </row>
    <row r="596" spans="1:22" x14ac:dyDescent="0.25">
      <c r="A596" s="158" t="s">
        <v>565</v>
      </c>
      <c r="B596" s="158" t="s">
        <v>517</v>
      </c>
      <c r="C596" s="158" t="s">
        <v>10</v>
      </c>
      <c r="D596" s="158" t="s">
        <v>11</v>
      </c>
      <c r="E596" s="157">
        <v>144</v>
      </c>
      <c r="F596" s="158" t="s">
        <v>525</v>
      </c>
      <c r="G596" s="159">
        <v>1112446.08</v>
      </c>
      <c r="H596" s="159">
        <v>0</v>
      </c>
      <c r="I596" s="159">
        <v>466606.08000000002</v>
      </c>
      <c r="J596" s="159">
        <v>41.9</v>
      </c>
      <c r="K596" t="str">
        <f>VLOOKUP($C596,Lists!$C$3:$M$118,7,FALSE)</f>
        <v>Alcomix</v>
      </c>
      <c r="S596" s="4"/>
      <c r="T596" s="4"/>
      <c r="U596" s="5"/>
      <c r="V596" s="5"/>
    </row>
    <row r="597" spans="1:22" x14ac:dyDescent="0.25">
      <c r="A597" s="158" t="s">
        <v>565</v>
      </c>
      <c r="B597" s="158" t="s">
        <v>517</v>
      </c>
      <c r="C597" s="158" t="s">
        <v>71</v>
      </c>
      <c r="D597" s="158" t="s">
        <v>553</v>
      </c>
      <c r="E597" s="157">
        <v>36</v>
      </c>
      <c r="F597" s="158" t="s">
        <v>525</v>
      </c>
      <c r="G597" s="159">
        <v>278111.52</v>
      </c>
      <c r="H597" s="159">
        <v>0</v>
      </c>
      <c r="I597" s="159">
        <v>116651.52</v>
      </c>
      <c r="J597" s="159">
        <v>41.9</v>
      </c>
      <c r="K597" t="str">
        <f>VLOOKUP($C597,Lists!$C$3:$M$118,7,FALSE)</f>
        <v>Alcomix</v>
      </c>
      <c r="S597" s="4"/>
      <c r="T597" s="4"/>
      <c r="U597" s="5"/>
      <c r="V597" s="5"/>
    </row>
    <row r="598" spans="1:22" x14ac:dyDescent="0.25">
      <c r="A598" s="158" t="s">
        <v>565</v>
      </c>
      <c r="B598" s="158" t="s">
        <v>517</v>
      </c>
      <c r="C598" s="158" t="s">
        <v>12</v>
      </c>
      <c r="D598" s="158" t="s">
        <v>13</v>
      </c>
      <c r="E598" s="157">
        <v>1800</v>
      </c>
      <c r="F598" s="158" t="s">
        <v>525</v>
      </c>
      <c r="G598" s="159">
        <v>11587986</v>
      </c>
      <c r="H598" s="159">
        <v>0</v>
      </c>
      <c r="I598" s="159">
        <v>5064336</v>
      </c>
      <c r="J598" s="159">
        <v>43.7</v>
      </c>
      <c r="K598" t="str">
        <f>VLOOKUP($C598,Lists!$C$3:$M$118,7,FALSE)</f>
        <v>Beers</v>
      </c>
      <c r="S598" s="4"/>
      <c r="T598" s="4"/>
      <c r="U598" s="5"/>
      <c r="V598" s="5"/>
    </row>
    <row r="599" spans="1:22" x14ac:dyDescent="0.25">
      <c r="A599" s="158" t="s">
        <v>565</v>
      </c>
      <c r="B599" s="158" t="s">
        <v>517</v>
      </c>
      <c r="C599" s="158" t="s">
        <v>14</v>
      </c>
      <c r="D599" s="158" t="s">
        <v>15</v>
      </c>
      <c r="E599" s="157">
        <v>1008</v>
      </c>
      <c r="F599" s="158" t="s">
        <v>525</v>
      </c>
      <c r="G599" s="159">
        <v>7787122.5599999996</v>
      </c>
      <c r="H599" s="159">
        <v>0</v>
      </c>
      <c r="I599" s="159">
        <v>3845459.52</v>
      </c>
      <c r="J599" s="159">
        <v>49.4</v>
      </c>
      <c r="K599" t="str">
        <f>VLOOKUP($C599,Lists!$C$3:$M$118,7,FALSE)</f>
        <v>Beers</v>
      </c>
      <c r="S599" s="4"/>
      <c r="T599" s="4"/>
      <c r="U599" s="5"/>
      <c r="V599" s="5"/>
    </row>
    <row r="600" spans="1:22" x14ac:dyDescent="0.25">
      <c r="A600" s="158" t="s">
        <v>565</v>
      </c>
      <c r="B600" s="158" t="s">
        <v>517</v>
      </c>
      <c r="C600" s="158" t="s">
        <v>54</v>
      </c>
      <c r="D600" s="158" t="s">
        <v>55</v>
      </c>
      <c r="E600" s="157">
        <v>199</v>
      </c>
      <c r="F600" s="158" t="s">
        <v>525</v>
      </c>
      <c r="G600" s="159">
        <v>1537338.68</v>
      </c>
      <c r="H600" s="159">
        <v>0</v>
      </c>
      <c r="I600" s="159">
        <v>807058.42</v>
      </c>
      <c r="J600" s="159">
        <v>52.5</v>
      </c>
      <c r="K600" t="str">
        <f>VLOOKUP($C600,Lists!$C$3:$M$118,7,FALSE)</f>
        <v>Beers</v>
      </c>
      <c r="S600" s="4"/>
      <c r="T600" s="4"/>
      <c r="U600" s="5"/>
      <c r="V600" s="5"/>
    </row>
    <row r="601" spans="1:22" x14ac:dyDescent="0.25">
      <c r="A601" s="158" t="s">
        <v>565</v>
      </c>
      <c r="B601" s="158" t="s">
        <v>517</v>
      </c>
      <c r="C601" s="158" t="s">
        <v>16</v>
      </c>
      <c r="D601" s="158" t="s">
        <v>17</v>
      </c>
      <c r="E601" s="157">
        <v>1583</v>
      </c>
      <c r="F601" s="158" t="s">
        <v>525</v>
      </c>
      <c r="G601" s="159">
        <v>12229181.560000001</v>
      </c>
      <c r="H601" s="159">
        <v>0</v>
      </c>
      <c r="I601" s="159">
        <v>6039050.0199999996</v>
      </c>
      <c r="J601" s="159">
        <v>49.4</v>
      </c>
      <c r="K601" t="str">
        <f>VLOOKUP($C601,Lists!$C$3:$M$118,7,FALSE)</f>
        <v>Beers</v>
      </c>
      <c r="S601" s="4"/>
      <c r="T601" s="4"/>
      <c r="U601" s="5"/>
      <c r="V601" s="5"/>
    </row>
    <row r="602" spans="1:22" x14ac:dyDescent="0.25">
      <c r="A602" s="158" t="s">
        <v>565</v>
      </c>
      <c r="B602" s="158" t="s">
        <v>517</v>
      </c>
      <c r="C602" s="158" t="s">
        <v>56</v>
      </c>
      <c r="D602" s="158" t="s">
        <v>57</v>
      </c>
      <c r="E602" s="157">
        <v>100</v>
      </c>
      <c r="F602" s="158" t="s">
        <v>525</v>
      </c>
      <c r="G602" s="159">
        <v>772532</v>
      </c>
      <c r="H602" s="159">
        <v>0</v>
      </c>
      <c r="I602" s="159">
        <v>405557</v>
      </c>
      <c r="J602" s="159">
        <v>52.5</v>
      </c>
      <c r="K602" t="str">
        <f>VLOOKUP($C602,Lists!$C$3:$M$118,7,FALSE)</f>
        <v>Beers</v>
      </c>
      <c r="S602" s="4"/>
      <c r="T602" s="4"/>
      <c r="U602" s="5"/>
      <c r="V602" s="5"/>
    </row>
    <row r="603" spans="1:22" x14ac:dyDescent="0.25">
      <c r="A603" s="158" t="s">
        <v>565</v>
      </c>
      <c r="B603" s="158" t="s">
        <v>517</v>
      </c>
      <c r="C603" s="158" t="s">
        <v>18</v>
      </c>
      <c r="D603" s="158" t="s">
        <v>19</v>
      </c>
      <c r="E603" s="157">
        <v>288</v>
      </c>
      <c r="F603" s="158" t="s">
        <v>525</v>
      </c>
      <c r="G603" s="159">
        <v>2966523.84</v>
      </c>
      <c r="H603" s="159">
        <v>0</v>
      </c>
      <c r="I603" s="159">
        <v>1538187.84</v>
      </c>
      <c r="J603" s="159">
        <v>51.9</v>
      </c>
      <c r="K603" t="str">
        <f>VLOOKUP($C603,Lists!$C$3:$M$118,7,FALSE)</f>
        <v>Beers</v>
      </c>
      <c r="S603" s="4"/>
      <c r="T603" s="4"/>
      <c r="U603" s="5"/>
      <c r="V603" s="5"/>
    </row>
    <row r="604" spans="1:22" x14ac:dyDescent="0.25">
      <c r="A604" s="158" t="s">
        <v>565</v>
      </c>
      <c r="B604" s="158" t="s">
        <v>517</v>
      </c>
      <c r="C604" s="158" t="s">
        <v>20</v>
      </c>
      <c r="D604" s="158" t="s">
        <v>21</v>
      </c>
      <c r="E604" s="157">
        <v>1728</v>
      </c>
      <c r="F604" s="158" t="s">
        <v>525</v>
      </c>
      <c r="G604" s="159">
        <v>6839475.8399999999</v>
      </c>
      <c r="H604" s="159">
        <v>0</v>
      </c>
      <c r="I604" s="159">
        <v>2874234.24</v>
      </c>
      <c r="J604" s="159">
        <v>42</v>
      </c>
      <c r="K604" t="str">
        <f>VLOOKUP($C604,Lists!$C$3:$M$118,7,FALSE)</f>
        <v>COKE_RGB</v>
      </c>
      <c r="S604" s="4"/>
      <c r="T604" s="4"/>
      <c r="U604" s="5"/>
      <c r="V604" s="5"/>
    </row>
    <row r="605" spans="1:22" x14ac:dyDescent="0.25">
      <c r="A605" s="158" t="s">
        <v>565</v>
      </c>
      <c r="B605" s="158" t="s">
        <v>517</v>
      </c>
      <c r="C605" s="158" t="s">
        <v>28</v>
      </c>
      <c r="D605" s="158" t="s">
        <v>530</v>
      </c>
      <c r="E605" s="157">
        <v>288</v>
      </c>
      <c r="F605" s="158" t="s">
        <v>525</v>
      </c>
      <c r="G605" s="159">
        <v>812995.2</v>
      </c>
      <c r="H605" s="159">
        <v>0</v>
      </c>
      <c r="I605" s="159">
        <v>410068.8</v>
      </c>
      <c r="J605" s="159">
        <v>50.4</v>
      </c>
      <c r="K605" t="str">
        <f>VLOOKUP($C605,Lists!$C$3:$M$118,7,FALSE)</f>
        <v>COKE_PET</v>
      </c>
      <c r="S605" s="4"/>
      <c r="T605" s="4"/>
      <c r="U605" s="5"/>
      <c r="V605" s="5"/>
    </row>
    <row r="606" spans="1:22" x14ac:dyDescent="0.25">
      <c r="A606" s="158" t="s">
        <v>565</v>
      </c>
      <c r="B606" s="158" t="s">
        <v>517</v>
      </c>
      <c r="C606" s="158" t="s">
        <v>43</v>
      </c>
      <c r="D606" s="158" t="s">
        <v>44</v>
      </c>
      <c r="E606" s="157">
        <v>288</v>
      </c>
      <c r="F606" s="158" t="s">
        <v>525</v>
      </c>
      <c r="G606" s="159">
        <v>2224892.16</v>
      </c>
      <c r="H606" s="159">
        <v>0</v>
      </c>
      <c r="I606" s="159">
        <v>1098702.71</v>
      </c>
      <c r="J606" s="159">
        <v>49.4</v>
      </c>
      <c r="K606" t="str">
        <f>VLOOKUP($C606,Lists!$C$3:$M$118,7,FALSE)</f>
        <v>Beers</v>
      </c>
      <c r="S606" s="4"/>
      <c r="T606" s="4"/>
      <c r="U606" s="5"/>
      <c r="V606" s="5"/>
    </row>
    <row r="607" spans="1:22" x14ac:dyDescent="0.25">
      <c r="A607" s="158" t="s">
        <v>565</v>
      </c>
      <c r="B607" s="158" t="s">
        <v>517</v>
      </c>
      <c r="C607" s="158" t="s">
        <v>59</v>
      </c>
      <c r="D607" s="158" t="s">
        <v>60</v>
      </c>
      <c r="E607" s="157">
        <v>144</v>
      </c>
      <c r="F607" s="158" t="s">
        <v>525</v>
      </c>
      <c r="G607" s="159">
        <v>569956.31999999995</v>
      </c>
      <c r="H607" s="159">
        <v>0</v>
      </c>
      <c r="I607" s="159">
        <v>232067.52</v>
      </c>
      <c r="J607" s="159">
        <v>40.700000000000003</v>
      </c>
      <c r="K607" t="str">
        <f>VLOOKUP($C607,Lists!$C$3:$M$118,7,FALSE)</f>
        <v>COKE_RGB</v>
      </c>
      <c r="S607" s="4"/>
      <c r="T607" s="4"/>
      <c r="U607" s="5"/>
      <c r="V607" s="5"/>
    </row>
    <row r="608" spans="1:22" x14ac:dyDescent="0.25">
      <c r="A608" s="158" t="s">
        <v>565</v>
      </c>
      <c r="B608" s="158" t="s">
        <v>517</v>
      </c>
      <c r="C608" s="158" t="s">
        <v>22</v>
      </c>
      <c r="D608" s="158" t="s">
        <v>23</v>
      </c>
      <c r="E608" s="157">
        <v>576</v>
      </c>
      <c r="F608" s="158" t="s">
        <v>525</v>
      </c>
      <c r="G608" s="159">
        <v>2279825.2799999998</v>
      </c>
      <c r="H608" s="159">
        <v>0</v>
      </c>
      <c r="I608" s="159">
        <v>918466.56000000006</v>
      </c>
      <c r="J608" s="159">
        <v>40.299999999999997</v>
      </c>
      <c r="K608" t="str">
        <f>VLOOKUP($C608,Lists!$C$3:$M$118,7,FALSE)</f>
        <v>COKE_RGB</v>
      </c>
      <c r="S608" s="4"/>
      <c r="T608" s="4"/>
      <c r="U608" s="5"/>
      <c r="V608" s="5"/>
    </row>
    <row r="609" spans="1:22" x14ac:dyDescent="0.25">
      <c r="A609" s="158" t="s">
        <v>565</v>
      </c>
      <c r="B609" s="158" t="s">
        <v>517</v>
      </c>
      <c r="C609" s="158" t="s">
        <v>67</v>
      </c>
      <c r="D609" s="158" t="s">
        <v>533</v>
      </c>
      <c r="E609" s="157">
        <v>288</v>
      </c>
      <c r="F609" s="158" t="s">
        <v>525</v>
      </c>
      <c r="G609" s="159">
        <v>812995.2</v>
      </c>
      <c r="H609" s="159">
        <v>0</v>
      </c>
      <c r="I609" s="159">
        <v>399922.56</v>
      </c>
      <c r="J609" s="159">
        <v>49.2</v>
      </c>
      <c r="K609" t="str">
        <f>VLOOKUP($C609,Lists!$C$3:$M$118,7,FALSE)</f>
        <v>COKE_PET</v>
      </c>
      <c r="S609" s="4"/>
      <c r="T609" s="4"/>
      <c r="U609" s="5"/>
      <c r="V609" s="5"/>
    </row>
    <row r="610" spans="1:22" x14ac:dyDescent="0.25">
      <c r="A610" s="158" t="s">
        <v>565</v>
      </c>
      <c r="B610" s="158" t="s">
        <v>517</v>
      </c>
      <c r="C610" s="158" t="s">
        <v>261</v>
      </c>
      <c r="D610" s="158" t="s">
        <v>538</v>
      </c>
      <c r="E610" s="157">
        <v>360</v>
      </c>
      <c r="F610" s="158" t="s">
        <v>525</v>
      </c>
      <c r="G610" s="159">
        <v>1424890.8</v>
      </c>
      <c r="H610" s="159">
        <v>0</v>
      </c>
      <c r="I610" s="159">
        <v>574041.59999999998</v>
      </c>
      <c r="J610" s="159">
        <v>40.299999999999997</v>
      </c>
      <c r="K610" t="str">
        <f>VLOOKUP($C610,Lists!$C$3:$M$118,7,FALSE)</f>
        <v>COKE_RGB</v>
      </c>
      <c r="S610" s="4"/>
      <c r="T610" s="4"/>
      <c r="U610" s="5"/>
      <c r="V610" s="5"/>
    </row>
    <row r="611" spans="1:22" x14ac:dyDescent="0.25">
      <c r="A611" s="158" t="s">
        <v>565</v>
      </c>
      <c r="B611" s="158" t="s">
        <v>517</v>
      </c>
      <c r="C611" s="158" t="s">
        <v>24</v>
      </c>
      <c r="D611" s="158" t="s">
        <v>25</v>
      </c>
      <c r="E611" s="157">
        <v>576</v>
      </c>
      <c r="F611" s="158" t="s">
        <v>525</v>
      </c>
      <c r="G611" s="159">
        <v>3708155.52</v>
      </c>
      <c r="H611" s="159">
        <v>0</v>
      </c>
      <c r="I611" s="159">
        <v>1785392.64</v>
      </c>
      <c r="J611" s="159">
        <v>48.1</v>
      </c>
      <c r="K611" t="str">
        <f>VLOOKUP($C611,Lists!$C$3:$M$118,7,FALSE)</f>
        <v>Beers</v>
      </c>
      <c r="S611" s="4"/>
      <c r="T611" s="4"/>
      <c r="U611" s="5"/>
      <c r="V611" s="5"/>
    </row>
    <row r="612" spans="1:22" x14ac:dyDescent="0.25">
      <c r="A612" s="158" t="s">
        <v>565</v>
      </c>
      <c r="B612" s="158" t="s">
        <v>517</v>
      </c>
      <c r="C612" s="158" t="s">
        <v>29</v>
      </c>
      <c r="D612" s="158" t="s">
        <v>30</v>
      </c>
      <c r="E612" s="157">
        <v>20</v>
      </c>
      <c r="F612" s="158" t="s">
        <v>525</v>
      </c>
      <c r="G612" s="159">
        <v>727687.8</v>
      </c>
      <c r="H612" s="159">
        <v>0</v>
      </c>
      <c r="I612" s="159">
        <v>207687.8</v>
      </c>
      <c r="J612" s="159">
        <v>28.5</v>
      </c>
      <c r="K612" t="str">
        <f>VLOOKUP($C612,Lists!$C$3:$M$118,7,FALSE)</f>
        <v>Spirits</v>
      </c>
      <c r="S612" s="4"/>
      <c r="T612" s="4"/>
      <c r="U612" s="5"/>
      <c r="V612" s="5"/>
    </row>
    <row r="613" spans="1:22" x14ac:dyDescent="0.25">
      <c r="A613" s="158" t="s">
        <v>565</v>
      </c>
      <c r="B613" s="158" t="s">
        <v>517</v>
      </c>
      <c r="C613" s="158" t="s">
        <v>31</v>
      </c>
      <c r="D613" s="158" t="s">
        <v>32</v>
      </c>
      <c r="E613" s="157">
        <v>5</v>
      </c>
      <c r="F613" s="158" t="s">
        <v>525</v>
      </c>
      <c r="G613" s="159">
        <v>170783.9</v>
      </c>
      <c r="H613" s="159">
        <v>0</v>
      </c>
      <c r="I613" s="159">
        <v>50783.9</v>
      </c>
      <c r="J613" s="159">
        <v>29.7</v>
      </c>
      <c r="K613" t="str">
        <f>VLOOKUP($C613,Lists!$C$3:$M$118,7,FALSE)</f>
        <v>Spirits</v>
      </c>
      <c r="S613" s="4"/>
      <c r="T613" s="4"/>
      <c r="U613" s="5"/>
      <c r="V613" s="5"/>
    </row>
    <row r="614" spans="1:22" x14ac:dyDescent="0.25">
      <c r="A614" s="158" t="s">
        <v>565</v>
      </c>
      <c r="B614" s="158" t="s">
        <v>517</v>
      </c>
      <c r="C614" s="158" t="s">
        <v>33</v>
      </c>
      <c r="D614" s="158" t="s">
        <v>34</v>
      </c>
      <c r="E614" s="157">
        <v>10</v>
      </c>
      <c r="F614" s="158" t="s">
        <v>525</v>
      </c>
      <c r="G614" s="159">
        <v>556904</v>
      </c>
      <c r="H614" s="159">
        <v>0</v>
      </c>
      <c r="I614" s="159">
        <v>106904</v>
      </c>
      <c r="J614" s="159">
        <v>19.2</v>
      </c>
      <c r="K614" t="str">
        <f>VLOOKUP($C614,Lists!$C$3:$M$118,7,FALSE)</f>
        <v>Spirits</v>
      </c>
      <c r="S614" s="4"/>
      <c r="T614" s="4"/>
      <c r="U614" s="5"/>
      <c r="V614" s="5"/>
    </row>
    <row r="615" spans="1:22" x14ac:dyDescent="0.25">
      <c r="A615" s="158" t="s">
        <v>565</v>
      </c>
      <c r="B615" s="158" t="s">
        <v>517</v>
      </c>
      <c r="C615" s="158" t="s">
        <v>37</v>
      </c>
      <c r="D615" s="158" t="s">
        <v>38</v>
      </c>
      <c r="E615" s="157">
        <v>432</v>
      </c>
      <c r="F615" s="158" t="s">
        <v>525</v>
      </c>
      <c r="G615" s="159">
        <v>1424891.52</v>
      </c>
      <c r="H615" s="159">
        <v>0</v>
      </c>
      <c r="I615" s="159">
        <v>667513.43999999994</v>
      </c>
      <c r="J615" s="159">
        <v>46.8</v>
      </c>
      <c r="K615" t="str">
        <f>VLOOKUP($C615,Lists!$C$3:$M$118,7,FALSE)</f>
        <v>SOBO_RGB</v>
      </c>
      <c r="S615" s="4"/>
      <c r="T615" s="4"/>
      <c r="U615" s="5"/>
      <c r="V615" s="5"/>
    </row>
    <row r="616" spans="1:22" x14ac:dyDescent="0.25">
      <c r="A616" s="158" t="s">
        <v>565</v>
      </c>
      <c r="B616" s="158" t="s">
        <v>517</v>
      </c>
      <c r="C616" s="158" t="s">
        <v>39</v>
      </c>
      <c r="D616" s="158" t="s">
        <v>40</v>
      </c>
      <c r="E616" s="157">
        <v>288</v>
      </c>
      <c r="F616" s="158" t="s">
        <v>525</v>
      </c>
      <c r="G616" s="159">
        <v>949927.68</v>
      </c>
      <c r="H616" s="159">
        <v>0</v>
      </c>
      <c r="I616" s="159">
        <v>441074.88</v>
      </c>
      <c r="J616" s="159">
        <v>46.4</v>
      </c>
      <c r="K616" t="str">
        <f>VLOOKUP($C616,Lists!$C$3:$M$118,7,FALSE)</f>
        <v>SOBO_RGB</v>
      </c>
      <c r="S616" s="4"/>
      <c r="T616" s="4"/>
      <c r="U616" s="5"/>
      <c r="V616" s="5"/>
    </row>
    <row r="617" spans="1:22" x14ac:dyDescent="0.25">
      <c r="A617" s="158" t="s">
        <v>565</v>
      </c>
      <c r="B617" s="158" t="s">
        <v>517</v>
      </c>
      <c r="C617" s="158" t="s">
        <v>88</v>
      </c>
      <c r="D617" s="158" t="s">
        <v>527</v>
      </c>
      <c r="E617" s="157">
        <v>288</v>
      </c>
      <c r="F617" s="158" t="s">
        <v>525</v>
      </c>
      <c r="G617" s="159">
        <v>812995.2</v>
      </c>
      <c r="H617" s="159">
        <v>0</v>
      </c>
      <c r="I617" s="159">
        <v>476985.59999999998</v>
      </c>
      <c r="J617" s="159">
        <v>58.7</v>
      </c>
      <c r="K617" t="str">
        <f>VLOOKUP($C617,Lists!$C$3:$M$118,7,FALSE)</f>
        <v>SOBO_PET</v>
      </c>
      <c r="S617" s="4"/>
      <c r="T617" s="4"/>
      <c r="U617" s="5"/>
      <c r="V617" s="5"/>
    </row>
    <row r="618" spans="1:22" x14ac:dyDescent="0.25">
      <c r="A618" s="158" t="s">
        <v>565</v>
      </c>
      <c r="B618" s="158" t="s">
        <v>517</v>
      </c>
      <c r="C618" s="158" t="s">
        <v>45</v>
      </c>
      <c r="D618" s="158" t="s">
        <v>46</v>
      </c>
      <c r="E618" s="157">
        <v>432</v>
      </c>
      <c r="F618" s="158" t="s">
        <v>525</v>
      </c>
      <c r="G618" s="159">
        <v>1709868.96</v>
      </c>
      <c r="H618" s="159">
        <v>0</v>
      </c>
      <c r="I618" s="159">
        <v>842171.04</v>
      </c>
      <c r="J618" s="159">
        <v>49.3</v>
      </c>
      <c r="K618" t="str">
        <f>VLOOKUP($C618,Lists!$C$3:$M$118,7,FALSE)</f>
        <v>SOBO_RGB</v>
      </c>
      <c r="S618" s="4"/>
      <c r="T618" s="4"/>
      <c r="U618" s="5"/>
      <c r="V618" s="5"/>
    </row>
    <row r="619" spans="1:22" x14ac:dyDescent="0.25">
      <c r="A619" s="158" t="s">
        <v>565</v>
      </c>
      <c r="B619" s="158" t="s">
        <v>517</v>
      </c>
      <c r="C619" s="158" t="s">
        <v>47</v>
      </c>
      <c r="D619" s="158" t="s">
        <v>48</v>
      </c>
      <c r="E619" s="157">
        <v>288</v>
      </c>
      <c r="F619" s="158" t="s">
        <v>525</v>
      </c>
      <c r="G619" s="159">
        <v>1139912.6399999999</v>
      </c>
      <c r="H619" s="159">
        <v>0</v>
      </c>
      <c r="I619" s="159">
        <v>497471.03</v>
      </c>
      <c r="J619" s="159">
        <v>43.6</v>
      </c>
      <c r="K619" t="str">
        <f>VLOOKUP($C619,Lists!$C$3:$M$118,7,FALSE)</f>
        <v>COKE_RGB</v>
      </c>
      <c r="S619" s="4"/>
      <c r="T619" s="4"/>
      <c r="U619" s="5"/>
      <c r="V619" s="5"/>
    </row>
    <row r="620" spans="1:22" x14ac:dyDescent="0.25">
      <c r="A620" s="158" t="s">
        <v>565</v>
      </c>
      <c r="B620" s="158" t="s">
        <v>517</v>
      </c>
      <c r="C620" s="158" t="s">
        <v>68</v>
      </c>
      <c r="D620" s="158" t="s">
        <v>534</v>
      </c>
      <c r="E620" s="157">
        <v>144</v>
      </c>
      <c r="F620" s="158" t="s">
        <v>525</v>
      </c>
      <c r="G620" s="159">
        <v>406497.6</v>
      </c>
      <c r="H620" s="159">
        <v>0</v>
      </c>
      <c r="I620" s="159">
        <v>198080.64000000001</v>
      </c>
      <c r="J620" s="159">
        <v>48.7</v>
      </c>
      <c r="K620" t="str">
        <f>VLOOKUP($C620,Lists!$C$3:$M$118,7,FALSE)</f>
        <v>COKE_PET</v>
      </c>
      <c r="S620" s="4"/>
      <c r="T620" s="4"/>
      <c r="U620" s="5"/>
      <c r="V620" s="5"/>
    </row>
    <row r="621" spans="1:22" x14ac:dyDescent="0.25">
      <c r="A621" s="158" t="s">
        <v>565</v>
      </c>
      <c r="B621" s="158" t="s">
        <v>517</v>
      </c>
      <c r="C621" s="158" t="s">
        <v>49</v>
      </c>
      <c r="D621" s="158" t="s">
        <v>50</v>
      </c>
      <c r="E621" s="157">
        <v>144</v>
      </c>
      <c r="F621" s="158" t="s">
        <v>525</v>
      </c>
      <c r="G621" s="159">
        <v>1443942.72</v>
      </c>
      <c r="H621" s="159">
        <v>0</v>
      </c>
      <c r="I621" s="159">
        <v>459895.68</v>
      </c>
      <c r="J621" s="159">
        <v>31.8</v>
      </c>
      <c r="K621" t="str">
        <f>VLOOKUP($C621,Lists!$C$3:$M$118,7,FALSE)</f>
        <v>Squash</v>
      </c>
      <c r="S621" s="4"/>
      <c r="T621" s="4"/>
      <c r="U621" s="5"/>
      <c r="V621" s="5"/>
    </row>
    <row r="622" spans="1:22" x14ac:dyDescent="0.25">
      <c r="A622" s="158" t="s">
        <v>565</v>
      </c>
      <c r="B622" s="158" t="s">
        <v>517</v>
      </c>
      <c r="C622" s="158" t="s">
        <v>26</v>
      </c>
      <c r="D622" s="158" t="s">
        <v>27</v>
      </c>
      <c r="E622" s="157">
        <v>144</v>
      </c>
      <c r="F622" s="158" t="s">
        <v>525</v>
      </c>
      <c r="G622" s="159">
        <v>314265.59999999998</v>
      </c>
      <c r="H622" s="159">
        <v>0</v>
      </c>
      <c r="I622" s="159">
        <v>138551.04000000001</v>
      </c>
      <c r="J622" s="159">
        <v>44.1</v>
      </c>
      <c r="K622" t="str">
        <f>VLOOKUP($C622,Lists!$C$3:$M$118,7,FALSE)</f>
        <v>Water</v>
      </c>
      <c r="S622" s="4"/>
      <c r="T622" s="4"/>
      <c r="U622" s="5"/>
      <c r="V622" s="5"/>
    </row>
    <row r="623" spans="1:22" x14ac:dyDescent="0.25">
      <c r="A623" s="158" t="s">
        <v>459</v>
      </c>
      <c r="B623" s="158" t="s">
        <v>89</v>
      </c>
      <c r="C623" s="158" t="s">
        <v>41</v>
      </c>
      <c r="D623" s="158" t="s">
        <v>42</v>
      </c>
      <c r="E623" s="157">
        <v>144</v>
      </c>
      <c r="F623" s="158" t="s">
        <v>525</v>
      </c>
      <c r="G623" s="159">
        <v>1112446.08</v>
      </c>
      <c r="H623" s="159">
        <v>0</v>
      </c>
      <c r="I623" s="159">
        <v>466606.08000000002</v>
      </c>
      <c r="J623" s="159">
        <v>41.9</v>
      </c>
      <c r="K623" t="str">
        <f>VLOOKUP($C623,Lists!$C$3:$M$118,7,FALSE)</f>
        <v>Alcomix</v>
      </c>
      <c r="S623" s="4"/>
      <c r="T623" s="4"/>
      <c r="U623" s="5"/>
      <c r="V623" s="5"/>
    </row>
    <row r="624" spans="1:22" x14ac:dyDescent="0.25">
      <c r="A624" s="158" t="s">
        <v>459</v>
      </c>
      <c r="B624" s="158" t="s">
        <v>89</v>
      </c>
      <c r="C624" s="158" t="s">
        <v>10</v>
      </c>
      <c r="D624" s="158" t="s">
        <v>11</v>
      </c>
      <c r="E624" s="157">
        <v>358</v>
      </c>
      <c r="F624" s="158" t="s">
        <v>525</v>
      </c>
      <c r="G624" s="159">
        <v>2765664.56</v>
      </c>
      <c r="H624" s="159">
        <v>0</v>
      </c>
      <c r="I624" s="159">
        <v>1160034.56</v>
      </c>
      <c r="J624" s="159">
        <v>41.9</v>
      </c>
      <c r="K624" t="str">
        <f>VLOOKUP($C624,Lists!$C$3:$M$118,7,FALSE)</f>
        <v>Alcomix</v>
      </c>
      <c r="S624" s="4"/>
      <c r="T624" s="4"/>
      <c r="U624" s="5"/>
      <c r="V624" s="5"/>
    </row>
    <row r="625" spans="1:22" x14ac:dyDescent="0.25">
      <c r="A625" s="158" t="s">
        <v>459</v>
      </c>
      <c r="B625" s="158" t="s">
        <v>89</v>
      </c>
      <c r="C625" s="158" t="s">
        <v>12</v>
      </c>
      <c r="D625" s="158" t="s">
        <v>13</v>
      </c>
      <c r="E625" s="157">
        <v>5180</v>
      </c>
      <c r="F625" s="158" t="s">
        <v>525</v>
      </c>
      <c r="G625" s="159">
        <v>33347648.600000001</v>
      </c>
      <c r="H625" s="159">
        <v>0</v>
      </c>
      <c r="I625" s="159">
        <v>14574033.6</v>
      </c>
      <c r="J625" s="159">
        <v>43.7</v>
      </c>
      <c r="K625" t="str">
        <f>VLOOKUP($C625,Lists!$C$3:$M$118,7,FALSE)</f>
        <v>Beers</v>
      </c>
      <c r="S625" s="4"/>
      <c r="T625" s="4"/>
      <c r="U625" s="5"/>
      <c r="V625" s="5"/>
    </row>
    <row r="626" spans="1:22" x14ac:dyDescent="0.25">
      <c r="A626" s="158" t="s">
        <v>459</v>
      </c>
      <c r="B626" s="158" t="s">
        <v>89</v>
      </c>
      <c r="C626" s="158" t="s">
        <v>14</v>
      </c>
      <c r="D626" s="158" t="s">
        <v>15</v>
      </c>
      <c r="E626" s="157">
        <v>2732</v>
      </c>
      <c r="F626" s="158" t="s">
        <v>525</v>
      </c>
      <c r="G626" s="159">
        <v>21105574.239999998</v>
      </c>
      <c r="H626" s="159">
        <v>0</v>
      </c>
      <c r="I626" s="159">
        <v>10422416.08</v>
      </c>
      <c r="J626" s="159">
        <v>49.4</v>
      </c>
      <c r="K626" t="str">
        <f>VLOOKUP($C626,Lists!$C$3:$M$118,7,FALSE)</f>
        <v>Beers</v>
      </c>
      <c r="S626" s="4"/>
      <c r="T626" s="4"/>
      <c r="U626" s="5"/>
      <c r="V626" s="5"/>
    </row>
    <row r="627" spans="1:22" x14ac:dyDescent="0.25">
      <c r="A627" s="158" t="s">
        <v>459</v>
      </c>
      <c r="B627" s="158" t="s">
        <v>89</v>
      </c>
      <c r="C627" s="158" t="s">
        <v>54</v>
      </c>
      <c r="D627" s="158" t="s">
        <v>55</v>
      </c>
      <c r="E627" s="157">
        <v>400</v>
      </c>
      <c r="F627" s="158" t="s">
        <v>525</v>
      </c>
      <c r="G627" s="159">
        <v>3090128</v>
      </c>
      <c r="H627" s="159">
        <v>0</v>
      </c>
      <c r="I627" s="159">
        <v>1622228</v>
      </c>
      <c r="J627" s="159">
        <v>52.5</v>
      </c>
      <c r="K627" t="str">
        <f>VLOOKUP($C627,Lists!$C$3:$M$118,7,FALSE)</f>
        <v>Beers</v>
      </c>
      <c r="S627" s="4"/>
      <c r="T627" s="4"/>
      <c r="U627" s="5"/>
      <c r="V627" s="5"/>
    </row>
    <row r="628" spans="1:22" x14ac:dyDescent="0.25">
      <c r="A628" s="158" t="s">
        <v>459</v>
      </c>
      <c r="B628" s="158" t="s">
        <v>89</v>
      </c>
      <c r="C628" s="158" t="s">
        <v>16</v>
      </c>
      <c r="D628" s="158" t="s">
        <v>17</v>
      </c>
      <c r="E628" s="157">
        <v>4316</v>
      </c>
      <c r="F628" s="158" t="s">
        <v>525</v>
      </c>
      <c r="G628" s="159">
        <v>33342481.120000001</v>
      </c>
      <c r="H628" s="159">
        <v>0</v>
      </c>
      <c r="I628" s="159">
        <v>16465281.039999999</v>
      </c>
      <c r="J628" s="159">
        <v>49.4</v>
      </c>
      <c r="K628" t="str">
        <f>VLOOKUP($C628,Lists!$C$3:$M$118,7,FALSE)</f>
        <v>Beers</v>
      </c>
      <c r="S628" s="4"/>
      <c r="T628" s="4"/>
      <c r="U628" s="5"/>
      <c r="V628" s="5"/>
    </row>
    <row r="629" spans="1:22" x14ac:dyDescent="0.25">
      <c r="A629" s="158" t="s">
        <v>459</v>
      </c>
      <c r="B629" s="158" t="s">
        <v>89</v>
      </c>
      <c r="C629" s="158" t="s">
        <v>56</v>
      </c>
      <c r="D629" s="158" t="s">
        <v>57</v>
      </c>
      <c r="E629" s="157">
        <v>299</v>
      </c>
      <c r="F629" s="158" t="s">
        <v>525</v>
      </c>
      <c r="G629" s="159">
        <v>2309870.6800000002</v>
      </c>
      <c r="H629" s="159">
        <v>0</v>
      </c>
      <c r="I629" s="159">
        <v>1212615.43</v>
      </c>
      <c r="J629" s="159">
        <v>52.5</v>
      </c>
      <c r="K629" t="str">
        <f>VLOOKUP($C629,Lists!$C$3:$M$118,7,FALSE)</f>
        <v>Beers</v>
      </c>
      <c r="S629" s="4"/>
      <c r="T629" s="4"/>
      <c r="U629" s="5"/>
      <c r="V629" s="5"/>
    </row>
    <row r="630" spans="1:22" x14ac:dyDescent="0.25">
      <c r="A630" s="158" t="s">
        <v>459</v>
      </c>
      <c r="B630" s="158" t="s">
        <v>89</v>
      </c>
      <c r="C630" s="158" t="s">
        <v>18</v>
      </c>
      <c r="D630" s="158" t="s">
        <v>19</v>
      </c>
      <c r="E630" s="157">
        <v>359</v>
      </c>
      <c r="F630" s="158" t="s">
        <v>525</v>
      </c>
      <c r="G630" s="159">
        <v>3697854.37</v>
      </c>
      <c r="H630" s="159">
        <v>0</v>
      </c>
      <c r="I630" s="159">
        <v>1917393.87</v>
      </c>
      <c r="J630" s="159">
        <v>51.9</v>
      </c>
      <c r="K630" t="str">
        <f>VLOOKUP($C630,Lists!$C$3:$M$118,7,FALSE)</f>
        <v>Beers</v>
      </c>
      <c r="S630" s="4"/>
      <c r="T630" s="4"/>
      <c r="U630" s="5"/>
      <c r="V630" s="5"/>
    </row>
    <row r="631" spans="1:22" x14ac:dyDescent="0.25">
      <c r="A631" s="158" t="s">
        <v>459</v>
      </c>
      <c r="B631" s="158" t="s">
        <v>89</v>
      </c>
      <c r="C631" s="158" t="s">
        <v>20</v>
      </c>
      <c r="D631" s="158" t="s">
        <v>21</v>
      </c>
      <c r="E631" s="157">
        <v>2155</v>
      </c>
      <c r="F631" s="158" t="s">
        <v>525</v>
      </c>
      <c r="G631" s="159">
        <v>8529554.6500000004</v>
      </c>
      <c r="H631" s="159">
        <v>0</v>
      </c>
      <c r="I631" s="159">
        <v>3584476.15</v>
      </c>
      <c r="J631" s="159">
        <v>42</v>
      </c>
      <c r="K631" t="str">
        <f>VLOOKUP($C631,Lists!$C$3:$M$118,7,FALSE)</f>
        <v>COKE_RGB</v>
      </c>
      <c r="S631" s="4"/>
      <c r="T631" s="4"/>
      <c r="U631" s="5"/>
      <c r="V631" s="5"/>
    </row>
    <row r="632" spans="1:22" x14ac:dyDescent="0.25">
      <c r="A632" s="158" t="s">
        <v>459</v>
      </c>
      <c r="B632" s="158" t="s">
        <v>89</v>
      </c>
      <c r="C632" s="158" t="s">
        <v>28</v>
      </c>
      <c r="D632" s="158" t="s">
        <v>530</v>
      </c>
      <c r="E632" s="157">
        <v>288</v>
      </c>
      <c r="F632" s="158" t="s">
        <v>525</v>
      </c>
      <c r="G632" s="159">
        <v>812995.2</v>
      </c>
      <c r="H632" s="159">
        <v>0</v>
      </c>
      <c r="I632" s="159">
        <v>410068.8</v>
      </c>
      <c r="J632" s="159">
        <v>50.4</v>
      </c>
      <c r="K632" t="str">
        <f>VLOOKUP($C632,Lists!$C$3:$M$118,7,FALSE)</f>
        <v>COKE_PET</v>
      </c>
      <c r="S632" s="4"/>
      <c r="T632" s="4"/>
      <c r="U632" s="5"/>
      <c r="V632" s="5"/>
    </row>
    <row r="633" spans="1:22" x14ac:dyDescent="0.25">
      <c r="A633" s="158" t="s">
        <v>459</v>
      </c>
      <c r="B633" s="158" t="s">
        <v>89</v>
      </c>
      <c r="C633" s="158" t="s">
        <v>58</v>
      </c>
      <c r="D633" s="158" t="s">
        <v>537</v>
      </c>
      <c r="E633" s="157">
        <v>1151</v>
      </c>
      <c r="F633" s="158" t="s">
        <v>525</v>
      </c>
      <c r="G633" s="159">
        <v>2784994.13</v>
      </c>
      <c r="H633" s="159">
        <v>0</v>
      </c>
      <c r="I633" s="159">
        <v>1542996.07</v>
      </c>
      <c r="J633" s="159">
        <v>55.4</v>
      </c>
      <c r="K633" t="str">
        <f>VLOOKUP($C633,Lists!$C$3:$M$118,7,FALSE)</f>
        <v>SOBO_PET</v>
      </c>
      <c r="S633" s="4"/>
      <c r="T633" s="4"/>
      <c r="U633" s="5"/>
      <c r="V633" s="5"/>
    </row>
    <row r="634" spans="1:22" x14ac:dyDescent="0.25">
      <c r="A634" s="158" t="s">
        <v>459</v>
      </c>
      <c r="B634" s="158" t="s">
        <v>89</v>
      </c>
      <c r="C634" s="158" t="s">
        <v>43</v>
      </c>
      <c r="D634" s="158" t="s">
        <v>44</v>
      </c>
      <c r="E634" s="157">
        <v>431</v>
      </c>
      <c r="F634" s="158" t="s">
        <v>525</v>
      </c>
      <c r="G634" s="159">
        <v>3329612.92</v>
      </c>
      <c r="H634" s="159">
        <v>0</v>
      </c>
      <c r="I634" s="159">
        <v>1644239.14</v>
      </c>
      <c r="J634" s="159">
        <v>49.4</v>
      </c>
      <c r="K634" t="str">
        <f>VLOOKUP($C634,Lists!$C$3:$M$118,7,FALSE)</f>
        <v>Beers</v>
      </c>
      <c r="S634" s="4"/>
      <c r="T634" s="4"/>
      <c r="U634" s="5"/>
      <c r="V634" s="5"/>
    </row>
    <row r="635" spans="1:22" x14ac:dyDescent="0.25">
      <c r="A635" s="158" t="s">
        <v>459</v>
      </c>
      <c r="B635" s="158" t="s">
        <v>89</v>
      </c>
      <c r="C635" s="158" t="s">
        <v>59</v>
      </c>
      <c r="D635" s="158" t="s">
        <v>60</v>
      </c>
      <c r="E635" s="157">
        <v>359</v>
      </c>
      <c r="F635" s="158" t="s">
        <v>525</v>
      </c>
      <c r="G635" s="159">
        <v>1420932.77</v>
      </c>
      <c r="H635" s="159">
        <v>0</v>
      </c>
      <c r="I635" s="159">
        <v>578557.22</v>
      </c>
      <c r="J635" s="159">
        <v>40.700000000000003</v>
      </c>
      <c r="K635" t="str">
        <f>VLOOKUP($C635,Lists!$C$3:$M$118,7,FALSE)</f>
        <v>COKE_RGB</v>
      </c>
      <c r="S635" s="4"/>
      <c r="T635" s="4"/>
      <c r="U635" s="5"/>
      <c r="V635" s="5"/>
    </row>
    <row r="636" spans="1:22" x14ac:dyDescent="0.25">
      <c r="A636" s="158" t="s">
        <v>459</v>
      </c>
      <c r="B636" s="158" t="s">
        <v>89</v>
      </c>
      <c r="C636" s="158" t="s">
        <v>22</v>
      </c>
      <c r="D636" s="158" t="s">
        <v>23</v>
      </c>
      <c r="E636" s="157">
        <v>861</v>
      </c>
      <c r="F636" s="158" t="s">
        <v>525</v>
      </c>
      <c r="G636" s="159">
        <v>3407863.83</v>
      </c>
      <c r="H636" s="159">
        <v>0</v>
      </c>
      <c r="I636" s="159">
        <v>1372916.16</v>
      </c>
      <c r="J636" s="159">
        <v>40.299999999999997</v>
      </c>
      <c r="K636" t="str">
        <f>VLOOKUP($C636,Lists!$C$3:$M$118,7,FALSE)</f>
        <v>COKE_RGB</v>
      </c>
      <c r="S636" s="4"/>
      <c r="T636" s="4"/>
      <c r="U636" s="5"/>
      <c r="V636" s="5"/>
    </row>
    <row r="637" spans="1:22" x14ac:dyDescent="0.25">
      <c r="A637" s="158" t="s">
        <v>459</v>
      </c>
      <c r="B637" s="158" t="s">
        <v>89</v>
      </c>
      <c r="C637" s="158" t="s">
        <v>67</v>
      </c>
      <c r="D637" s="158" t="s">
        <v>533</v>
      </c>
      <c r="E637" s="157">
        <v>432</v>
      </c>
      <c r="F637" s="158" t="s">
        <v>525</v>
      </c>
      <c r="G637" s="159">
        <v>1219492.8</v>
      </c>
      <c r="H637" s="159">
        <v>0</v>
      </c>
      <c r="I637" s="159">
        <v>599883.84</v>
      </c>
      <c r="J637" s="159">
        <v>49.2</v>
      </c>
      <c r="K637" t="str">
        <f>VLOOKUP($C637,Lists!$C$3:$M$118,7,FALSE)</f>
        <v>COKE_PET</v>
      </c>
      <c r="S637" s="4"/>
      <c r="T637" s="4"/>
      <c r="U637" s="5"/>
      <c r="V637" s="5"/>
    </row>
    <row r="638" spans="1:22" x14ac:dyDescent="0.25">
      <c r="A638" s="158" t="s">
        <v>459</v>
      </c>
      <c r="B638" s="158" t="s">
        <v>89</v>
      </c>
      <c r="C638" s="158" t="s">
        <v>261</v>
      </c>
      <c r="D638" s="158" t="s">
        <v>538</v>
      </c>
      <c r="E638" s="157">
        <v>216</v>
      </c>
      <c r="F638" s="158" t="s">
        <v>525</v>
      </c>
      <c r="G638" s="159">
        <v>854934.48</v>
      </c>
      <c r="H638" s="159">
        <v>0</v>
      </c>
      <c r="I638" s="159">
        <v>344424.96000000002</v>
      </c>
      <c r="J638" s="159">
        <v>40.299999999999997</v>
      </c>
      <c r="K638" t="str">
        <f>VLOOKUP($C638,Lists!$C$3:$M$118,7,FALSE)</f>
        <v>COKE_RGB</v>
      </c>
      <c r="S638" s="4"/>
      <c r="T638" s="4"/>
      <c r="U638" s="5"/>
      <c r="V638" s="5"/>
    </row>
    <row r="639" spans="1:22" x14ac:dyDescent="0.25">
      <c r="A639" s="158" t="s">
        <v>459</v>
      </c>
      <c r="B639" s="158" t="s">
        <v>89</v>
      </c>
      <c r="C639" s="158" t="s">
        <v>24</v>
      </c>
      <c r="D639" s="158" t="s">
        <v>25</v>
      </c>
      <c r="E639" s="157">
        <v>1650</v>
      </c>
      <c r="F639" s="158" t="s">
        <v>525</v>
      </c>
      <c r="G639" s="159">
        <v>10622320.5</v>
      </c>
      <c r="H639" s="159">
        <v>0</v>
      </c>
      <c r="I639" s="159">
        <v>5114406</v>
      </c>
      <c r="J639" s="159">
        <v>48.1</v>
      </c>
      <c r="K639" t="str">
        <f>VLOOKUP($C639,Lists!$C$3:$M$118,7,FALSE)</f>
        <v>Beers</v>
      </c>
      <c r="S639" s="4"/>
      <c r="T639" s="4"/>
      <c r="U639" s="5"/>
      <c r="V639" s="5"/>
    </row>
    <row r="640" spans="1:22" x14ac:dyDescent="0.25">
      <c r="A640" s="158" t="s">
        <v>459</v>
      </c>
      <c r="B640" s="158" t="s">
        <v>89</v>
      </c>
      <c r="C640" s="158" t="s">
        <v>29</v>
      </c>
      <c r="D640" s="158" t="s">
        <v>30</v>
      </c>
      <c r="E640" s="157">
        <v>159</v>
      </c>
      <c r="F640" s="158" t="s">
        <v>525</v>
      </c>
      <c r="G640" s="159">
        <v>5785118.0099999998</v>
      </c>
      <c r="H640" s="159">
        <v>0</v>
      </c>
      <c r="I640" s="159">
        <v>1651118.01</v>
      </c>
      <c r="J640" s="159">
        <v>28.5</v>
      </c>
      <c r="K640" t="str">
        <f>VLOOKUP($C640,Lists!$C$3:$M$118,7,FALSE)</f>
        <v>Spirits</v>
      </c>
      <c r="S640" s="4"/>
      <c r="T640" s="4"/>
      <c r="U640" s="5"/>
      <c r="V640" s="5"/>
    </row>
    <row r="641" spans="1:22" x14ac:dyDescent="0.25">
      <c r="A641" s="158" t="s">
        <v>459</v>
      </c>
      <c r="B641" s="158" t="s">
        <v>89</v>
      </c>
      <c r="C641" s="158" t="s">
        <v>37</v>
      </c>
      <c r="D641" s="158" t="s">
        <v>38</v>
      </c>
      <c r="E641" s="157">
        <v>575</v>
      </c>
      <c r="F641" s="158" t="s">
        <v>525</v>
      </c>
      <c r="G641" s="159">
        <v>1896557</v>
      </c>
      <c r="H641" s="159">
        <v>0</v>
      </c>
      <c r="I641" s="159">
        <v>888472.75</v>
      </c>
      <c r="J641" s="159">
        <v>46.8</v>
      </c>
      <c r="K641" t="str">
        <f>VLOOKUP($C641,Lists!$C$3:$M$118,7,FALSE)</f>
        <v>SOBO_RGB</v>
      </c>
      <c r="S641" s="4"/>
      <c r="T641" s="4"/>
      <c r="U641" s="5"/>
      <c r="V641" s="5"/>
    </row>
    <row r="642" spans="1:22" x14ac:dyDescent="0.25">
      <c r="A642" s="158" t="s">
        <v>459</v>
      </c>
      <c r="B642" s="158" t="s">
        <v>89</v>
      </c>
      <c r="C642" s="158" t="s">
        <v>39</v>
      </c>
      <c r="D642" s="158" t="s">
        <v>40</v>
      </c>
      <c r="E642" s="157">
        <v>429</v>
      </c>
      <c r="F642" s="158" t="s">
        <v>525</v>
      </c>
      <c r="G642" s="159">
        <v>1414996.44</v>
      </c>
      <c r="H642" s="159">
        <v>0</v>
      </c>
      <c r="I642" s="159">
        <v>657017.79</v>
      </c>
      <c r="J642" s="159">
        <v>46.4</v>
      </c>
      <c r="K642" t="str">
        <f>VLOOKUP($C642,Lists!$C$3:$M$118,7,FALSE)</f>
        <v>SOBO_RGB</v>
      </c>
      <c r="S642" s="4"/>
      <c r="T642" s="4"/>
      <c r="U642" s="5"/>
      <c r="V642" s="5"/>
    </row>
    <row r="643" spans="1:22" x14ac:dyDescent="0.25">
      <c r="A643" s="158" t="s">
        <v>459</v>
      </c>
      <c r="B643" s="158" t="s">
        <v>89</v>
      </c>
      <c r="C643" s="158" t="s">
        <v>47</v>
      </c>
      <c r="D643" s="158" t="s">
        <v>48</v>
      </c>
      <c r="E643" s="157">
        <v>359</v>
      </c>
      <c r="F643" s="158" t="s">
        <v>525</v>
      </c>
      <c r="G643" s="159">
        <v>1420932.77</v>
      </c>
      <c r="H643" s="159">
        <v>0</v>
      </c>
      <c r="I643" s="159">
        <v>620111.47</v>
      </c>
      <c r="J643" s="159">
        <v>43.6</v>
      </c>
      <c r="K643" t="str">
        <f>VLOOKUP($C643,Lists!$C$3:$M$118,7,FALSE)</f>
        <v>COKE_RGB</v>
      </c>
      <c r="S643" s="4"/>
      <c r="T643" s="4"/>
      <c r="U643" s="5"/>
      <c r="V643" s="5"/>
    </row>
    <row r="644" spans="1:22" x14ac:dyDescent="0.25">
      <c r="A644" s="158" t="s">
        <v>459</v>
      </c>
      <c r="B644" s="158" t="s">
        <v>89</v>
      </c>
      <c r="C644" s="158" t="s">
        <v>68</v>
      </c>
      <c r="D644" s="158" t="s">
        <v>534</v>
      </c>
      <c r="E644" s="157">
        <v>143</v>
      </c>
      <c r="F644" s="158" t="s">
        <v>525</v>
      </c>
      <c r="G644" s="159">
        <v>403674.7</v>
      </c>
      <c r="H644" s="159">
        <v>0</v>
      </c>
      <c r="I644" s="159">
        <v>196705.08</v>
      </c>
      <c r="J644" s="159">
        <v>48.7</v>
      </c>
      <c r="K644" t="str">
        <f>VLOOKUP($C644,Lists!$C$3:$M$118,7,FALSE)</f>
        <v>COKE_PET</v>
      </c>
      <c r="S644" s="4"/>
      <c r="T644" s="4"/>
      <c r="U644" s="5"/>
      <c r="V644" s="5"/>
    </row>
    <row r="645" spans="1:22" x14ac:dyDescent="0.25">
      <c r="A645" s="158" t="s">
        <v>459</v>
      </c>
      <c r="B645" s="158" t="s">
        <v>89</v>
      </c>
      <c r="C645" s="158" t="s">
        <v>51</v>
      </c>
      <c r="D645" s="158" t="s">
        <v>52</v>
      </c>
      <c r="E645" s="157">
        <v>72</v>
      </c>
      <c r="F645" s="158" t="s">
        <v>525</v>
      </c>
      <c r="G645" s="159">
        <v>721971.36</v>
      </c>
      <c r="H645" s="159">
        <v>0</v>
      </c>
      <c r="I645" s="159">
        <v>228026.16</v>
      </c>
      <c r="J645" s="159">
        <v>31.6</v>
      </c>
      <c r="K645" t="str">
        <f>VLOOKUP($C645,Lists!$C$3:$M$118,7,FALSE)</f>
        <v>Squash</v>
      </c>
      <c r="S645" s="4"/>
      <c r="T645" s="4"/>
      <c r="U645" s="5"/>
      <c r="V645" s="5"/>
    </row>
    <row r="646" spans="1:22" x14ac:dyDescent="0.25">
      <c r="A646" s="158" t="s">
        <v>566</v>
      </c>
      <c r="B646" s="158" t="s">
        <v>567</v>
      </c>
      <c r="C646" s="158" t="s">
        <v>29</v>
      </c>
      <c r="D646" s="158" t="s">
        <v>30</v>
      </c>
      <c r="E646" s="157">
        <v>40</v>
      </c>
      <c r="F646" s="158" t="s">
        <v>525</v>
      </c>
      <c r="G646" s="159">
        <v>1482835.6</v>
      </c>
      <c r="H646" s="159">
        <v>0</v>
      </c>
      <c r="I646" s="159">
        <v>442835.6</v>
      </c>
      <c r="J646" s="159">
        <v>29.9</v>
      </c>
      <c r="K646" t="str">
        <f>VLOOKUP($C646,Lists!$C$3:$M$118,7,FALSE)</f>
        <v>Spirits</v>
      </c>
      <c r="S646" s="4"/>
      <c r="T646" s="4"/>
      <c r="U646" s="5"/>
      <c r="V646" s="5"/>
    </row>
    <row r="647" spans="1:22" x14ac:dyDescent="0.25">
      <c r="A647" s="158" t="s">
        <v>566</v>
      </c>
      <c r="B647" s="158" t="s">
        <v>567</v>
      </c>
      <c r="C647" s="158" t="s">
        <v>31</v>
      </c>
      <c r="D647" s="158" t="s">
        <v>32</v>
      </c>
      <c r="E647" s="157">
        <v>3</v>
      </c>
      <c r="F647" s="158" t="s">
        <v>525</v>
      </c>
      <c r="G647" s="159">
        <v>104403.72</v>
      </c>
      <c r="H647" s="159">
        <v>0</v>
      </c>
      <c r="I647" s="159">
        <v>32403.72</v>
      </c>
      <c r="J647" s="159">
        <v>31</v>
      </c>
      <c r="K647" t="str">
        <f>VLOOKUP($C647,Lists!$C$3:$M$118,7,FALSE)</f>
        <v>Spirits</v>
      </c>
      <c r="S647" s="4"/>
      <c r="T647" s="4"/>
      <c r="U647" s="5"/>
      <c r="V647" s="5"/>
    </row>
    <row r="648" spans="1:22" x14ac:dyDescent="0.25">
      <c r="A648" s="158" t="s">
        <v>566</v>
      </c>
      <c r="B648" s="158" t="s">
        <v>567</v>
      </c>
      <c r="C648" s="158" t="s">
        <v>33</v>
      </c>
      <c r="D648" s="158" t="s">
        <v>34</v>
      </c>
      <c r="E648" s="157">
        <v>5</v>
      </c>
      <c r="F648" s="158" t="s">
        <v>525</v>
      </c>
      <c r="G648" s="159">
        <v>283705.8</v>
      </c>
      <c r="H648" s="159">
        <v>0</v>
      </c>
      <c r="I648" s="159">
        <v>58705.8</v>
      </c>
      <c r="J648" s="159">
        <v>20.7</v>
      </c>
      <c r="K648" t="str">
        <f>VLOOKUP($C648,Lists!$C$3:$M$118,7,FALSE)</f>
        <v>Spirits</v>
      </c>
      <c r="S648" s="4"/>
      <c r="T648" s="4"/>
      <c r="U648" s="5"/>
      <c r="V648" s="5"/>
    </row>
    <row r="649" spans="1:22" x14ac:dyDescent="0.25">
      <c r="A649" s="158" t="s">
        <v>566</v>
      </c>
      <c r="B649" s="158" t="s">
        <v>567</v>
      </c>
      <c r="C649" s="158" t="s">
        <v>51</v>
      </c>
      <c r="D649" s="158" t="s">
        <v>52</v>
      </c>
      <c r="E649" s="157">
        <v>72</v>
      </c>
      <c r="F649" s="158" t="s">
        <v>525</v>
      </c>
      <c r="G649" s="159">
        <v>721971.36</v>
      </c>
      <c r="H649" s="159">
        <v>0</v>
      </c>
      <c r="I649" s="159">
        <v>228026.16</v>
      </c>
      <c r="J649" s="159">
        <v>31.6</v>
      </c>
      <c r="K649" t="str">
        <f>VLOOKUP($C649,Lists!$C$3:$M$118,7,FALSE)</f>
        <v>Squash</v>
      </c>
      <c r="S649" s="4"/>
      <c r="T649" s="4"/>
      <c r="U649" s="5"/>
      <c r="V649" s="5"/>
    </row>
    <row r="650" spans="1:22" x14ac:dyDescent="0.25">
      <c r="A650" s="158" t="s">
        <v>568</v>
      </c>
      <c r="B650" s="158" t="s">
        <v>569</v>
      </c>
      <c r="C650" s="158" t="s">
        <v>43</v>
      </c>
      <c r="D650" s="158" t="s">
        <v>44</v>
      </c>
      <c r="E650" s="157">
        <v>400</v>
      </c>
      <c r="F650" s="158" t="s">
        <v>525</v>
      </c>
      <c r="G650" s="159">
        <v>1787600</v>
      </c>
      <c r="H650" s="159">
        <v>0</v>
      </c>
      <c r="I650" s="159">
        <v>223448</v>
      </c>
      <c r="J650" s="159">
        <v>12.5</v>
      </c>
      <c r="K650" t="str">
        <f>VLOOKUP($C650,Lists!$C$3:$M$118,7,FALSE)</f>
        <v>Beers</v>
      </c>
      <c r="S650" s="4"/>
      <c r="T650" s="4"/>
      <c r="U650" s="5"/>
      <c r="V650" s="5"/>
    </row>
    <row r="651" spans="1:22" x14ac:dyDescent="0.25">
      <c r="A651" s="158" t="s">
        <v>568</v>
      </c>
      <c r="B651" s="158" t="s">
        <v>569</v>
      </c>
      <c r="C651" s="158" t="s">
        <v>29</v>
      </c>
      <c r="D651" s="158" t="s">
        <v>30</v>
      </c>
      <c r="E651" s="157">
        <v>6</v>
      </c>
      <c r="F651" s="158" t="s">
        <v>525</v>
      </c>
      <c r="G651" s="159">
        <v>156000</v>
      </c>
      <c r="H651" s="159">
        <v>0</v>
      </c>
      <c r="I651" s="159">
        <v>0</v>
      </c>
      <c r="J651" s="159">
        <v>0</v>
      </c>
      <c r="K651" t="str">
        <f>VLOOKUP($C651,Lists!$C$3:$M$118,7,FALSE)</f>
        <v>Spirits</v>
      </c>
      <c r="S651" s="4"/>
      <c r="T651" s="4"/>
      <c r="U651" s="5"/>
      <c r="V651" s="5"/>
    </row>
    <row r="652" spans="1:22" x14ac:dyDescent="0.25">
      <c r="A652" s="158" t="s">
        <v>568</v>
      </c>
      <c r="B652" s="158" t="s">
        <v>569</v>
      </c>
      <c r="C652" s="158" t="s">
        <v>31</v>
      </c>
      <c r="D652" s="158" t="s">
        <v>32</v>
      </c>
      <c r="E652" s="157">
        <v>6</v>
      </c>
      <c r="F652" s="158" t="s">
        <v>525</v>
      </c>
      <c r="G652" s="159">
        <v>144000</v>
      </c>
      <c r="H652" s="159">
        <v>0</v>
      </c>
      <c r="I652" s="159">
        <v>0</v>
      </c>
      <c r="J652" s="159">
        <v>0</v>
      </c>
      <c r="K652" t="str">
        <f>VLOOKUP($C652,Lists!$C$3:$M$118,7,FALSE)</f>
        <v>Spirits</v>
      </c>
      <c r="S652" s="4"/>
      <c r="T652" s="4"/>
      <c r="U652" s="5"/>
      <c r="V652" s="5"/>
    </row>
    <row r="653" spans="1:22" x14ac:dyDescent="0.25">
      <c r="A653" s="158" t="s">
        <v>568</v>
      </c>
      <c r="B653" s="158" t="s">
        <v>569</v>
      </c>
      <c r="C653" s="158" t="s">
        <v>33</v>
      </c>
      <c r="D653" s="158" t="s">
        <v>34</v>
      </c>
      <c r="E653" s="157">
        <v>6</v>
      </c>
      <c r="F653" s="158" t="s">
        <v>525</v>
      </c>
      <c r="G653" s="159">
        <v>270000</v>
      </c>
      <c r="H653" s="159">
        <v>0</v>
      </c>
      <c r="I653" s="159">
        <v>0</v>
      </c>
      <c r="J653" s="159">
        <v>0</v>
      </c>
      <c r="K653" t="str">
        <f>VLOOKUP($C653,Lists!$C$3:$M$118,7,FALSE)</f>
        <v>Spirits</v>
      </c>
      <c r="S653" s="4"/>
      <c r="T653" s="4"/>
      <c r="U653" s="5"/>
      <c r="V653" s="5"/>
    </row>
    <row r="654" spans="1:22" x14ac:dyDescent="0.25">
      <c r="A654" s="158" t="s">
        <v>568</v>
      </c>
      <c r="B654" s="158" t="s">
        <v>569</v>
      </c>
      <c r="C654" s="158" t="s">
        <v>362</v>
      </c>
      <c r="D654" s="158" t="s">
        <v>363</v>
      </c>
      <c r="E654" s="157">
        <v>2000</v>
      </c>
      <c r="F654" s="158" t="s">
        <v>525</v>
      </c>
      <c r="G654" s="159">
        <v>8877140</v>
      </c>
      <c r="H654" s="159">
        <v>0</v>
      </c>
      <c r="I654" s="159">
        <v>807020</v>
      </c>
      <c r="J654" s="159">
        <v>9.1</v>
      </c>
      <c r="K654" t="str">
        <f>VLOOKUP($C654,Lists!$C$3:$M$118,7,FALSE)</f>
        <v>Squash</v>
      </c>
      <c r="S654" s="4"/>
      <c r="T654" s="4"/>
      <c r="U654" s="5"/>
      <c r="V654" s="5"/>
    </row>
    <row r="655" spans="1:22" x14ac:dyDescent="0.25">
      <c r="A655" s="158" t="s">
        <v>462</v>
      </c>
      <c r="B655" s="158" t="s">
        <v>90</v>
      </c>
      <c r="C655" s="158" t="s">
        <v>41</v>
      </c>
      <c r="D655" s="158" t="s">
        <v>42</v>
      </c>
      <c r="E655" s="157">
        <v>214</v>
      </c>
      <c r="F655" s="158" t="s">
        <v>525</v>
      </c>
      <c r="G655" s="159">
        <v>1653218.48</v>
      </c>
      <c r="H655" s="159">
        <v>0</v>
      </c>
      <c r="I655" s="159">
        <v>693428.48</v>
      </c>
      <c r="J655" s="159">
        <v>41.9</v>
      </c>
      <c r="K655" t="str">
        <f>VLOOKUP($C655,Lists!$C$3:$M$118,7,FALSE)</f>
        <v>Alcomix</v>
      </c>
      <c r="S655" s="4"/>
      <c r="T655" s="4"/>
      <c r="U655" s="5"/>
      <c r="V655" s="5"/>
    </row>
    <row r="656" spans="1:22" x14ac:dyDescent="0.25">
      <c r="A656" s="158" t="s">
        <v>462</v>
      </c>
      <c r="B656" s="158" t="s">
        <v>90</v>
      </c>
      <c r="C656" s="158" t="s">
        <v>10</v>
      </c>
      <c r="D656" s="158" t="s">
        <v>11</v>
      </c>
      <c r="E656" s="157">
        <v>144</v>
      </c>
      <c r="F656" s="158" t="s">
        <v>525</v>
      </c>
      <c r="G656" s="159">
        <v>1112446.08</v>
      </c>
      <c r="H656" s="159">
        <v>0</v>
      </c>
      <c r="I656" s="159">
        <v>466606.08000000002</v>
      </c>
      <c r="J656" s="159">
        <v>41.9</v>
      </c>
      <c r="K656" t="str">
        <f>VLOOKUP($C656,Lists!$C$3:$M$118,7,FALSE)</f>
        <v>Alcomix</v>
      </c>
      <c r="S656" s="4"/>
      <c r="T656" s="4"/>
      <c r="U656" s="5"/>
      <c r="V656" s="5"/>
    </row>
    <row r="657" spans="1:22" x14ac:dyDescent="0.25">
      <c r="A657" s="158" t="s">
        <v>462</v>
      </c>
      <c r="B657" s="158" t="s">
        <v>90</v>
      </c>
      <c r="C657" s="158" t="s">
        <v>12</v>
      </c>
      <c r="D657" s="158" t="s">
        <v>13</v>
      </c>
      <c r="E657" s="157">
        <v>4889</v>
      </c>
      <c r="F657" s="158" t="s">
        <v>525</v>
      </c>
      <c r="G657" s="159">
        <v>31474257.530000001</v>
      </c>
      <c r="H657" s="159">
        <v>0</v>
      </c>
      <c r="I657" s="159">
        <v>13755299.27</v>
      </c>
      <c r="J657" s="159">
        <v>43.7</v>
      </c>
      <c r="K657" t="str">
        <f>VLOOKUP($C657,Lists!$C$3:$M$118,7,FALSE)</f>
        <v>Beers</v>
      </c>
      <c r="S657" s="4"/>
      <c r="T657" s="4"/>
      <c r="U657" s="5"/>
      <c r="V657" s="5"/>
    </row>
    <row r="658" spans="1:22" x14ac:dyDescent="0.25">
      <c r="A658" s="158" t="s">
        <v>462</v>
      </c>
      <c r="B658" s="158" t="s">
        <v>90</v>
      </c>
      <c r="C658" s="158" t="s">
        <v>14</v>
      </c>
      <c r="D658" s="158" t="s">
        <v>15</v>
      </c>
      <c r="E658" s="157">
        <v>3304</v>
      </c>
      <c r="F658" s="158" t="s">
        <v>525</v>
      </c>
      <c r="G658" s="159">
        <v>25524457.280000001</v>
      </c>
      <c r="H658" s="159">
        <v>0</v>
      </c>
      <c r="I658" s="159">
        <v>12604561.76</v>
      </c>
      <c r="J658" s="159">
        <v>49.4</v>
      </c>
      <c r="K658" t="str">
        <f>VLOOKUP($C658,Lists!$C$3:$M$118,7,FALSE)</f>
        <v>Beers</v>
      </c>
      <c r="S658" s="4"/>
      <c r="T658" s="4"/>
      <c r="U658" s="5"/>
      <c r="V658" s="5"/>
    </row>
    <row r="659" spans="1:22" x14ac:dyDescent="0.25">
      <c r="A659" s="158" t="s">
        <v>462</v>
      </c>
      <c r="B659" s="158" t="s">
        <v>90</v>
      </c>
      <c r="C659" s="158" t="s">
        <v>54</v>
      </c>
      <c r="D659" s="158" t="s">
        <v>55</v>
      </c>
      <c r="E659" s="157">
        <v>349</v>
      </c>
      <c r="F659" s="158" t="s">
        <v>525</v>
      </c>
      <c r="G659" s="159">
        <v>2696136.68</v>
      </c>
      <c r="H659" s="159">
        <v>0</v>
      </c>
      <c r="I659" s="159">
        <v>1415393.93</v>
      </c>
      <c r="J659" s="159">
        <v>52.5</v>
      </c>
      <c r="K659" t="str">
        <f>VLOOKUP($C659,Lists!$C$3:$M$118,7,FALSE)</f>
        <v>Beers</v>
      </c>
      <c r="S659" s="4"/>
      <c r="T659" s="4"/>
      <c r="U659" s="5"/>
      <c r="V659" s="5"/>
    </row>
    <row r="660" spans="1:22" x14ac:dyDescent="0.25">
      <c r="A660" s="158" t="s">
        <v>462</v>
      </c>
      <c r="B660" s="158" t="s">
        <v>90</v>
      </c>
      <c r="C660" s="158" t="s">
        <v>16</v>
      </c>
      <c r="D660" s="158" t="s">
        <v>17</v>
      </c>
      <c r="E660" s="157">
        <v>5460</v>
      </c>
      <c r="F660" s="158" t="s">
        <v>525</v>
      </c>
      <c r="G660" s="159">
        <v>42180247.200000003</v>
      </c>
      <c r="H660" s="159">
        <v>0</v>
      </c>
      <c r="I660" s="159">
        <v>20829572.390000001</v>
      </c>
      <c r="J660" s="159">
        <v>49.4</v>
      </c>
      <c r="K660" t="str">
        <f>VLOOKUP($C660,Lists!$C$3:$M$118,7,FALSE)</f>
        <v>Beers</v>
      </c>
      <c r="S660" s="4"/>
      <c r="T660" s="4"/>
      <c r="U660" s="5"/>
      <c r="V660" s="5"/>
    </row>
    <row r="661" spans="1:22" x14ac:dyDescent="0.25">
      <c r="A661" s="158" t="s">
        <v>462</v>
      </c>
      <c r="B661" s="158" t="s">
        <v>90</v>
      </c>
      <c r="C661" s="158" t="s">
        <v>56</v>
      </c>
      <c r="D661" s="158" t="s">
        <v>57</v>
      </c>
      <c r="E661" s="157">
        <v>299</v>
      </c>
      <c r="F661" s="158" t="s">
        <v>525</v>
      </c>
      <c r="G661" s="159">
        <v>2309870.6800000002</v>
      </c>
      <c r="H661" s="159">
        <v>0</v>
      </c>
      <c r="I661" s="159">
        <v>1212615.43</v>
      </c>
      <c r="J661" s="159">
        <v>52.5</v>
      </c>
      <c r="K661" t="str">
        <f>VLOOKUP($C661,Lists!$C$3:$M$118,7,FALSE)</f>
        <v>Beers</v>
      </c>
      <c r="S661" s="4"/>
      <c r="T661" s="4"/>
      <c r="U661" s="5"/>
      <c r="V661" s="5"/>
    </row>
    <row r="662" spans="1:22" x14ac:dyDescent="0.25">
      <c r="A662" s="158" t="s">
        <v>462</v>
      </c>
      <c r="B662" s="158" t="s">
        <v>90</v>
      </c>
      <c r="C662" s="158" t="s">
        <v>18</v>
      </c>
      <c r="D662" s="158" t="s">
        <v>19</v>
      </c>
      <c r="E662" s="157">
        <v>642</v>
      </c>
      <c r="F662" s="158" t="s">
        <v>525</v>
      </c>
      <c r="G662" s="159">
        <v>6612876.0599999996</v>
      </c>
      <c r="H662" s="159">
        <v>0</v>
      </c>
      <c r="I662" s="159">
        <v>3428877.06</v>
      </c>
      <c r="J662" s="159">
        <v>51.9</v>
      </c>
      <c r="K662" t="str">
        <f>VLOOKUP($C662,Lists!$C$3:$M$118,7,FALSE)</f>
        <v>Beers</v>
      </c>
      <c r="S662" s="4"/>
      <c r="T662" s="4"/>
      <c r="U662" s="5"/>
      <c r="V662" s="5"/>
    </row>
    <row r="663" spans="1:22" x14ac:dyDescent="0.25">
      <c r="A663" s="158" t="s">
        <v>462</v>
      </c>
      <c r="B663" s="158" t="s">
        <v>90</v>
      </c>
      <c r="C663" s="158" t="s">
        <v>20</v>
      </c>
      <c r="D663" s="158" t="s">
        <v>21</v>
      </c>
      <c r="E663" s="157">
        <v>3376</v>
      </c>
      <c r="F663" s="158" t="s">
        <v>525</v>
      </c>
      <c r="G663" s="159">
        <v>13362309.279999999</v>
      </c>
      <c r="H663" s="159">
        <v>0</v>
      </c>
      <c r="I663" s="159">
        <v>5615402.0700000003</v>
      </c>
      <c r="J663" s="159">
        <v>42</v>
      </c>
      <c r="K663" t="str">
        <f>VLOOKUP($C663,Lists!$C$3:$M$118,7,FALSE)</f>
        <v>COKE_RGB</v>
      </c>
      <c r="S663" s="4"/>
      <c r="T663" s="4"/>
      <c r="U663" s="5"/>
      <c r="V663" s="5"/>
    </row>
    <row r="664" spans="1:22" x14ac:dyDescent="0.25">
      <c r="A664" s="158" t="s">
        <v>462</v>
      </c>
      <c r="B664" s="158" t="s">
        <v>90</v>
      </c>
      <c r="C664" s="158" t="s">
        <v>28</v>
      </c>
      <c r="D664" s="158" t="s">
        <v>530</v>
      </c>
      <c r="E664" s="157">
        <v>144</v>
      </c>
      <c r="F664" s="158" t="s">
        <v>525</v>
      </c>
      <c r="G664" s="159">
        <v>406497.6</v>
      </c>
      <c r="H664" s="159">
        <v>0</v>
      </c>
      <c r="I664" s="159">
        <v>205034.4</v>
      </c>
      <c r="J664" s="159">
        <v>50.4</v>
      </c>
      <c r="K664" t="str">
        <f>VLOOKUP($C664,Lists!$C$3:$M$118,7,FALSE)</f>
        <v>COKE_PET</v>
      </c>
      <c r="S664" s="4"/>
      <c r="T664" s="4"/>
      <c r="U664" s="5"/>
      <c r="V664" s="5"/>
    </row>
    <row r="665" spans="1:22" x14ac:dyDescent="0.25">
      <c r="A665" s="158" t="s">
        <v>462</v>
      </c>
      <c r="B665" s="158" t="s">
        <v>90</v>
      </c>
      <c r="C665" s="158" t="s">
        <v>58</v>
      </c>
      <c r="D665" s="158" t="s">
        <v>537</v>
      </c>
      <c r="E665" s="157">
        <v>864</v>
      </c>
      <c r="F665" s="158" t="s">
        <v>525</v>
      </c>
      <c r="G665" s="159">
        <v>2090560.32</v>
      </c>
      <c r="H665" s="159">
        <v>0</v>
      </c>
      <c r="I665" s="159">
        <v>1158252.48</v>
      </c>
      <c r="J665" s="159">
        <v>55.4</v>
      </c>
      <c r="K665" t="str">
        <f>VLOOKUP($C665,Lists!$C$3:$M$118,7,FALSE)</f>
        <v>SOBO_PET</v>
      </c>
      <c r="S665" s="4"/>
      <c r="T665" s="4"/>
      <c r="U665" s="5"/>
      <c r="V665" s="5"/>
    </row>
    <row r="666" spans="1:22" x14ac:dyDescent="0.25">
      <c r="A666" s="158" t="s">
        <v>462</v>
      </c>
      <c r="B666" s="158" t="s">
        <v>90</v>
      </c>
      <c r="C666" s="158" t="s">
        <v>78</v>
      </c>
      <c r="D666" s="158" t="s">
        <v>526</v>
      </c>
      <c r="E666" s="157">
        <v>144</v>
      </c>
      <c r="F666" s="158" t="s">
        <v>525</v>
      </c>
      <c r="G666" s="159">
        <v>348426.72</v>
      </c>
      <c r="H666" s="159">
        <v>0</v>
      </c>
      <c r="I666" s="159">
        <v>190236.96</v>
      </c>
      <c r="J666" s="159">
        <v>54.6</v>
      </c>
      <c r="K666" t="str">
        <f>VLOOKUP($C666,Lists!$C$3:$M$118,7,FALSE)</f>
        <v>SOBO_PET</v>
      </c>
      <c r="S666" s="4"/>
      <c r="T666" s="4"/>
      <c r="U666" s="5"/>
      <c r="V666" s="5"/>
    </row>
    <row r="667" spans="1:22" x14ac:dyDescent="0.25">
      <c r="A667" s="158" t="s">
        <v>462</v>
      </c>
      <c r="B667" s="158" t="s">
        <v>90</v>
      </c>
      <c r="C667" s="158" t="s">
        <v>43</v>
      </c>
      <c r="D667" s="158" t="s">
        <v>44</v>
      </c>
      <c r="E667" s="157">
        <v>503</v>
      </c>
      <c r="F667" s="158" t="s">
        <v>525</v>
      </c>
      <c r="G667" s="159">
        <v>3885835.96</v>
      </c>
      <c r="H667" s="159">
        <v>0</v>
      </c>
      <c r="I667" s="159">
        <v>1918914.82</v>
      </c>
      <c r="J667" s="159">
        <v>49.4</v>
      </c>
      <c r="K667" t="str">
        <f>VLOOKUP($C667,Lists!$C$3:$M$118,7,FALSE)</f>
        <v>Beers</v>
      </c>
      <c r="S667" s="4"/>
      <c r="T667" s="4"/>
      <c r="U667" s="5"/>
      <c r="V667" s="5"/>
    </row>
    <row r="668" spans="1:22" x14ac:dyDescent="0.25">
      <c r="A668" s="158" t="s">
        <v>462</v>
      </c>
      <c r="B668" s="158" t="s">
        <v>90</v>
      </c>
      <c r="C668" s="158" t="s">
        <v>59</v>
      </c>
      <c r="D668" s="158" t="s">
        <v>60</v>
      </c>
      <c r="E668" s="157">
        <v>286</v>
      </c>
      <c r="F668" s="158" t="s">
        <v>525</v>
      </c>
      <c r="G668" s="159">
        <v>1131996.58</v>
      </c>
      <c r="H668" s="159">
        <v>0</v>
      </c>
      <c r="I668" s="159">
        <v>460911.88</v>
      </c>
      <c r="J668" s="159">
        <v>40.700000000000003</v>
      </c>
      <c r="K668" t="str">
        <f>VLOOKUP($C668,Lists!$C$3:$M$118,7,FALSE)</f>
        <v>COKE_RGB</v>
      </c>
      <c r="S668" s="4"/>
      <c r="T668" s="4"/>
      <c r="U668" s="5"/>
      <c r="V668" s="5"/>
    </row>
    <row r="669" spans="1:22" x14ac:dyDescent="0.25">
      <c r="A669" s="158" t="s">
        <v>462</v>
      </c>
      <c r="B669" s="158" t="s">
        <v>90</v>
      </c>
      <c r="C669" s="158" t="s">
        <v>22</v>
      </c>
      <c r="D669" s="158" t="s">
        <v>23</v>
      </c>
      <c r="E669" s="157">
        <v>1580</v>
      </c>
      <c r="F669" s="158" t="s">
        <v>525</v>
      </c>
      <c r="G669" s="159">
        <v>6253687.4000000004</v>
      </c>
      <c r="H669" s="159">
        <v>0</v>
      </c>
      <c r="I669" s="159">
        <v>2519404.7999999998</v>
      </c>
      <c r="J669" s="159">
        <v>40.299999999999997</v>
      </c>
      <c r="K669" t="str">
        <f>VLOOKUP($C669,Lists!$C$3:$M$118,7,FALSE)</f>
        <v>COKE_RGB</v>
      </c>
      <c r="S669" s="4"/>
      <c r="T669" s="4"/>
      <c r="U669" s="5"/>
      <c r="V669" s="5"/>
    </row>
    <row r="670" spans="1:22" x14ac:dyDescent="0.25">
      <c r="A670" s="158" t="s">
        <v>462</v>
      </c>
      <c r="B670" s="158" t="s">
        <v>90</v>
      </c>
      <c r="C670" s="158" t="s">
        <v>67</v>
      </c>
      <c r="D670" s="158" t="s">
        <v>533</v>
      </c>
      <c r="E670" s="157">
        <v>144</v>
      </c>
      <c r="F670" s="158" t="s">
        <v>525</v>
      </c>
      <c r="G670" s="159">
        <v>406497.6</v>
      </c>
      <c r="H670" s="159">
        <v>0</v>
      </c>
      <c r="I670" s="159">
        <v>199961.28</v>
      </c>
      <c r="J670" s="159">
        <v>49.2</v>
      </c>
      <c r="K670" t="str">
        <f>VLOOKUP($C670,Lists!$C$3:$M$118,7,FALSE)</f>
        <v>COKE_PET</v>
      </c>
      <c r="S670" s="4"/>
      <c r="T670" s="4"/>
      <c r="U670" s="5"/>
      <c r="V670" s="5"/>
    </row>
    <row r="671" spans="1:22" x14ac:dyDescent="0.25">
      <c r="A671" s="158" t="s">
        <v>462</v>
      </c>
      <c r="B671" s="158" t="s">
        <v>90</v>
      </c>
      <c r="C671" s="158" t="s">
        <v>261</v>
      </c>
      <c r="D671" s="158" t="s">
        <v>538</v>
      </c>
      <c r="E671" s="157">
        <v>215</v>
      </c>
      <c r="F671" s="158" t="s">
        <v>525</v>
      </c>
      <c r="G671" s="159">
        <v>850976.45</v>
      </c>
      <c r="H671" s="159">
        <v>0</v>
      </c>
      <c r="I671" s="159">
        <v>342830.4</v>
      </c>
      <c r="J671" s="159">
        <v>40.299999999999997</v>
      </c>
      <c r="K671" t="str">
        <f>VLOOKUP($C671,Lists!$C$3:$M$118,7,FALSE)</f>
        <v>COKE_RGB</v>
      </c>
      <c r="S671" s="4"/>
      <c r="T671" s="4"/>
      <c r="U671" s="5"/>
      <c r="V671" s="5"/>
    </row>
    <row r="672" spans="1:22" x14ac:dyDescent="0.25">
      <c r="A672" s="158" t="s">
        <v>462</v>
      </c>
      <c r="B672" s="158" t="s">
        <v>90</v>
      </c>
      <c r="C672" s="158" t="s">
        <v>24</v>
      </c>
      <c r="D672" s="158" t="s">
        <v>25</v>
      </c>
      <c r="E672" s="157">
        <v>2082</v>
      </c>
      <c r="F672" s="158" t="s">
        <v>525</v>
      </c>
      <c r="G672" s="159">
        <v>13403437.140000001</v>
      </c>
      <c r="H672" s="159">
        <v>0</v>
      </c>
      <c r="I672" s="159">
        <v>6453450.4800000004</v>
      </c>
      <c r="J672" s="159">
        <v>48.1</v>
      </c>
      <c r="K672" t="str">
        <f>VLOOKUP($C672,Lists!$C$3:$M$118,7,FALSE)</f>
        <v>Beers</v>
      </c>
      <c r="S672" s="4"/>
      <c r="T672" s="4"/>
      <c r="U672" s="5"/>
      <c r="V672" s="5"/>
    </row>
    <row r="673" spans="1:22" x14ac:dyDescent="0.25">
      <c r="A673" s="158" t="s">
        <v>462</v>
      </c>
      <c r="B673" s="158" t="s">
        <v>90</v>
      </c>
      <c r="C673" s="158" t="s">
        <v>29</v>
      </c>
      <c r="D673" s="158" t="s">
        <v>30</v>
      </c>
      <c r="E673" s="157">
        <v>149</v>
      </c>
      <c r="F673" s="158" t="s">
        <v>525</v>
      </c>
      <c r="G673" s="159">
        <v>5421274.1100000003</v>
      </c>
      <c r="H673" s="159">
        <v>0</v>
      </c>
      <c r="I673" s="159">
        <v>1547274.11</v>
      </c>
      <c r="J673" s="159">
        <v>28.5</v>
      </c>
      <c r="K673" t="str">
        <f>VLOOKUP($C673,Lists!$C$3:$M$118,7,FALSE)</f>
        <v>Spirits</v>
      </c>
      <c r="S673" s="4"/>
      <c r="T673" s="4"/>
      <c r="U673" s="5"/>
      <c r="V673" s="5"/>
    </row>
    <row r="674" spans="1:22" x14ac:dyDescent="0.25">
      <c r="A674" s="158" t="s">
        <v>462</v>
      </c>
      <c r="B674" s="158" t="s">
        <v>90</v>
      </c>
      <c r="C674" s="158" t="s">
        <v>33</v>
      </c>
      <c r="D674" s="158" t="s">
        <v>34</v>
      </c>
      <c r="E674" s="157">
        <v>50</v>
      </c>
      <c r="F674" s="158" t="s">
        <v>525</v>
      </c>
      <c r="G674" s="159">
        <v>2784520</v>
      </c>
      <c r="H674" s="159">
        <v>0</v>
      </c>
      <c r="I674" s="159">
        <v>534520</v>
      </c>
      <c r="J674" s="159">
        <v>19.2</v>
      </c>
      <c r="K674" t="str">
        <f>VLOOKUP($C674,Lists!$C$3:$M$118,7,FALSE)</f>
        <v>Spirits</v>
      </c>
      <c r="S674" s="4"/>
      <c r="T674" s="4"/>
      <c r="U674" s="5"/>
      <c r="V674" s="5"/>
    </row>
    <row r="675" spans="1:22" x14ac:dyDescent="0.25">
      <c r="A675" s="158" t="s">
        <v>462</v>
      </c>
      <c r="B675" s="158" t="s">
        <v>90</v>
      </c>
      <c r="C675" s="158" t="s">
        <v>37</v>
      </c>
      <c r="D675" s="158" t="s">
        <v>38</v>
      </c>
      <c r="E675" s="157">
        <v>861</v>
      </c>
      <c r="F675" s="158" t="s">
        <v>525</v>
      </c>
      <c r="G675" s="159">
        <v>2839887.96</v>
      </c>
      <c r="H675" s="159">
        <v>0</v>
      </c>
      <c r="I675" s="159">
        <v>1330391.3700000001</v>
      </c>
      <c r="J675" s="159">
        <v>46.8</v>
      </c>
      <c r="K675" t="str">
        <f>VLOOKUP($C675,Lists!$C$3:$M$118,7,FALSE)</f>
        <v>SOBO_RGB</v>
      </c>
      <c r="S675" s="4"/>
      <c r="T675" s="4"/>
      <c r="U675" s="5"/>
      <c r="V675" s="5"/>
    </row>
    <row r="676" spans="1:22" x14ac:dyDescent="0.25">
      <c r="A676" s="158" t="s">
        <v>462</v>
      </c>
      <c r="B676" s="158" t="s">
        <v>90</v>
      </c>
      <c r="C676" s="158" t="s">
        <v>39</v>
      </c>
      <c r="D676" s="158" t="s">
        <v>40</v>
      </c>
      <c r="E676" s="157">
        <v>858</v>
      </c>
      <c r="F676" s="158" t="s">
        <v>525</v>
      </c>
      <c r="G676" s="159">
        <v>2829992.88</v>
      </c>
      <c r="H676" s="159">
        <v>0</v>
      </c>
      <c r="I676" s="159">
        <v>1314035.58</v>
      </c>
      <c r="J676" s="159">
        <v>46.4</v>
      </c>
      <c r="K676" t="str">
        <f>VLOOKUP($C676,Lists!$C$3:$M$118,7,FALSE)</f>
        <v>SOBO_RGB</v>
      </c>
      <c r="S676" s="4"/>
      <c r="T676" s="4"/>
      <c r="U676" s="5"/>
      <c r="V676" s="5"/>
    </row>
    <row r="677" spans="1:22" x14ac:dyDescent="0.25">
      <c r="A677" s="158" t="s">
        <v>462</v>
      </c>
      <c r="B677" s="158" t="s">
        <v>90</v>
      </c>
      <c r="C677" s="158" t="s">
        <v>45</v>
      </c>
      <c r="D677" s="158" t="s">
        <v>46</v>
      </c>
      <c r="E677" s="157">
        <v>215</v>
      </c>
      <c r="F677" s="158" t="s">
        <v>525</v>
      </c>
      <c r="G677" s="159">
        <v>850976.45</v>
      </c>
      <c r="H677" s="159">
        <v>0</v>
      </c>
      <c r="I677" s="159">
        <v>419136.05</v>
      </c>
      <c r="J677" s="159">
        <v>49.3</v>
      </c>
      <c r="K677" t="str">
        <f>VLOOKUP($C677,Lists!$C$3:$M$118,7,FALSE)</f>
        <v>SOBO_RGB</v>
      </c>
      <c r="S677" s="4"/>
      <c r="T677" s="4"/>
      <c r="U677" s="5"/>
      <c r="V677" s="5"/>
    </row>
    <row r="678" spans="1:22" x14ac:dyDescent="0.25">
      <c r="A678" s="158" t="s">
        <v>462</v>
      </c>
      <c r="B678" s="158" t="s">
        <v>90</v>
      </c>
      <c r="C678" s="158" t="s">
        <v>47</v>
      </c>
      <c r="D678" s="158" t="s">
        <v>48</v>
      </c>
      <c r="E678" s="157">
        <v>504</v>
      </c>
      <c r="F678" s="158" t="s">
        <v>525</v>
      </c>
      <c r="G678" s="159">
        <v>1994847.12</v>
      </c>
      <c r="H678" s="159">
        <v>0</v>
      </c>
      <c r="I678" s="159">
        <v>870574.32</v>
      </c>
      <c r="J678" s="159">
        <v>43.6</v>
      </c>
      <c r="K678" t="str">
        <f>VLOOKUP($C678,Lists!$C$3:$M$118,7,FALSE)</f>
        <v>COKE_RGB</v>
      </c>
      <c r="S678" s="4"/>
      <c r="T678" s="4"/>
      <c r="U678" s="5"/>
      <c r="V678" s="5"/>
    </row>
    <row r="679" spans="1:22" x14ac:dyDescent="0.25">
      <c r="A679" s="158" t="s">
        <v>462</v>
      </c>
      <c r="B679" s="158" t="s">
        <v>90</v>
      </c>
      <c r="C679" s="158" t="s">
        <v>68</v>
      </c>
      <c r="D679" s="158" t="s">
        <v>534</v>
      </c>
      <c r="E679" s="157">
        <v>144</v>
      </c>
      <c r="F679" s="158" t="s">
        <v>525</v>
      </c>
      <c r="G679" s="159">
        <v>406497.6</v>
      </c>
      <c r="H679" s="159">
        <v>0</v>
      </c>
      <c r="I679" s="159">
        <v>198080.64000000001</v>
      </c>
      <c r="J679" s="159">
        <v>48.7</v>
      </c>
      <c r="K679" t="str">
        <f>VLOOKUP($C679,Lists!$C$3:$M$118,7,FALSE)</f>
        <v>COKE_PET</v>
      </c>
      <c r="S679" s="4"/>
      <c r="T679" s="4"/>
      <c r="U679" s="5"/>
      <c r="V679" s="5"/>
    </row>
    <row r="680" spans="1:22" x14ac:dyDescent="0.25">
      <c r="A680" s="158" t="s">
        <v>462</v>
      </c>
      <c r="B680" s="158" t="s">
        <v>90</v>
      </c>
      <c r="C680" s="158" t="s">
        <v>49</v>
      </c>
      <c r="D680" s="158" t="s">
        <v>50</v>
      </c>
      <c r="E680" s="157">
        <v>286</v>
      </c>
      <c r="F680" s="158" t="s">
        <v>525</v>
      </c>
      <c r="G680" s="159">
        <v>2867830.68</v>
      </c>
      <c r="H680" s="159">
        <v>0</v>
      </c>
      <c r="I680" s="159">
        <v>913403.92</v>
      </c>
      <c r="J680" s="159">
        <v>31.8</v>
      </c>
      <c r="K680" t="str">
        <f>VLOOKUP($C680,Lists!$C$3:$M$118,7,FALSE)</f>
        <v>Squash</v>
      </c>
      <c r="S680" s="4"/>
      <c r="T680" s="4"/>
      <c r="U680" s="5"/>
      <c r="V680" s="5"/>
    </row>
    <row r="681" spans="1:22" x14ac:dyDescent="0.25">
      <c r="A681" s="158" t="s">
        <v>462</v>
      </c>
      <c r="B681" s="158" t="s">
        <v>90</v>
      </c>
      <c r="C681" s="158" t="s">
        <v>51</v>
      </c>
      <c r="D681" s="158" t="s">
        <v>52</v>
      </c>
      <c r="E681" s="157">
        <v>72</v>
      </c>
      <c r="F681" s="158" t="s">
        <v>525</v>
      </c>
      <c r="G681" s="159">
        <v>721971.36</v>
      </c>
      <c r="H681" s="159">
        <v>0</v>
      </c>
      <c r="I681" s="159">
        <v>228026.16</v>
      </c>
      <c r="J681" s="159">
        <v>31.6</v>
      </c>
      <c r="K681" t="str">
        <f>VLOOKUP($C681,Lists!$C$3:$M$118,7,FALSE)</f>
        <v>Squash</v>
      </c>
      <c r="S681" s="4"/>
      <c r="T681" s="4"/>
      <c r="U681" s="5"/>
      <c r="V681" s="5"/>
    </row>
    <row r="682" spans="1:22" x14ac:dyDescent="0.25">
      <c r="A682" s="158" t="s">
        <v>462</v>
      </c>
      <c r="B682" s="158" t="s">
        <v>90</v>
      </c>
      <c r="C682" s="158" t="s">
        <v>26</v>
      </c>
      <c r="D682" s="158" t="s">
        <v>27</v>
      </c>
      <c r="E682" s="157">
        <v>288</v>
      </c>
      <c r="F682" s="158" t="s">
        <v>525</v>
      </c>
      <c r="G682" s="159">
        <v>628531.19999999995</v>
      </c>
      <c r="H682" s="159">
        <v>0</v>
      </c>
      <c r="I682" s="159">
        <v>277102.08000000002</v>
      </c>
      <c r="J682" s="159">
        <v>44.1</v>
      </c>
      <c r="K682" t="str">
        <f>VLOOKUP($C682,Lists!$C$3:$M$118,7,FALSE)</f>
        <v>Water</v>
      </c>
      <c r="S682" s="4"/>
      <c r="T682" s="4"/>
      <c r="U682" s="5"/>
      <c r="V682" s="5"/>
    </row>
    <row r="683" spans="1:22" x14ac:dyDescent="0.25">
      <c r="A683" s="158" t="s">
        <v>570</v>
      </c>
      <c r="B683" s="158" t="s">
        <v>571</v>
      </c>
      <c r="C683" s="158" t="s">
        <v>12</v>
      </c>
      <c r="D683" s="158" t="s">
        <v>13</v>
      </c>
      <c r="E683" s="157">
        <v>1512</v>
      </c>
      <c r="F683" s="158" t="s">
        <v>525</v>
      </c>
      <c r="G683" s="159">
        <v>9917570.8800000008</v>
      </c>
      <c r="H683" s="159">
        <v>0</v>
      </c>
      <c r="I683" s="159">
        <v>4437704.87</v>
      </c>
      <c r="J683" s="159">
        <v>44.7</v>
      </c>
      <c r="K683" t="str">
        <f>VLOOKUP($C683,Lists!$C$3:$M$118,7,FALSE)</f>
        <v>Beers</v>
      </c>
      <c r="S683" s="4"/>
      <c r="T683" s="4"/>
      <c r="U683" s="5"/>
      <c r="V683" s="5"/>
    </row>
    <row r="684" spans="1:22" x14ac:dyDescent="0.25">
      <c r="A684" s="158" t="s">
        <v>570</v>
      </c>
      <c r="B684" s="158" t="s">
        <v>571</v>
      </c>
      <c r="C684" s="158" t="s">
        <v>14</v>
      </c>
      <c r="D684" s="158" t="s">
        <v>15</v>
      </c>
      <c r="E684" s="157">
        <v>1152</v>
      </c>
      <c r="F684" s="158" t="s">
        <v>525</v>
      </c>
      <c r="G684" s="159">
        <v>9067484.1600000001</v>
      </c>
      <c r="H684" s="159">
        <v>0</v>
      </c>
      <c r="I684" s="159">
        <v>4562726.4000000004</v>
      </c>
      <c r="J684" s="159">
        <v>50.3</v>
      </c>
      <c r="K684" t="str">
        <f>VLOOKUP($C684,Lists!$C$3:$M$118,7,FALSE)</f>
        <v>Beers</v>
      </c>
      <c r="S684" s="4"/>
      <c r="T684" s="4"/>
      <c r="U684" s="5"/>
      <c r="V684" s="5"/>
    </row>
    <row r="685" spans="1:22" x14ac:dyDescent="0.25">
      <c r="A685" s="158" t="s">
        <v>570</v>
      </c>
      <c r="B685" s="158" t="s">
        <v>571</v>
      </c>
      <c r="C685" s="158" t="s">
        <v>16</v>
      </c>
      <c r="D685" s="158" t="s">
        <v>17</v>
      </c>
      <c r="E685" s="157">
        <v>1152</v>
      </c>
      <c r="F685" s="158" t="s">
        <v>525</v>
      </c>
      <c r="G685" s="159">
        <v>9067484.1600000001</v>
      </c>
      <c r="H685" s="159">
        <v>0</v>
      </c>
      <c r="I685" s="159">
        <v>4562726.4000000004</v>
      </c>
      <c r="J685" s="159">
        <v>50.3</v>
      </c>
      <c r="K685" t="str">
        <f>VLOOKUP($C685,Lists!$C$3:$M$118,7,FALSE)</f>
        <v>Beers</v>
      </c>
      <c r="S685" s="4"/>
      <c r="T685" s="4"/>
      <c r="U685" s="5"/>
      <c r="V685" s="5"/>
    </row>
    <row r="686" spans="1:22" x14ac:dyDescent="0.25">
      <c r="A686" s="158" t="s">
        <v>570</v>
      </c>
      <c r="B686" s="158" t="s">
        <v>571</v>
      </c>
      <c r="C686" s="158" t="s">
        <v>18</v>
      </c>
      <c r="D686" s="158" t="s">
        <v>19</v>
      </c>
      <c r="E686" s="157">
        <v>216</v>
      </c>
      <c r="F686" s="158" t="s">
        <v>525</v>
      </c>
      <c r="G686" s="159">
        <v>2266870.3199999998</v>
      </c>
      <c r="H686" s="159">
        <v>0</v>
      </c>
      <c r="I686" s="159">
        <v>1195618.31</v>
      </c>
      <c r="J686" s="159">
        <v>52.7</v>
      </c>
      <c r="K686" t="str">
        <f>VLOOKUP($C686,Lists!$C$3:$M$118,7,FALSE)</f>
        <v>Beers</v>
      </c>
      <c r="S686" s="4"/>
      <c r="T686" s="4"/>
      <c r="U686" s="5"/>
      <c r="V686" s="5"/>
    </row>
    <row r="687" spans="1:22" x14ac:dyDescent="0.25">
      <c r="A687" s="158" t="s">
        <v>570</v>
      </c>
      <c r="B687" s="158" t="s">
        <v>571</v>
      </c>
      <c r="C687" s="158" t="s">
        <v>20</v>
      </c>
      <c r="D687" s="158" t="s">
        <v>21</v>
      </c>
      <c r="E687" s="157">
        <v>1152</v>
      </c>
      <c r="F687" s="158" t="s">
        <v>525</v>
      </c>
      <c r="G687" s="159">
        <v>4645681.92</v>
      </c>
      <c r="H687" s="159">
        <v>0</v>
      </c>
      <c r="I687" s="159">
        <v>2002187.52</v>
      </c>
      <c r="J687" s="159">
        <v>43.1</v>
      </c>
      <c r="K687" t="str">
        <f>VLOOKUP($C687,Lists!$C$3:$M$118,7,FALSE)</f>
        <v>COKE_RGB</v>
      </c>
      <c r="S687" s="4"/>
      <c r="T687" s="4"/>
      <c r="U687" s="5"/>
      <c r="V687" s="5"/>
    </row>
    <row r="688" spans="1:22" x14ac:dyDescent="0.25">
      <c r="A688" s="158" t="s">
        <v>570</v>
      </c>
      <c r="B688" s="158" t="s">
        <v>571</v>
      </c>
      <c r="C688" s="158" t="s">
        <v>43</v>
      </c>
      <c r="D688" s="158" t="s">
        <v>44</v>
      </c>
      <c r="E688" s="157">
        <v>144</v>
      </c>
      <c r="F688" s="158" t="s">
        <v>525</v>
      </c>
      <c r="G688" s="159">
        <v>1133435.52</v>
      </c>
      <c r="H688" s="159">
        <v>0</v>
      </c>
      <c r="I688" s="159">
        <v>570340.80000000005</v>
      </c>
      <c r="J688" s="159">
        <v>50.3</v>
      </c>
      <c r="K688" t="str">
        <f>VLOOKUP($C688,Lists!$C$3:$M$118,7,FALSE)</f>
        <v>Beers</v>
      </c>
      <c r="S688" s="4"/>
      <c r="T688" s="4"/>
      <c r="U688" s="5"/>
      <c r="V688" s="5"/>
    </row>
    <row r="689" spans="1:22" x14ac:dyDescent="0.25">
      <c r="A689" s="158" t="s">
        <v>570</v>
      </c>
      <c r="B689" s="158" t="s">
        <v>571</v>
      </c>
      <c r="C689" s="158" t="s">
        <v>22</v>
      </c>
      <c r="D689" s="158" t="s">
        <v>23</v>
      </c>
      <c r="E689" s="157">
        <v>504</v>
      </c>
      <c r="F689" s="158" t="s">
        <v>525</v>
      </c>
      <c r="G689" s="159">
        <v>2032485.84</v>
      </c>
      <c r="H689" s="159">
        <v>0</v>
      </c>
      <c r="I689" s="159">
        <v>841296.96</v>
      </c>
      <c r="J689" s="159">
        <v>41.4</v>
      </c>
      <c r="K689" t="str">
        <f>VLOOKUP($C689,Lists!$C$3:$M$118,7,FALSE)</f>
        <v>COKE_RGB</v>
      </c>
      <c r="S689" s="4"/>
      <c r="T689" s="4"/>
      <c r="U689" s="5"/>
      <c r="V689" s="5"/>
    </row>
    <row r="690" spans="1:22" x14ac:dyDescent="0.25">
      <c r="A690" s="158" t="s">
        <v>570</v>
      </c>
      <c r="B690" s="158" t="s">
        <v>571</v>
      </c>
      <c r="C690" s="158" t="s">
        <v>24</v>
      </c>
      <c r="D690" s="158" t="s">
        <v>25</v>
      </c>
      <c r="E690" s="157">
        <v>576</v>
      </c>
      <c r="F690" s="158" t="s">
        <v>525</v>
      </c>
      <c r="G690" s="159">
        <v>3778122.24</v>
      </c>
      <c r="H690" s="159">
        <v>0</v>
      </c>
      <c r="I690" s="159">
        <v>1855359.36</v>
      </c>
      <c r="J690" s="159">
        <v>49.1</v>
      </c>
      <c r="K690" t="str">
        <f>VLOOKUP($C690,Lists!$C$3:$M$118,7,FALSE)</f>
        <v>Beers</v>
      </c>
      <c r="S690" s="4"/>
      <c r="T690" s="4"/>
      <c r="U690" s="5"/>
      <c r="V690" s="5"/>
    </row>
    <row r="691" spans="1:22" x14ac:dyDescent="0.25">
      <c r="A691" s="158" t="s">
        <v>570</v>
      </c>
      <c r="B691" s="158" t="s">
        <v>571</v>
      </c>
      <c r="C691" s="158" t="s">
        <v>29</v>
      </c>
      <c r="D691" s="158" t="s">
        <v>30</v>
      </c>
      <c r="E691" s="157">
        <v>140</v>
      </c>
      <c r="F691" s="158" t="s">
        <v>525</v>
      </c>
      <c r="G691" s="159">
        <v>5189924.5999999996</v>
      </c>
      <c r="H691" s="159">
        <v>0</v>
      </c>
      <c r="I691" s="159">
        <v>1549924.6</v>
      </c>
      <c r="J691" s="159">
        <v>29.9</v>
      </c>
      <c r="K691" t="str">
        <f>VLOOKUP($C691,Lists!$C$3:$M$118,7,FALSE)</f>
        <v>Spirits</v>
      </c>
      <c r="S691" s="4"/>
      <c r="T691" s="4"/>
      <c r="U691" s="5"/>
      <c r="V691" s="5"/>
    </row>
    <row r="692" spans="1:22" x14ac:dyDescent="0.25">
      <c r="A692" s="158" t="s">
        <v>570</v>
      </c>
      <c r="B692" s="158" t="s">
        <v>571</v>
      </c>
      <c r="C692" s="158" t="s">
        <v>33</v>
      </c>
      <c r="D692" s="158" t="s">
        <v>34</v>
      </c>
      <c r="E692" s="157">
        <v>60</v>
      </c>
      <c r="F692" s="158" t="s">
        <v>525</v>
      </c>
      <c r="G692" s="159">
        <v>3404469.6</v>
      </c>
      <c r="H692" s="159">
        <v>0</v>
      </c>
      <c r="I692" s="159">
        <v>704469.6</v>
      </c>
      <c r="J692" s="159">
        <v>20.7</v>
      </c>
      <c r="K692" t="str">
        <f>VLOOKUP($C692,Lists!$C$3:$M$118,7,FALSE)</f>
        <v>Spirits</v>
      </c>
      <c r="S692" s="4"/>
      <c r="T692" s="4"/>
      <c r="U692" s="5"/>
      <c r="V692" s="5"/>
    </row>
    <row r="693" spans="1:22" x14ac:dyDescent="0.25">
      <c r="A693" s="158" t="s">
        <v>570</v>
      </c>
      <c r="B693" s="158" t="s">
        <v>571</v>
      </c>
      <c r="C693" s="158" t="s">
        <v>37</v>
      </c>
      <c r="D693" s="158" t="s">
        <v>38</v>
      </c>
      <c r="E693" s="157">
        <v>288</v>
      </c>
      <c r="F693" s="158" t="s">
        <v>525</v>
      </c>
      <c r="G693" s="159">
        <v>967849.92</v>
      </c>
      <c r="H693" s="159">
        <v>0</v>
      </c>
      <c r="I693" s="159">
        <v>462931.20000000001</v>
      </c>
      <c r="J693" s="159">
        <v>47.8</v>
      </c>
      <c r="K693" t="str">
        <f>VLOOKUP($C693,Lists!$C$3:$M$118,7,FALSE)</f>
        <v>SOBO_RGB</v>
      </c>
      <c r="S693" s="4"/>
      <c r="T693" s="4"/>
      <c r="U693" s="5"/>
      <c r="V693" s="5"/>
    </row>
    <row r="694" spans="1:22" x14ac:dyDescent="0.25">
      <c r="A694" s="158" t="s">
        <v>570</v>
      </c>
      <c r="B694" s="158" t="s">
        <v>571</v>
      </c>
      <c r="C694" s="158" t="s">
        <v>39</v>
      </c>
      <c r="D694" s="158" t="s">
        <v>40</v>
      </c>
      <c r="E694" s="157">
        <v>216</v>
      </c>
      <c r="F694" s="158" t="s">
        <v>525</v>
      </c>
      <c r="G694" s="159">
        <v>725887.44</v>
      </c>
      <c r="H694" s="159">
        <v>0</v>
      </c>
      <c r="I694" s="159">
        <v>344247.84</v>
      </c>
      <c r="J694" s="159">
        <v>47.4</v>
      </c>
      <c r="K694" t="str">
        <f>VLOOKUP($C694,Lists!$C$3:$M$118,7,FALSE)</f>
        <v>SOBO_RGB</v>
      </c>
      <c r="S694" s="4"/>
      <c r="T694" s="4"/>
      <c r="U694" s="5"/>
      <c r="V694" s="5"/>
    </row>
    <row r="695" spans="1:22" x14ac:dyDescent="0.25">
      <c r="A695" s="158" t="s">
        <v>570</v>
      </c>
      <c r="B695" s="158" t="s">
        <v>571</v>
      </c>
      <c r="C695" s="158" t="s">
        <v>49</v>
      </c>
      <c r="D695" s="158" t="s">
        <v>50</v>
      </c>
      <c r="E695" s="157">
        <v>144</v>
      </c>
      <c r="F695" s="158" t="s">
        <v>525</v>
      </c>
      <c r="G695" s="159">
        <v>1443942.72</v>
      </c>
      <c r="H695" s="159">
        <v>0</v>
      </c>
      <c r="I695" s="159">
        <v>459895.68</v>
      </c>
      <c r="J695" s="159">
        <v>31.8</v>
      </c>
      <c r="K695" t="str">
        <f>VLOOKUP($C695,Lists!$C$3:$M$118,7,FALSE)</f>
        <v>Squash</v>
      </c>
      <c r="S695" s="4"/>
      <c r="T695" s="4"/>
      <c r="U695" s="5"/>
      <c r="V695" s="5"/>
    </row>
    <row r="696" spans="1:22" x14ac:dyDescent="0.25">
      <c r="A696" s="158" t="s">
        <v>570</v>
      </c>
      <c r="B696" s="158" t="s">
        <v>571</v>
      </c>
      <c r="C696" s="158" t="s">
        <v>51</v>
      </c>
      <c r="D696" s="158" t="s">
        <v>52</v>
      </c>
      <c r="E696" s="157">
        <v>432</v>
      </c>
      <c r="F696" s="158" t="s">
        <v>525</v>
      </c>
      <c r="G696" s="159">
        <v>4331828.16</v>
      </c>
      <c r="H696" s="159">
        <v>0</v>
      </c>
      <c r="I696" s="159">
        <v>1368156.96</v>
      </c>
      <c r="J696" s="159">
        <v>31.6</v>
      </c>
      <c r="K696" t="str">
        <f>VLOOKUP($C696,Lists!$C$3:$M$118,7,FALSE)</f>
        <v>Squash</v>
      </c>
      <c r="S696" s="4"/>
      <c r="T696" s="4"/>
      <c r="U696" s="5"/>
      <c r="V696" s="5"/>
    </row>
    <row r="697" spans="1:22" x14ac:dyDescent="0.25">
      <c r="A697" s="158" t="s">
        <v>463</v>
      </c>
      <c r="B697" s="158" t="s">
        <v>91</v>
      </c>
      <c r="C697" s="158" t="s">
        <v>41</v>
      </c>
      <c r="D697" s="158" t="s">
        <v>42</v>
      </c>
      <c r="E697" s="157">
        <v>144</v>
      </c>
      <c r="F697" s="158" t="s">
        <v>525</v>
      </c>
      <c r="G697" s="159">
        <v>1112446.08</v>
      </c>
      <c r="H697" s="159">
        <v>0</v>
      </c>
      <c r="I697" s="159">
        <v>466606.08000000002</v>
      </c>
      <c r="J697" s="159">
        <v>41.9</v>
      </c>
      <c r="K697" t="str">
        <f>VLOOKUP($C697,Lists!$C$3:$M$118,7,FALSE)</f>
        <v>Alcomix</v>
      </c>
      <c r="S697" s="4"/>
      <c r="T697" s="4"/>
      <c r="U697" s="5"/>
      <c r="V697" s="5"/>
    </row>
    <row r="698" spans="1:22" x14ac:dyDescent="0.25">
      <c r="A698" s="158" t="s">
        <v>463</v>
      </c>
      <c r="B698" s="158" t="s">
        <v>91</v>
      </c>
      <c r="C698" s="158" t="s">
        <v>10</v>
      </c>
      <c r="D698" s="158" t="s">
        <v>11</v>
      </c>
      <c r="E698" s="157">
        <v>430</v>
      </c>
      <c r="F698" s="158" t="s">
        <v>525</v>
      </c>
      <c r="G698" s="159">
        <v>3321887.6</v>
      </c>
      <c r="H698" s="159">
        <v>0</v>
      </c>
      <c r="I698" s="159">
        <v>1393337.6</v>
      </c>
      <c r="J698" s="159">
        <v>41.9</v>
      </c>
      <c r="K698" t="str">
        <f>VLOOKUP($C698,Lists!$C$3:$M$118,7,FALSE)</f>
        <v>Alcomix</v>
      </c>
      <c r="S698" s="4"/>
      <c r="T698" s="4"/>
      <c r="U698" s="5"/>
      <c r="V698" s="5"/>
    </row>
    <row r="699" spans="1:22" x14ac:dyDescent="0.25">
      <c r="A699" s="158" t="s">
        <v>463</v>
      </c>
      <c r="B699" s="158" t="s">
        <v>91</v>
      </c>
      <c r="C699" s="158" t="s">
        <v>12</v>
      </c>
      <c r="D699" s="158" t="s">
        <v>13</v>
      </c>
      <c r="E699" s="157">
        <v>4023</v>
      </c>
      <c r="F699" s="158" t="s">
        <v>525</v>
      </c>
      <c r="G699" s="159">
        <v>25899148.710000001</v>
      </c>
      <c r="H699" s="159">
        <v>0</v>
      </c>
      <c r="I699" s="159">
        <v>11318790.960000001</v>
      </c>
      <c r="J699" s="159">
        <v>43.7</v>
      </c>
      <c r="K699" t="str">
        <f>VLOOKUP($C699,Lists!$C$3:$M$118,7,FALSE)</f>
        <v>Beers</v>
      </c>
      <c r="S699" s="4"/>
      <c r="T699" s="4"/>
      <c r="U699" s="5"/>
      <c r="V699" s="5"/>
    </row>
    <row r="700" spans="1:22" x14ac:dyDescent="0.25">
      <c r="A700" s="158" t="s">
        <v>463</v>
      </c>
      <c r="B700" s="158" t="s">
        <v>91</v>
      </c>
      <c r="C700" s="158" t="s">
        <v>14</v>
      </c>
      <c r="D700" s="158" t="s">
        <v>15</v>
      </c>
      <c r="E700" s="157">
        <v>1723</v>
      </c>
      <c r="F700" s="158" t="s">
        <v>525</v>
      </c>
      <c r="G700" s="159">
        <v>13310726.359999999</v>
      </c>
      <c r="H700" s="159">
        <v>0</v>
      </c>
      <c r="I700" s="159">
        <v>6573141.6200000001</v>
      </c>
      <c r="J700" s="159">
        <v>49.4</v>
      </c>
      <c r="K700" t="str">
        <f>VLOOKUP($C700,Lists!$C$3:$M$118,7,FALSE)</f>
        <v>Beers</v>
      </c>
      <c r="S700" s="4"/>
      <c r="T700" s="4"/>
      <c r="U700" s="5"/>
      <c r="V700" s="5"/>
    </row>
    <row r="701" spans="1:22" x14ac:dyDescent="0.25">
      <c r="A701" s="158" t="s">
        <v>463</v>
      </c>
      <c r="B701" s="158" t="s">
        <v>91</v>
      </c>
      <c r="C701" s="158" t="s">
        <v>54</v>
      </c>
      <c r="D701" s="158" t="s">
        <v>55</v>
      </c>
      <c r="E701" s="157">
        <v>300</v>
      </c>
      <c r="F701" s="158" t="s">
        <v>525</v>
      </c>
      <c r="G701" s="159">
        <v>2317596</v>
      </c>
      <c r="H701" s="159">
        <v>0</v>
      </c>
      <c r="I701" s="159">
        <v>1216671</v>
      </c>
      <c r="J701" s="159">
        <v>52.5</v>
      </c>
      <c r="K701" t="str">
        <f>VLOOKUP($C701,Lists!$C$3:$M$118,7,FALSE)</f>
        <v>Beers</v>
      </c>
      <c r="S701" s="4"/>
      <c r="T701" s="4"/>
      <c r="U701" s="5"/>
      <c r="V701" s="5"/>
    </row>
    <row r="702" spans="1:22" x14ac:dyDescent="0.25">
      <c r="A702" s="158" t="s">
        <v>463</v>
      </c>
      <c r="B702" s="158" t="s">
        <v>91</v>
      </c>
      <c r="C702" s="158" t="s">
        <v>16</v>
      </c>
      <c r="D702" s="158" t="s">
        <v>17</v>
      </c>
      <c r="E702" s="157">
        <v>1581</v>
      </c>
      <c r="F702" s="158" t="s">
        <v>525</v>
      </c>
      <c r="G702" s="159">
        <v>12213730.92</v>
      </c>
      <c r="H702" s="159">
        <v>0</v>
      </c>
      <c r="I702" s="159">
        <v>6031420.1399999997</v>
      </c>
      <c r="J702" s="159">
        <v>49.4</v>
      </c>
      <c r="K702" t="str">
        <f>VLOOKUP($C702,Lists!$C$3:$M$118,7,FALSE)</f>
        <v>Beers</v>
      </c>
      <c r="S702" s="4"/>
      <c r="T702" s="4"/>
      <c r="U702" s="5"/>
      <c r="V702" s="5"/>
    </row>
    <row r="703" spans="1:22" x14ac:dyDescent="0.25">
      <c r="A703" s="158" t="s">
        <v>463</v>
      </c>
      <c r="B703" s="158" t="s">
        <v>91</v>
      </c>
      <c r="C703" s="158" t="s">
        <v>56</v>
      </c>
      <c r="D703" s="158" t="s">
        <v>57</v>
      </c>
      <c r="E703" s="157">
        <v>350</v>
      </c>
      <c r="F703" s="158" t="s">
        <v>525</v>
      </c>
      <c r="G703" s="159">
        <v>2703862</v>
      </c>
      <c r="H703" s="159">
        <v>0</v>
      </c>
      <c r="I703" s="159">
        <v>1419449.5</v>
      </c>
      <c r="J703" s="159">
        <v>52.5</v>
      </c>
      <c r="K703" t="str">
        <f>VLOOKUP($C703,Lists!$C$3:$M$118,7,FALSE)</f>
        <v>Beers</v>
      </c>
      <c r="S703" s="4"/>
      <c r="T703" s="4"/>
      <c r="U703" s="5"/>
      <c r="V703" s="5"/>
    </row>
    <row r="704" spans="1:22" x14ac:dyDescent="0.25">
      <c r="A704" s="158" t="s">
        <v>463</v>
      </c>
      <c r="B704" s="158" t="s">
        <v>91</v>
      </c>
      <c r="C704" s="158" t="s">
        <v>18</v>
      </c>
      <c r="D704" s="158" t="s">
        <v>19</v>
      </c>
      <c r="E704" s="157">
        <v>643</v>
      </c>
      <c r="F704" s="158" t="s">
        <v>525</v>
      </c>
      <c r="G704" s="159">
        <v>6623176.4900000002</v>
      </c>
      <c r="H704" s="159">
        <v>0</v>
      </c>
      <c r="I704" s="159">
        <v>3434217.99</v>
      </c>
      <c r="J704" s="159">
        <v>51.9</v>
      </c>
      <c r="K704" t="str">
        <f>VLOOKUP($C704,Lists!$C$3:$M$118,7,FALSE)</f>
        <v>Beers</v>
      </c>
      <c r="S704" s="4"/>
      <c r="T704" s="4"/>
      <c r="U704" s="5"/>
      <c r="V704" s="5"/>
    </row>
    <row r="705" spans="1:22" x14ac:dyDescent="0.25">
      <c r="A705" s="158" t="s">
        <v>463</v>
      </c>
      <c r="B705" s="158" t="s">
        <v>91</v>
      </c>
      <c r="C705" s="158" t="s">
        <v>20</v>
      </c>
      <c r="D705" s="158" t="s">
        <v>21</v>
      </c>
      <c r="E705" s="157">
        <v>2081</v>
      </c>
      <c r="F705" s="158" t="s">
        <v>525</v>
      </c>
      <c r="G705" s="159">
        <v>8236660.4299999997</v>
      </c>
      <c r="H705" s="159">
        <v>0</v>
      </c>
      <c r="I705" s="159">
        <v>3461389.73</v>
      </c>
      <c r="J705" s="159">
        <v>42</v>
      </c>
      <c r="K705" t="str">
        <f>VLOOKUP($C705,Lists!$C$3:$M$118,7,FALSE)</f>
        <v>COKE_RGB</v>
      </c>
      <c r="S705" s="4"/>
      <c r="T705" s="4"/>
      <c r="U705" s="5"/>
      <c r="V705" s="5"/>
    </row>
    <row r="706" spans="1:22" x14ac:dyDescent="0.25">
      <c r="A706" s="158" t="s">
        <v>463</v>
      </c>
      <c r="B706" s="158" t="s">
        <v>91</v>
      </c>
      <c r="C706" s="158" t="s">
        <v>28</v>
      </c>
      <c r="D706" s="158" t="s">
        <v>530</v>
      </c>
      <c r="E706" s="157">
        <v>576</v>
      </c>
      <c r="F706" s="158" t="s">
        <v>525</v>
      </c>
      <c r="G706" s="159">
        <v>1625990.4</v>
      </c>
      <c r="H706" s="159">
        <v>0</v>
      </c>
      <c r="I706" s="159">
        <v>820137.6</v>
      </c>
      <c r="J706" s="159">
        <v>50.4</v>
      </c>
      <c r="K706" t="str">
        <f>VLOOKUP($C706,Lists!$C$3:$M$118,7,FALSE)</f>
        <v>COKE_PET</v>
      </c>
      <c r="S706" s="4"/>
      <c r="T706" s="4"/>
      <c r="U706" s="5"/>
      <c r="V706" s="5"/>
    </row>
    <row r="707" spans="1:22" x14ac:dyDescent="0.25">
      <c r="A707" s="158" t="s">
        <v>463</v>
      </c>
      <c r="B707" s="158" t="s">
        <v>91</v>
      </c>
      <c r="C707" s="158" t="s">
        <v>58</v>
      </c>
      <c r="D707" s="158" t="s">
        <v>537</v>
      </c>
      <c r="E707" s="157">
        <v>144</v>
      </c>
      <c r="F707" s="158" t="s">
        <v>525</v>
      </c>
      <c r="G707" s="159">
        <v>348426.72</v>
      </c>
      <c r="H707" s="159">
        <v>0</v>
      </c>
      <c r="I707" s="159">
        <v>193042.08</v>
      </c>
      <c r="J707" s="159">
        <v>55.4</v>
      </c>
      <c r="K707" t="str">
        <f>VLOOKUP($C707,Lists!$C$3:$M$118,7,FALSE)</f>
        <v>SOBO_PET</v>
      </c>
      <c r="S707" s="4"/>
      <c r="T707" s="4"/>
      <c r="U707" s="5"/>
      <c r="V707" s="5"/>
    </row>
    <row r="708" spans="1:22" x14ac:dyDescent="0.25">
      <c r="A708" s="158" t="s">
        <v>463</v>
      </c>
      <c r="B708" s="158" t="s">
        <v>91</v>
      </c>
      <c r="C708" s="158" t="s">
        <v>43</v>
      </c>
      <c r="D708" s="158" t="s">
        <v>44</v>
      </c>
      <c r="E708" s="157">
        <v>432</v>
      </c>
      <c r="F708" s="158" t="s">
        <v>525</v>
      </c>
      <c r="G708" s="159">
        <v>3337338.24</v>
      </c>
      <c r="H708" s="159">
        <v>0</v>
      </c>
      <c r="I708" s="159">
        <v>1648054.08</v>
      </c>
      <c r="J708" s="159">
        <v>49.4</v>
      </c>
      <c r="K708" t="str">
        <f>VLOOKUP($C708,Lists!$C$3:$M$118,7,FALSE)</f>
        <v>Beers</v>
      </c>
      <c r="S708" s="4"/>
      <c r="T708" s="4"/>
      <c r="U708" s="5"/>
      <c r="V708" s="5"/>
    </row>
    <row r="709" spans="1:22" x14ac:dyDescent="0.25">
      <c r="A709" s="158" t="s">
        <v>463</v>
      </c>
      <c r="B709" s="158" t="s">
        <v>91</v>
      </c>
      <c r="C709" s="158" t="s">
        <v>59</v>
      </c>
      <c r="D709" s="158" t="s">
        <v>60</v>
      </c>
      <c r="E709" s="157">
        <v>288</v>
      </c>
      <c r="F709" s="158" t="s">
        <v>525</v>
      </c>
      <c r="G709" s="159">
        <v>1139912.6399999999</v>
      </c>
      <c r="H709" s="159">
        <v>0</v>
      </c>
      <c r="I709" s="159">
        <v>464135.04</v>
      </c>
      <c r="J709" s="159">
        <v>40.700000000000003</v>
      </c>
      <c r="K709" t="str">
        <f>VLOOKUP($C709,Lists!$C$3:$M$118,7,FALSE)</f>
        <v>COKE_RGB</v>
      </c>
      <c r="S709" s="4"/>
      <c r="T709" s="4"/>
      <c r="U709" s="5"/>
      <c r="V709" s="5"/>
    </row>
    <row r="710" spans="1:22" x14ac:dyDescent="0.25">
      <c r="A710" s="158" t="s">
        <v>463</v>
      </c>
      <c r="B710" s="158" t="s">
        <v>91</v>
      </c>
      <c r="C710" s="158" t="s">
        <v>22</v>
      </c>
      <c r="D710" s="158" t="s">
        <v>23</v>
      </c>
      <c r="E710" s="157">
        <v>1439</v>
      </c>
      <c r="F710" s="158" t="s">
        <v>525</v>
      </c>
      <c r="G710" s="159">
        <v>5695605.1699999999</v>
      </c>
      <c r="H710" s="159">
        <v>0</v>
      </c>
      <c r="I710" s="159">
        <v>2294571.84</v>
      </c>
      <c r="J710" s="159">
        <v>40.299999999999997</v>
      </c>
      <c r="K710" t="str">
        <f>VLOOKUP($C710,Lists!$C$3:$M$118,7,FALSE)</f>
        <v>COKE_RGB</v>
      </c>
      <c r="S710" s="4"/>
      <c r="T710" s="4"/>
      <c r="U710" s="5"/>
      <c r="V710" s="5"/>
    </row>
    <row r="711" spans="1:22" x14ac:dyDescent="0.25">
      <c r="A711" s="158" t="s">
        <v>463</v>
      </c>
      <c r="B711" s="158" t="s">
        <v>91</v>
      </c>
      <c r="C711" s="158" t="s">
        <v>67</v>
      </c>
      <c r="D711" s="158" t="s">
        <v>533</v>
      </c>
      <c r="E711" s="157">
        <v>288</v>
      </c>
      <c r="F711" s="158" t="s">
        <v>525</v>
      </c>
      <c r="G711" s="159">
        <v>812995.2</v>
      </c>
      <c r="H711" s="159">
        <v>0</v>
      </c>
      <c r="I711" s="159">
        <v>399922.56</v>
      </c>
      <c r="J711" s="159">
        <v>49.2</v>
      </c>
      <c r="K711" t="str">
        <f>VLOOKUP($C711,Lists!$C$3:$M$118,7,FALSE)</f>
        <v>COKE_PET</v>
      </c>
      <c r="S711" s="4"/>
      <c r="T711" s="4"/>
      <c r="U711" s="5"/>
      <c r="V711" s="5"/>
    </row>
    <row r="712" spans="1:22" x14ac:dyDescent="0.25">
      <c r="A712" s="158" t="s">
        <v>463</v>
      </c>
      <c r="B712" s="158" t="s">
        <v>91</v>
      </c>
      <c r="C712" s="158" t="s">
        <v>261</v>
      </c>
      <c r="D712" s="158" t="s">
        <v>538</v>
      </c>
      <c r="E712" s="157">
        <v>143</v>
      </c>
      <c r="F712" s="158" t="s">
        <v>525</v>
      </c>
      <c r="G712" s="159">
        <v>565998.29</v>
      </c>
      <c r="H712" s="159">
        <v>0</v>
      </c>
      <c r="I712" s="159">
        <v>228022.08</v>
      </c>
      <c r="J712" s="159">
        <v>40.299999999999997</v>
      </c>
      <c r="K712" t="str">
        <f>VLOOKUP($C712,Lists!$C$3:$M$118,7,FALSE)</f>
        <v>COKE_RGB</v>
      </c>
      <c r="S712" s="4"/>
      <c r="T712" s="4"/>
      <c r="U712" s="5"/>
      <c r="V712" s="5"/>
    </row>
    <row r="713" spans="1:22" x14ac:dyDescent="0.25">
      <c r="A713" s="158" t="s">
        <v>463</v>
      </c>
      <c r="B713" s="158" t="s">
        <v>91</v>
      </c>
      <c r="C713" s="158" t="s">
        <v>24</v>
      </c>
      <c r="D713" s="158" t="s">
        <v>25</v>
      </c>
      <c r="E713" s="157">
        <v>1002</v>
      </c>
      <c r="F713" s="158" t="s">
        <v>525</v>
      </c>
      <c r="G713" s="159">
        <v>6450645.54</v>
      </c>
      <c r="H713" s="159">
        <v>0</v>
      </c>
      <c r="I713" s="159">
        <v>3105839.28</v>
      </c>
      <c r="J713" s="159">
        <v>48.1</v>
      </c>
      <c r="K713" t="str">
        <f>VLOOKUP($C713,Lists!$C$3:$M$118,7,FALSE)</f>
        <v>Beers</v>
      </c>
      <c r="S713" s="4"/>
      <c r="T713" s="4"/>
      <c r="U713" s="5"/>
      <c r="V713" s="5"/>
    </row>
    <row r="714" spans="1:22" x14ac:dyDescent="0.25">
      <c r="A714" s="158" t="s">
        <v>463</v>
      </c>
      <c r="B714" s="158" t="s">
        <v>91</v>
      </c>
      <c r="C714" s="158" t="s">
        <v>29</v>
      </c>
      <c r="D714" s="158" t="s">
        <v>30</v>
      </c>
      <c r="E714" s="157">
        <v>150</v>
      </c>
      <c r="F714" s="158" t="s">
        <v>525</v>
      </c>
      <c r="G714" s="159">
        <v>5457658.5</v>
      </c>
      <c r="H714" s="159">
        <v>0</v>
      </c>
      <c r="I714" s="159">
        <v>1557658.5</v>
      </c>
      <c r="J714" s="159">
        <v>28.5</v>
      </c>
      <c r="K714" t="str">
        <f>VLOOKUP($C714,Lists!$C$3:$M$118,7,FALSE)</f>
        <v>Spirits</v>
      </c>
      <c r="S714" s="4"/>
      <c r="T714" s="4"/>
      <c r="U714" s="5"/>
      <c r="V714" s="5"/>
    </row>
    <row r="715" spans="1:22" x14ac:dyDescent="0.25">
      <c r="A715" s="158" t="s">
        <v>463</v>
      </c>
      <c r="B715" s="158" t="s">
        <v>91</v>
      </c>
      <c r="C715" s="158" t="s">
        <v>37</v>
      </c>
      <c r="D715" s="158" t="s">
        <v>38</v>
      </c>
      <c r="E715" s="157">
        <v>359</v>
      </c>
      <c r="F715" s="158" t="s">
        <v>525</v>
      </c>
      <c r="G715" s="159">
        <v>1184111.24</v>
      </c>
      <c r="H715" s="159">
        <v>0</v>
      </c>
      <c r="I715" s="159">
        <v>554716.03</v>
      </c>
      <c r="J715" s="159">
        <v>46.8</v>
      </c>
      <c r="K715" t="str">
        <f>VLOOKUP($C715,Lists!$C$3:$M$118,7,FALSE)</f>
        <v>SOBO_RGB</v>
      </c>
      <c r="S715" s="4"/>
      <c r="T715" s="4"/>
      <c r="U715" s="5"/>
      <c r="V715" s="5"/>
    </row>
    <row r="716" spans="1:22" x14ac:dyDescent="0.25">
      <c r="A716" s="158" t="s">
        <v>463</v>
      </c>
      <c r="B716" s="158" t="s">
        <v>91</v>
      </c>
      <c r="C716" s="158" t="s">
        <v>39</v>
      </c>
      <c r="D716" s="158" t="s">
        <v>40</v>
      </c>
      <c r="E716" s="157">
        <v>288</v>
      </c>
      <c r="F716" s="158" t="s">
        <v>525</v>
      </c>
      <c r="G716" s="159">
        <v>949927.68</v>
      </c>
      <c r="H716" s="159">
        <v>0</v>
      </c>
      <c r="I716" s="159">
        <v>441074.88</v>
      </c>
      <c r="J716" s="159">
        <v>46.4</v>
      </c>
      <c r="K716" t="str">
        <f>VLOOKUP($C716,Lists!$C$3:$M$118,7,FALSE)</f>
        <v>SOBO_RGB</v>
      </c>
      <c r="S716" s="4"/>
      <c r="T716" s="4"/>
      <c r="U716" s="5"/>
      <c r="V716" s="5"/>
    </row>
    <row r="717" spans="1:22" x14ac:dyDescent="0.25">
      <c r="A717" s="158" t="s">
        <v>463</v>
      </c>
      <c r="B717" s="158" t="s">
        <v>91</v>
      </c>
      <c r="C717" s="158" t="s">
        <v>88</v>
      </c>
      <c r="D717" s="158" t="s">
        <v>527</v>
      </c>
      <c r="E717" s="157">
        <v>-1</v>
      </c>
      <c r="F717" s="158" t="s">
        <v>525</v>
      </c>
      <c r="G717" s="159">
        <v>-2822.9</v>
      </c>
      <c r="H717" s="159">
        <v>0</v>
      </c>
      <c r="I717" s="159">
        <v>-1656.2</v>
      </c>
      <c r="J717" s="159">
        <v>58.7</v>
      </c>
      <c r="K717" t="str">
        <f>VLOOKUP($C717,Lists!$C$3:$M$118,7,FALSE)</f>
        <v>SOBO_PET</v>
      </c>
      <c r="S717" s="4"/>
      <c r="T717" s="4"/>
      <c r="U717" s="5"/>
      <c r="V717" s="5"/>
    </row>
    <row r="718" spans="1:22" x14ac:dyDescent="0.25">
      <c r="A718" s="158" t="s">
        <v>463</v>
      </c>
      <c r="B718" s="158" t="s">
        <v>91</v>
      </c>
      <c r="C718" s="158" t="s">
        <v>45</v>
      </c>
      <c r="D718" s="158" t="s">
        <v>46</v>
      </c>
      <c r="E718" s="157">
        <v>216</v>
      </c>
      <c r="F718" s="158" t="s">
        <v>525</v>
      </c>
      <c r="G718" s="159">
        <v>854934.48</v>
      </c>
      <c r="H718" s="159">
        <v>0</v>
      </c>
      <c r="I718" s="159">
        <v>421085.52</v>
      </c>
      <c r="J718" s="159">
        <v>49.3</v>
      </c>
      <c r="K718" t="str">
        <f>VLOOKUP($C718,Lists!$C$3:$M$118,7,FALSE)</f>
        <v>SOBO_RGB</v>
      </c>
      <c r="S718" s="4"/>
      <c r="T718" s="4"/>
      <c r="U718" s="5"/>
      <c r="V718" s="5"/>
    </row>
    <row r="719" spans="1:22" x14ac:dyDescent="0.25">
      <c r="A719" s="158" t="s">
        <v>463</v>
      </c>
      <c r="B719" s="158" t="s">
        <v>91</v>
      </c>
      <c r="C719" s="158" t="s">
        <v>47</v>
      </c>
      <c r="D719" s="158" t="s">
        <v>48</v>
      </c>
      <c r="E719" s="157">
        <v>430</v>
      </c>
      <c r="F719" s="158" t="s">
        <v>525</v>
      </c>
      <c r="G719" s="159">
        <v>1701952.9</v>
      </c>
      <c r="H719" s="159">
        <v>0</v>
      </c>
      <c r="I719" s="159">
        <v>742751.9</v>
      </c>
      <c r="J719" s="159">
        <v>43.6</v>
      </c>
      <c r="K719" t="str">
        <f>VLOOKUP($C719,Lists!$C$3:$M$118,7,FALSE)</f>
        <v>COKE_RGB</v>
      </c>
      <c r="S719" s="4"/>
      <c r="T719" s="4"/>
      <c r="U719" s="5"/>
      <c r="V719" s="5"/>
    </row>
    <row r="720" spans="1:22" x14ac:dyDescent="0.25">
      <c r="A720" s="158" t="s">
        <v>463</v>
      </c>
      <c r="B720" s="158" t="s">
        <v>91</v>
      </c>
      <c r="C720" s="158" t="s">
        <v>68</v>
      </c>
      <c r="D720" s="158" t="s">
        <v>534</v>
      </c>
      <c r="E720" s="157">
        <v>286</v>
      </c>
      <c r="F720" s="158" t="s">
        <v>525</v>
      </c>
      <c r="G720" s="159">
        <v>807349.4</v>
      </c>
      <c r="H720" s="159">
        <v>0</v>
      </c>
      <c r="I720" s="159">
        <v>393410.16</v>
      </c>
      <c r="J720" s="159">
        <v>48.7</v>
      </c>
      <c r="K720" t="str">
        <f>VLOOKUP($C720,Lists!$C$3:$M$118,7,FALSE)</f>
        <v>COKE_PET</v>
      </c>
      <c r="S720" s="4"/>
      <c r="T720" s="4"/>
      <c r="U720" s="5"/>
      <c r="V720" s="5"/>
    </row>
    <row r="721" spans="1:22" x14ac:dyDescent="0.25">
      <c r="A721" s="158" t="s">
        <v>463</v>
      </c>
      <c r="B721" s="158" t="s">
        <v>91</v>
      </c>
      <c r="C721" s="158" t="s">
        <v>49</v>
      </c>
      <c r="D721" s="158" t="s">
        <v>50</v>
      </c>
      <c r="E721" s="157">
        <v>287</v>
      </c>
      <c r="F721" s="158" t="s">
        <v>525</v>
      </c>
      <c r="G721" s="159">
        <v>2877858.06</v>
      </c>
      <c r="H721" s="159">
        <v>0</v>
      </c>
      <c r="I721" s="159">
        <v>916597.64</v>
      </c>
      <c r="J721" s="159">
        <v>31.8</v>
      </c>
      <c r="K721" t="str">
        <f>VLOOKUP($C721,Lists!$C$3:$M$118,7,FALSE)</f>
        <v>Squash</v>
      </c>
      <c r="S721" s="4"/>
      <c r="T721" s="4"/>
      <c r="U721" s="5"/>
      <c r="V721" s="5"/>
    </row>
    <row r="722" spans="1:22" x14ac:dyDescent="0.25">
      <c r="A722" s="158" t="s">
        <v>463</v>
      </c>
      <c r="B722" s="158" t="s">
        <v>91</v>
      </c>
      <c r="C722" s="158" t="s">
        <v>51</v>
      </c>
      <c r="D722" s="158" t="s">
        <v>52</v>
      </c>
      <c r="E722" s="157">
        <v>646</v>
      </c>
      <c r="F722" s="158" t="s">
        <v>525</v>
      </c>
      <c r="G722" s="159">
        <v>6477687.4800000004</v>
      </c>
      <c r="H722" s="159">
        <v>0</v>
      </c>
      <c r="I722" s="159">
        <v>2045901.38</v>
      </c>
      <c r="J722" s="159">
        <v>31.6</v>
      </c>
      <c r="K722" t="str">
        <f>VLOOKUP($C722,Lists!$C$3:$M$118,7,FALSE)</f>
        <v>Squash</v>
      </c>
      <c r="S722" s="4"/>
      <c r="T722" s="4"/>
      <c r="U722" s="5"/>
      <c r="V722" s="5"/>
    </row>
    <row r="723" spans="1:22" x14ac:dyDescent="0.25">
      <c r="A723" s="158" t="s">
        <v>463</v>
      </c>
      <c r="B723" s="158" t="s">
        <v>91</v>
      </c>
      <c r="C723" s="158" t="s">
        <v>26</v>
      </c>
      <c r="D723" s="158" t="s">
        <v>27</v>
      </c>
      <c r="E723" s="157">
        <v>288</v>
      </c>
      <c r="F723" s="158" t="s">
        <v>525</v>
      </c>
      <c r="G723" s="159">
        <v>628531.19999999995</v>
      </c>
      <c r="H723" s="159">
        <v>0</v>
      </c>
      <c r="I723" s="159">
        <v>277102.08000000002</v>
      </c>
      <c r="J723" s="159">
        <v>44.1</v>
      </c>
      <c r="K723" t="str">
        <f>VLOOKUP($C723,Lists!$C$3:$M$118,7,FALSE)</f>
        <v>Water</v>
      </c>
      <c r="S723" s="4"/>
      <c r="T723" s="4"/>
      <c r="U723" s="5"/>
      <c r="V723" s="5"/>
    </row>
    <row r="724" spans="1:22" x14ac:dyDescent="0.25">
      <c r="A724" s="158" t="s">
        <v>464</v>
      </c>
      <c r="B724" s="158" t="s">
        <v>92</v>
      </c>
      <c r="C724" s="158" t="s">
        <v>41</v>
      </c>
      <c r="D724" s="158" t="s">
        <v>42</v>
      </c>
      <c r="E724" s="157">
        <v>72</v>
      </c>
      <c r="F724" s="158" t="s">
        <v>525</v>
      </c>
      <c r="G724" s="159">
        <v>556223.04</v>
      </c>
      <c r="H724" s="159">
        <v>0</v>
      </c>
      <c r="I724" s="159">
        <v>233303.04000000001</v>
      </c>
      <c r="J724" s="159">
        <v>41.9</v>
      </c>
      <c r="K724" t="str">
        <f>VLOOKUP($C724,Lists!$C$3:$M$118,7,FALSE)</f>
        <v>Alcomix</v>
      </c>
      <c r="S724" s="4"/>
      <c r="T724" s="4"/>
      <c r="U724" s="5"/>
      <c r="V724" s="5"/>
    </row>
    <row r="725" spans="1:22" x14ac:dyDescent="0.25">
      <c r="A725" s="158" t="s">
        <v>464</v>
      </c>
      <c r="B725" s="158" t="s">
        <v>92</v>
      </c>
      <c r="C725" s="158" t="s">
        <v>10</v>
      </c>
      <c r="D725" s="158" t="s">
        <v>11</v>
      </c>
      <c r="E725" s="157">
        <v>216</v>
      </c>
      <c r="F725" s="158" t="s">
        <v>525</v>
      </c>
      <c r="G725" s="159">
        <v>1668669.12</v>
      </c>
      <c r="H725" s="159">
        <v>0</v>
      </c>
      <c r="I725" s="159">
        <v>699909.12</v>
      </c>
      <c r="J725" s="159">
        <v>41.9</v>
      </c>
      <c r="K725" t="str">
        <f>VLOOKUP($C725,Lists!$C$3:$M$118,7,FALSE)</f>
        <v>Alcomix</v>
      </c>
      <c r="S725" s="4"/>
      <c r="T725" s="4"/>
      <c r="U725" s="5"/>
      <c r="V725" s="5"/>
    </row>
    <row r="726" spans="1:22" x14ac:dyDescent="0.25">
      <c r="A726" s="158" t="s">
        <v>464</v>
      </c>
      <c r="B726" s="158" t="s">
        <v>92</v>
      </c>
      <c r="C726" s="158" t="s">
        <v>12</v>
      </c>
      <c r="D726" s="158" t="s">
        <v>13</v>
      </c>
      <c r="E726" s="157">
        <v>2808</v>
      </c>
      <c r="F726" s="158" t="s">
        <v>525</v>
      </c>
      <c r="G726" s="159">
        <v>18077258.16</v>
      </c>
      <c r="H726" s="159">
        <v>0</v>
      </c>
      <c r="I726" s="159">
        <v>7900364.1600000001</v>
      </c>
      <c r="J726" s="159">
        <v>43.7</v>
      </c>
      <c r="K726" t="str">
        <f>VLOOKUP($C726,Lists!$C$3:$M$118,7,FALSE)</f>
        <v>Beers</v>
      </c>
      <c r="S726" s="4"/>
      <c r="T726" s="4"/>
      <c r="U726" s="5"/>
      <c r="V726" s="5"/>
    </row>
    <row r="727" spans="1:22" x14ac:dyDescent="0.25">
      <c r="A727" s="158" t="s">
        <v>464</v>
      </c>
      <c r="B727" s="158" t="s">
        <v>92</v>
      </c>
      <c r="C727" s="158" t="s">
        <v>14</v>
      </c>
      <c r="D727" s="158" t="s">
        <v>15</v>
      </c>
      <c r="E727" s="157">
        <v>1080</v>
      </c>
      <c r="F727" s="158" t="s">
        <v>525</v>
      </c>
      <c r="G727" s="159">
        <v>8343345.5999999996</v>
      </c>
      <c r="H727" s="159">
        <v>0</v>
      </c>
      <c r="I727" s="159">
        <v>4120135.2</v>
      </c>
      <c r="J727" s="159">
        <v>49.4</v>
      </c>
      <c r="K727" t="str">
        <f>VLOOKUP($C727,Lists!$C$3:$M$118,7,FALSE)</f>
        <v>Beers</v>
      </c>
      <c r="S727" s="4"/>
      <c r="T727" s="4"/>
      <c r="U727" s="5"/>
      <c r="V727" s="5"/>
    </row>
    <row r="728" spans="1:22" x14ac:dyDescent="0.25">
      <c r="A728" s="158" t="s">
        <v>464</v>
      </c>
      <c r="B728" s="158" t="s">
        <v>92</v>
      </c>
      <c r="C728" s="158" t="s">
        <v>54</v>
      </c>
      <c r="D728" s="158" t="s">
        <v>55</v>
      </c>
      <c r="E728" s="157">
        <v>100</v>
      </c>
      <c r="F728" s="158" t="s">
        <v>525</v>
      </c>
      <c r="G728" s="159">
        <v>772532</v>
      </c>
      <c r="H728" s="159">
        <v>0</v>
      </c>
      <c r="I728" s="159">
        <v>405557</v>
      </c>
      <c r="J728" s="159">
        <v>52.5</v>
      </c>
      <c r="K728" t="str">
        <f>VLOOKUP($C728,Lists!$C$3:$M$118,7,FALSE)</f>
        <v>Beers</v>
      </c>
      <c r="S728" s="4"/>
      <c r="T728" s="4"/>
      <c r="U728" s="5"/>
      <c r="V728" s="5"/>
    </row>
    <row r="729" spans="1:22" x14ac:dyDescent="0.25">
      <c r="A729" s="158" t="s">
        <v>464</v>
      </c>
      <c r="B729" s="158" t="s">
        <v>92</v>
      </c>
      <c r="C729" s="158" t="s">
        <v>16</v>
      </c>
      <c r="D729" s="158" t="s">
        <v>17</v>
      </c>
      <c r="E729" s="157">
        <v>2232</v>
      </c>
      <c r="F729" s="158" t="s">
        <v>525</v>
      </c>
      <c r="G729" s="159">
        <v>17242914.239999998</v>
      </c>
      <c r="H729" s="159">
        <v>0</v>
      </c>
      <c r="I729" s="159">
        <v>8514946.0700000003</v>
      </c>
      <c r="J729" s="159">
        <v>49.4</v>
      </c>
      <c r="K729" t="str">
        <f>VLOOKUP($C729,Lists!$C$3:$M$118,7,FALSE)</f>
        <v>Beers</v>
      </c>
      <c r="S729" s="4"/>
      <c r="T729" s="4"/>
      <c r="U729" s="5"/>
      <c r="V729" s="5"/>
    </row>
    <row r="730" spans="1:22" x14ac:dyDescent="0.25">
      <c r="A730" s="158" t="s">
        <v>464</v>
      </c>
      <c r="B730" s="158" t="s">
        <v>92</v>
      </c>
      <c r="C730" s="158" t="s">
        <v>56</v>
      </c>
      <c r="D730" s="158" t="s">
        <v>57</v>
      </c>
      <c r="E730" s="157">
        <v>150</v>
      </c>
      <c r="F730" s="158" t="s">
        <v>525</v>
      </c>
      <c r="G730" s="159">
        <v>1158798</v>
      </c>
      <c r="H730" s="159">
        <v>0</v>
      </c>
      <c r="I730" s="159">
        <v>608335.5</v>
      </c>
      <c r="J730" s="159">
        <v>52.5</v>
      </c>
      <c r="K730" t="str">
        <f>VLOOKUP($C730,Lists!$C$3:$M$118,7,FALSE)</f>
        <v>Beers</v>
      </c>
      <c r="S730" s="4"/>
      <c r="T730" s="4"/>
      <c r="U730" s="5"/>
      <c r="V730" s="5"/>
    </row>
    <row r="731" spans="1:22" x14ac:dyDescent="0.25">
      <c r="A731" s="158" t="s">
        <v>464</v>
      </c>
      <c r="B731" s="158" t="s">
        <v>92</v>
      </c>
      <c r="C731" s="158" t="s">
        <v>18</v>
      </c>
      <c r="D731" s="158" t="s">
        <v>19</v>
      </c>
      <c r="E731" s="157">
        <v>216</v>
      </c>
      <c r="F731" s="158" t="s">
        <v>525</v>
      </c>
      <c r="G731" s="159">
        <v>2224892.88</v>
      </c>
      <c r="H731" s="159">
        <v>0</v>
      </c>
      <c r="I731" s="159">
        <v>1153640.8700000001</v>
      </c>
      <c r="J731" s="159">
        <v>51.9</v>
      </c>
      <c r="K731" t="str">
        <f>VLOOKUP($C731,Lists!$C$3:$M$118,7,FALSE)</f>
        <v>Beers</v>
      </c>
      <c r="S731" s="4"/>
      <c r="T731" s="4"/>
      <c r="U731" s="5"/>
      <c r="V731" s="5"/>
    </row>
    <row r="732" spans="1:22" x14ac:dyDescent="0.25">
      <c r="A732" s="158" t="s">
        <v>464</v>
      </c>
      <c r="B732" s="158" t="s">
        <v>92</v>
      </c>
      <c r="C732" s="158" t="s">
        <v>20</v>
      </c>
      <c r="D732" s="158" t="s">
        <v>21</v>
      </c>
      <c r="E732" s="157">
        <v>3384</v>
      </c>
      <c r="F732" s="158" t="s">
        <v>525</v>
      </c>
      <c r="G732" s="159">
        <v>13393973.52</v>
      </c>
      <c r="H732" s="159">
        <v>0</v>
      </c>
      <c r="I732" s="159">
        <v>5628708.6900000004</v>
      </c>
      <c r="J732" s="159">
        <v>42</v>
      </c>
      <c r="K732" t="str">
        <f>VLOOKUP($C732,Lists!$C$3:$M$118,7,FALSE)</f>
        <v>COKE_RGB</v>
      </c>
      <c r="S732" s="4"/>
      <c r="T732" s="4"/>
      <c r="U732" s="5"/>
      <c r="V732" s="5"/>
    </row>
    <row r="733" spans="1:22" x14ac:dyDescent="0.25">
      <c r="A733" s="158" t="s">
        <v>464</v>
      </c>
      <c r="B733" s="158" t="s">
        <v>92</v>
      </c>
      <c r="C733" s="158" t="s">
        <v>58</v>
      </c>
      <c r="D733" s="158" t="s">
        <v>537</v>
      </c>
      <c r="E733" s="157">
        <v>144</v>
      </c>
      <c r="F733" s="158" t="s">
        <v>525</v>
      </c>
      <c r="G733" s="159">
        <v>348426.72</v>
      </c>
      <c r="H733" s="159">
        <v>0</v>
      </c>
      <c r="I733" s="159">
        <v>193042.09</v>
      </c>
      <c r="J733" s="159">
        <v>55.4</v>
      </c>
      <c r="K733" t="str">
        <f>VLOOKUP($C733,Lists!$C$3:$M$118,7,FALSE)</f>
        <v>SOBO_PET</v>
      </c>
      <c r="S733" s="4"/>
      <c r="T733" s="4"/>
      <c r="U733" s="5"/>
      <c r="V733" s="5"/>
    </row>
    <row r="734" spans="1:22" x14ac:dyDescent="0.25">
      <c r="A734" s="158" t="s">
        <v>464</v>
      </c>
      <c r="B734" s="158" t="s">
        <v>92</v>
      </c>
      <c r="C734" s="158" t="s">
        <v>43</v>
      </c>
      <c r="D734" s="158" t="s">
        <v>44</v>
      </c>
      <c r="E734" s="157">
        <v>144</v>
      </c>
      <c r="F734" s="158" t="s">
        <v>525</v>
      </c>
      <c r="G734" s="159">
        <v>1112446.08</v>
      </c>
      <c r="H734" s="159">
        <v>0</v>
      </c>
      <c r="I734" s="159">
        <v>549351.36</v>
      </c>
      <c r="J734" s="159">
        <v>49.4</v>
      </c>
      <c r="K734" t="str">
        <f>VLOOKUP($C734,Lists!$C$3:$M$118,7,FALSE)</f>
        <v>Beers</v>
      </c>
      <c r="S734" s="4"/>
      <c r="T734" s="4"/>
      <c r="U734" s="5"/>
      <c r="V734" s="5"/>
    </row>
    <row r="735" spans="1:22" x14ac:dyDescent="0.25">
      <c r="A735" s="158" t="s">
        <v>464</v>
      </c>
      <c r="B735" s="158" t="s">
        <v>92</v>
      </c>
      <c r="C735" s="158" t="s">
        <v>59</v>
      </c>
      <c r="D735" s="158" t="s">
        <v>60</v>
      </c>
      <c r="E735" s="157">
        <v>432</v>
      </c>
      <c r="F735" s="158" t="s">
        <v>525</v>
      </c>
      <c r="G735" s="159">
        <v>1709868.96</v>
      </c>
      <c r="H735" s="159">
        <v>0</v>
      </c>
      <c r="I735" s="159">
        <v>696202.56</v>
      </c>
      <c r="J735" s="159">
        <v>40.700000000000003</v>
      </c>
      <c r="K735" t="str">
        <f>VLOOKUP($C735,Lists!$C$3:$M$118,7,FALSE)</f>
        <v>COKE_RGB</v>
      </c>
      <c r="S735" s="4"/>
      <c r="T735" s="4"/>
      <c r="U735" s="5"/>
      <c r="V735" s="5"/>
    </row>
    <row r="736" spans="1:22" x14ac:dyDescent="0.25">
      <c r="A736" s="158" t="s">
        <v>464</v>
      </c>
      <c r="B736" s="158" t="s">
        <v>92</v>
      </c>
      <c r="C736" s="158" t="s">
        <v>22</v>
      </c>
      <c r="D736" s="158" t="s">
        <v>23</v>
      </c>
      <c r="E736" s="157">
        <v>936</v>
      </c>
      <c r="F736" s="158" t="s">
        <v>525</v>
      </c>
      <c r="G736" s="159">
        <v>3704716.08</v>
      </c>
      <c r="H736" s="159">
        <v>0</v>
      </c>
      <c r="I736" s="159">
        <v>1492508.16</v>
      </c>
      <c r="J736" s="159">
        <v>40.299999999999997</v>
      </c>
      <c r="K736" t="str">
        <f>VLOOKUP($C736,Lists!$C$3:$M$118,7,FALSE)</f>
        <v>COKE_RGB</v>
      </c>
      <c r="S736" s="4"/>
      <c r="T736" s="4"/>
      <c r="U736" s="5"/>
      <c r="V736" s="5"/>
    </row>
    <row r="737" spans="1:22" x14ac:dyDescent="0.25">
      <c r="A737" s="158" t="s">
        <v>464</v>
      </c>
      <c r="B737" s="158" t="s">
        <v>92</v>
      </c>
      <c r="C737" s="158" t="s">
        <v>261</v>
      </c>
      <c r="D737" s="158" t="s">
        <v>538</v>
      </c>
      <c r="E737" s="157">
        <v>288</v>
      </c>
      <c r="F737" s="158" t="s">
        <v>525</v>
      </c>
      <c r="G737" s="159">
        <v>1139912.6399999999</v>
      </c>
      <c r="H737" s="159">
        <v>0</v>
      </c>
      <c r="I737" s="159">
        <v>459233.28000000003</v>
      </c>
      <c r="J737" s="159">
        <v>40.299999999999997</v>
      </c>
      <c r="K737" t="str">
        <f>VLOOKUP($C737,Lists!$C$3:$M$118,7,FALSE)</f>
        <v>COKE_RGB</v>
      </c>
      <c r="S737" s="4"/>
      <c r="T737" s="4"/>
      <c r="U737" s="5"/>
      <c r="V737" s="5"/>
    </row>
    <row r="738" spans="1:22" x14ac:dyDescent="0.25">
      <c r="A738" s="158" t="s">
        <v>464</v>
      </c>
      <c r="B738" s="158" t="s">
        <v>92</v>
      </c>
      <c r="C738" s="158" t="s">
        <v>24</v>
      </c>
      <c r="D738" s="158" t="s">
        <v>25</v>
      </c>
      <c r="E738" s="157">
        <v>1224</v>
      </c>
      <c r="F738" s="158" t="s">
        <v>525</v>
      </c>
      <c r="G738" s="159">
        <v>7879830.4800000004</v>
      </c>
      <c r="H738" s="159">
        <v>0</v>
      </c>
      <c r="I738" s="159">
        <v>3793959.37</v>
      </c>
      <c r="J738" s="159">
        <v>48.1</v>
      </c>
      <c r="K738" t="str">
        <f>VLOOKUP($C738,Lists!$C$3:$M$118,7,FALSE)</f>
        <v>Beers</v>
      </c>
      <c r="S738" s="4"/>
      <c r="T738" s="4"/>
      <c r="U738" s="5"/>
      <c r="V738" s="5"/>
    </row>
    <row r="739" spans="1:22" x14ac:dyDescent="0.25">
      <c r="A739" s="158" t="s">
        <v>464</v>
      </c>
      <c r="B739" s="158" t="s">
        <v>92</v>
      </c>
      <c r="C739" s="158" t="s">
        <v>29</v>
      </c>
      <c r="D739" s="158" t="s">
        <v>30</v>
      </c>
      <c r="E739" s="157">
        <v>65</v>
      </c>
      <c r="F739" s="158" t="s">
        <v>525</v>
      </c>
      <c r="G739" s="159">
        <v>2364985.35</v>
      </c>
      <c r="H739" s="159">
        <v>0</v>
      </c>
      <c r="I739" s="159">
        <v>674985.35</v>
      </c>
      <c r="J739" s="159">
        <v>28.5</v>
      </c>
      <c r="K739" t="str">
        <f>VLOOKUP($C739,Lists!$C$3:$M$118,7,FALSE)</f>
        <v>Spirits</v>
      </c>
      <c r="S739" s="4"/>
      <c r="T739" s="4"/>
      <c r="U739" s="5"/>
      <c r="V739" s="5"/>
    </row>
    <row r="740" spans="1:22" x14ac:dyDescent="0.25">
      <c r="A740" s="158" t="s">
        <v>464</v>
      </c>
      <c r="B740" s="158" t="s">
        <v>92</v>
      </c>
      <c r="C740" s="158" t="s">
        <v>33</v>
      </c>
      <c r="D740" s="158" t="s">
        <v>34</v>
      </c>
      <c r="E740" s="157">
        <v>3</v>
      </c>
      <c r="F740" s="158" t="s">
        <v>525</v>
      </c>
      <c r="G740" s="159">
        <v>167071.20000000001</v>
      </c>
      <c r="H740" s="159">
        <v>0</v>
      </c>
      <c r="I740" s="159">
        <v>32071.200000000001</v>
      </c>
      <c r="J740" s="159">
        <v>19.2</v>
      </c>
      <c r="K740" t="str">
        <f>VLOOKUP($C740,Lists!$C$3:$M$118,7,FALSE)</f>
        <v>Spirits</v>
      </c>
      <c r="S740" s="4"/>
      <c r="T740" s="4"/>
      <c r="U740" s="5"/>
      <c r="V740" s="5"/>
    </row>
    <row r="741" spans="1:22" x14ac:dyDescent="0.25">
      <c r="A741" s="158" t="s">
        <v>464</v>
      </c>
      <c r="B741" s="158" t="s">
        <v>92</v>
      </c>
      <c r="C741" s="158" t="s">
        <v>37</v>
      </c>
      <c r="D741" s="158" t="s">
        <v>38</v>
      </c>
      <c r="E741" s="157">
        <v>648</v>
      </c>
      <c r="F741" s="158" t="s">
        <v>525</v>
      </c>
      <c r="G741" s="159">
        <v>2137337.2799999998</v>
      </c>
      <c r="H741" s="159">
        <v>0</v>
      </c>
      <c r="I741" s="159">
        <v>1001270.16</v>
      </c>
      <c r="J741" s="159">
        <v>46.8</v>
      </c>
      <c r="K741" t="str">
        <f>VLOOKUP($C741,Lists!$C$3:$M$118,7,FALSE)</f>
        <v>SOBO_RGB</v>
      </c>
      <c r="S741" s="4"/>
      <c r="T741" s="4"/>
      <c r="U741" s="5"/>
      <c r="V741" s="5"/>
    </row>
    <row r="742" spans="1:22" x14ac:dyDescent="0.25">
      <c r="A742" s="158" t="s">
        <v>464</v>
      </c>
      <c r="B742" s="158" t="s">
        <v>92</v>
      </c>
      <c r="C742" s="158" t="s">
        <v>39</v>
      </c>
      <c r="D742" s="158" t="s">
        <v>40</v>
      </c>
      <c r="E742" s="157">
        <v>576</v>
      </c>
      <c r="F742" s="158" t="s">
        <v>525</v>
      </c>
      <c r="G742" s="159">
        <v>1899855.36</v>
      </c>
      <c r="H742" s="159">
        <v>0</v>
      </c>
      <c r="I742" s="159">
        <v>882149.76</v>
      </c>
      <c r="J742" s="159">
        <v>46.4</v>
      </c>
      <c r="K742" t="str">
        <f>VLOOKUP($C742,Lists!$C$3:$M$118,7,FALSE)</f>
        <v>SOBO_RGB</v>
      </c>
      <c r="S742" s="4"/>
      <c r="T742" s="4"/>
      <c r="U742" s="5"/>
      <c r="V742" s="5"/>
    </row>
    <row r="743" spans="1:22" x14ac:dyDescent="0.25">
      <c r="A743" s="158" t="s">
        <v>464</v>
      </c>
      <c r="B743" s="158" t="s">
        <v>92</v>
      </c>
      <c r="C743" s="158" t="s">
        <v>45</v>
      </c>
      <c r="D743" s="158" t="s">
        <v>46</v>
      </c>
      <c r="E743" s="157">
        <v>648</v>
      </c>
      <c r="F743" s="158" t="s">
        <v>525</v>
      </c>
      <c r="G743" s="159">
        <v>2564803.44</v>
      </c>
      <c r="H743" s="159">
        <v>0</v>
      </c>
      <c r="I743" s="159">
        <v>1263256.56</v>
      </c>
      <c r="J743" s="159">
        <v>49.3</v>
      </c>
      <c r="K743" t="str">
        <f>VLOOKUP($C743,Lists!$C$3:$M$118,7,FALSE)</f>
        <v>SOBO_RGB</v>
      </c>
      <c r="S743" s="4"/>
      <c r="T743" s="4"/>
      <c r="U743" s="5"/>
      <c r="V743" s="5"/>
    </row>
    <row r="744" spans="1:22" x14ac:dyDescent="0.25">
      <c r="A744" s="158" t="s">
        <v>464</v>
      </c>
      <c r="B744" s="158" t="s">
        <v>92</v>
      </c>
      <c r="C744" s="158" t="s">
        <v>47</v>
      </c>
      <c r="D744" s="158" t="s">
        <v>48</v>
      </c>
      <c r="E744" s="157">
        <v>432</v>
      </c>
      <c r="F744" s="158" t="s">
        <v>525</v>
      </c>
      <c r="G744" s="159">
        <v>1709868.96</v>
      </c>
      <c r="H744" s="159">
        <v>0</v>
      </c>
      <c r="I744" s="159">
        <v>746206.56</v>
      </c>
      <c r="J744" s="159">
        <v>43.6</v>
      </c>
      <c r="K744" t="str">
        <f>VLOOKUP($C744,Lists!$C$3:$M$118,7,FALSE)</f>
        <v>COKE_RGB</v>
      </c>
      <c r="S744" s="4"/>
      <c r="T744" s="4"/>
      <c r="U744" s="5"/>
      <c r="V744" s="5"/>
    </row>
    <row r="745" spans="1:22" x14ac:dyDescent="0.25">
      <c r="A745" s="158" t="s">
        <v>464</v>
      </c>
      <c r="B745" s="158" t="s">
        <v>92</v>
      </c>
      <c r="C745" s="158" t="s">
        <v>68</v>
      </c>
      <c r="D745" s="158" t="s">
        <v>534</v>
      </c>
      <c r="E745" s="157">
        <v>144</v>
      </c>
      <c r="F745" s="158" t="s">
        <v>525</v>
      </c>
      <c r="G745" s="159">
        <v>406497.6</v>
      </c>
      <c r="H745" s="159">
        <v>0</v>
      </c>
      <c r="I745" s="159">
        <v>198080.63</v>
      </c>
      <c r="J745" s="159">
        <v>48.7</v>
      </c>
      <c r="K745" t="str">
        <f>VLOOKUP($C745,Lists!$C$3:$M$118,7,FALSE)</f>
        <v>COKE_PET</v>
      </c>
      <c r="S745" s="4"/>
      <c r="T745" s="4"/>
      <c r="U745" s="5"/>
      <c r="V745" s="5"/>
    </row>
    <row r="746" spans="1:22" x14ac:dyDescent="0.25">
      <c r="A746" s="158" t="s">
        <v>464</v>
      </c>
      <c r="B746" s="158" t="s">
        <v>92</v>
      </c>
      <c r="C746" s="158" t="s">
        <v>65</v>
      </c>
      <c r="D746" s="158" t="s">
        <v>66</v>
      </c>
      <c r="E746" s="157">
        <v>144</v>
      </c>
      <c r="F746" s="158" t="s">
        <v>525</v>
      </c>
      <c r="G746" s="159">
        <v>721946.88</v>
      </c>
      <c r="H746" s="159">
        <v>0</v>
      </c>
      <c r="I746" s="159">
        <v>140898.23999999999</v>
      </c>
      <c r="J746" s="159">
        <v>19.5</v>
      </c>
      <c r="K746" t="str">
        <f>VLOOKUP($C746,Lists!$C$3:$M$118,7,FALSE)</f>
        <v>Squash</v>
      </c>
      <c r="S746" s="4"/>
      <c r="T746" s="4"/>
      <c r="U746" s="5"/>
      <c r="V746" s="5"/>
    </row>
    <row r="747" spans="1:22" x14ac:dyDescent="0.25">
      <c r="A747" s="158" t="s">
        <v>464</v>
      </c>
      <c r="B747" s="158" t="s">
        <v>92</v>
      </c>
      <c r="C747" s="158" t="s">
        <v>51</v>
      </c>
      <c r="D747" s="158" t="s">
        <v>52</v>
      </c>
      <c r="E747" s="157">
        <v>144</v>
      </c>
      <c r="F747" s="158" t="s">
        <v>525</v>
      </c>
      <c r="G747" s="159">
        <v>1443942.72</v>
      </c>
      <c r="H747" s="159">
        <v>0</v>
      </c>
      <c r="I747" s="159">
        <v>456052.32</v>
      </c>
      <c r="J747" s="159">
        <v>31.6</v>
      </c>
      <c r="K747" t="str">
        <f>VLOOKUP($C747,Lists!$C$3:$M$118,7,FALSE)</f>
        <v>Squash</v>
      </c>
      <c r="S747" s="4"/>
      <c r="T747" s="4"/>
      <c r="U747" s="5"/>
      <c r="V747" s="5"/>
    </row>
    <row r="748" spans="1:22" x14ac:dyDescent="0.25">
      <c r="A748" s="158" t="s">
        <v>464</v>
      </c>
      <c r="B748" s="158" t="s">
        <v>92</v>
      </c>
      <c r="C748" s="158" t="s">
        <v>26</v>
      </c>
      <c r="D748" s="158" t="s">
        <v>27</v>
      </c>
      <c r="E748" s="157">
        <v>144</v>
      </c>
      <c r="F748" s="158" t="s">
        <v>525</v>
      </c>
      <c r="G748" s="159">
        <v>314265.59999999998</v>
      </c>
      <c r="H748" s="159">
        <v>0</v>
      </c>
      <c r="I748" s="159">
        <v>138551.04000000001</v>
      </c>
      <c r="J748" s="159">
        <v>44.1</v>
      </c>
      <c r="K748" t="str">
        <f>VLOOKUP($C748,Lists!$C$3:$M$118,7,FALSE)</f>
        <v>Water</v>
      </c>
      <c r="S748" s="4"/>
      <c r="T748" s="4"/>
      <c r="U748" s="5"/>
      <c r="V748" s="5"/>
    </row>
    <row r="749" spans="1:22" x14ac:dyDescent="0.25">
      <c r="A749" s="158" t="s">
        <v>465</v>
      </c>
      <c r="B749" s="158" t="s">
        <v>466</v>
      </c>
      <c r="C749" s="158" t="s">
        <v>41</v>
      </c>
      <c r="D749" s="158" t="s">
        <v>42</v>
      </c>
      <c r="E749" s="157">
        <v>72</v>
      </c>
      <c r="F749" s="158" t="s">
        <v>525</v>
      </c>
      <c r="G749" s="159">
        <v>556223.04</v>
      </c>
      <c r="H749" s="159">
        <v>0</v>
      </c>
      <c r="I749" s="159">
        <v>233303.04000000001</v>
      </c>
      <c r="J749" s="159">
        <v>41.9</v>
      </c>
      <c r="K749" t="str">
        <f>VLOOKUP($C749,Lists!$C$3:$M$118,7,FALSE)</f>
        <v>Alcomix</v>
      </c>
      <c r="S749" s="4"/>
      <c r="T749" s="4"/>
      <c r="U749" s="5"/>
      <c r="V749" s="5"/>
    </row>
    <row r="750" spans="1:22" x14ac:dyDescent="0.25">
      <c r="A750" s="158" t="s">
        <v>465</v>
      </c>
      <c r="B750" s="158" t="s">
        <v>466</v>
      </c>
      <c r="C750" s="158" t="s">
        <v>10</v>
      </c>
      <c r="D750" s="158" t="s">
        <v>11</v>
      </c>
      <c r="E750" s="157">
        <v>214</v>
      </c>
      <c r="F750" s="158" t="s">
        <v>525</v>
      </c>
      <c r="G750" s="159">
        <v>1653218.48</v>
      </c>
      <c r="H750" s="159">
        <v>0</v>
      </c>
      <c r="I750" s="159">
        <v>693428.48</v>
      </c>
      <c r="J750" s="159">
        <v>41.9</v>
      </c>
      <c r="K750" t="str">
        <f>VLOOKUP($C750,Lists!$C$3:$M$118,7,FALSE)</f>
        <v>Alcomix</v>
      </c>
      <c r="S750" s="4"/>
      <c r="T750" s="4"/>
      <c r="U750" s="5"/>
      <c r="V750" s="5"/>
    </row>
    <row r="751" spans="1:22" x14ac:dyDescent="0.25">
      <c r="A751" s="158" t="s">
        <v>465</v>
      </c>
      <c r="B751" s="158" t="s">
        <v>466</v>
      </c>
      <c r="C751" s="158" t="s">
        <v>12</v>
      </c>
      <c r="D751" s="158" t="s">
        <v>13</v>
      </c>
      <c r="E751" s="157">
        <v>6611</v>
      </c>
      <c r="F751" s="158" t="s">
        <v>525</v>
      </c>
      <c r="G751" s="159">
        <v>42560097.469999999</v>
      </c>
      <c r="H751" s="159">
        <v>0</v>
      </c>
      <c r="I751" s="159">
        <v>18600180.719999999</v>
      </c>
      <c r="J751" s="159">
        <v>43.7</v>
      </c>
      <c r="K751" t="str">
        <f>VLOOKUP($C751,Lists!$C$3:$M$118,7,FALSE)</f>
        <v>Beers</v>
      </c>
      <c r="S751" s="4"/>
      <c r="T751" s="4"/>
      <c r="U751" s="5"/>
      <c r="V751" s="5"/>
    </row>
    <row r="752" spans="1:22" x14ac:dyDescent="0.25">
      <c r="A752" s="158" t="s">
        <v>465</v>
      </c>
      <c r="B752" s="158" t="s">
        <v>466</v>
      </c>
      <c r="C752" s="158" t="s">
        <v>14</v>
      </c>
      <c r="D752" s="158" t="s">
        <v>15</v>
      </c>
      <c r="E752" s="157">
        <v>1506</v>
      </c>
      <c r="F752" s="158" t="s">
        <v>525</v>
      </c>
      <c r="G752" s="159">
        <v>11634331.92</v>
      </c>
      <c r="H752" s="159">
        <v>0</v>
      </c>
      <c r="I752" s="159">
        <v>5745299.6399999997</v>
      </c>
      <c r="J752" s="159">
        <v>49.4</v>
      </c>
      <c r="K752" t="str">
        <f>VLOOKUP($C752,Lists!$C$3:$M$118,7,FALSE)</f>
        <v>Beers</v>
      </c>
      <c r="S752" s="4"/>
      <c r="T752" s="4"/>
      <c r="U752" s="5"/>
      <c r="V752" s="5"/>
    </row>
    <row r="753" spans="1:22" x14ac:dyDescent="0.25">
      <c r="A753" s="158" t="s">
        <v>465</v>
      </c>
      <c r="B753" s="158" t="s">
        <v>466</v>
      </c>
      <c r="C753" s="158" t="s">
        <v>54</v>
      </c>
      <c r="D753" s="158" t="s">
        <v>55</v>
      </c>
      <c r="E753" s="157">
        <v>398</v>
      </c>
      <c r="F753" s="158" t="s">
        <v>525</v>
      </c>
      <c r="G753" s="159">
        <v>3074677.36</v>
      </c>
      <c r="H753" s="159">
        <v>0</v>
      </c>
      <c r="I753" s="159">
        <v>1614116.86</v>
      </c>
      <c r="J753" s="159">
        <v>52.5</v>
      </c>
      <c r="K753" t="str">
        <f>VLOOKUP($C753,Lists!$C$3:$M$118,7,FALSE)</f>
        <v>Beers</v>
      </c>
      <c r="S753" s="4"/>
      <c r="T753" s="4"/>
      <c r="U753" s="5"/>
      <c r="V753" s="5"/>
    </row>
    <row r="754" spans="1:22" x14ac:dyDescent="0.25">
      <c r="A754" s="158" t="s">
        <v>465</v>
      </c>
      <c r="B754" s="158" t="s">
        <v>466</v>
      </c>
      <c r="C754" s="158" t="s">
        <v>16</v>
      </c>
      <c r="D754" s="158" t="s">
        <v>17</v>
      </c>
      <c r="E754" s="157">
        <v>3589</v>
      </c>
      <c r="F754" s="158" t="s">
        <v>525</v>
      </c>
      <c r="G754" s="159">
        <v>27726173.48</v>
      </c>
      <c r="H754" s="159">
        <v>0</v>
      </c>
      <c r="I754" s="159">
        <v>13691819.66</v>
      </c>
      <c r="J754" s="159">
        <v>49.4</v>
      </c>
      <c r="K754" t="str">
        <f>VLOOKUP($C754,Lists!$C$3:$M$118,7,FALSE)</f>
        <v>Beers</v>
      </c>
      <c r="S754" s="4"/>
      <c r="T754" s="4"/>
      <c r="U754" s="5"/>
      <c r="V754" s="5"/>
    </row>
    <row r="755" spans="1:22" x14ac:dyDescent="0.25">
      <c r="A755" s="158" t="s">
        <v>465</v>
      </c>
      <c r="B755" s="158" t="s">
        <v>466</v>
      </c>
      <c r="C755" s="158" t="s">
        <v>56</v>
      </c>
      <c r="D755" s="158" t="s">
        <v>57</v>
      </c>
      <c r="E755" s="157">
        <v>895</v>
      </c>
      <c r="F755" s="158" t="s">
        <v>525</v>
      </c>
      <c r="G755" s="159">
        <v>6914161.4000000004</v>
      </c>
      <c r="H755" s="159">
        <v>0</v>
      </c>
      <c r="I755" s="159">
        <v>3629735.15</v>
      </c>
      <c r="J755" s="159">
        <v>52.5</v>
      </c>
      <c r="K755" t="str">
        <f>VLOOKUP($C755,Lists!$C$3:$M$118,7,FALSE)</f>
        <v>Beers</v>
      </c>
      <c r="S755" s="4"/>
      <c r="T755" s="4"/>
      <c r="U755" s="5"/>
      <c r="V755" s="5"/>
    </row>
    <row r="756" spans="1:22" x14ac:dyDescent="0.25">
      <c r="A756" s="158" t="s">
        <v>465</v>
      </c>
      <c r="B756" s="158" t="s">
        <v>466</v>
      </c>
      <c r="C756" s="158" t="s">
        <v>18</v>
      </c>
      <c r="D756" s="158" t="s">
        <v>19</v>
      </c>
      <c r="E756" s="157">
        <v>284</v>
      </c>
      <c r="F756" s="158" t="s">
        <v>525</v>
      </c>
      <c r="G756" s="159">
        <v>2925322.12</v>
      </c>
      <c r="H756" s="159">
        <v>0</v>
      </c>
      <c r="I756" s="159">
        <v>1516824.12</v>
      </c>
      <c r="J756" s="159">
        <v>51.9</v>
      </c>
      <c r="K756" t="str">
        <f>VLOOKUP($C756,Lists!$C$3:$M$118,7,FALSE)</f>
        <v>Beers</v>
      </c>
      <c r="S756" s="4"/>
      <c r="T756" s="4"/>
      <c r="U756" s="5"/>
      <c r="V756" s="5"/>
    </row>
    <row r="757" spans="1:22" x14ac:dyDescent="0.25">
      <c r="A757" s="158" t="s">
        <v>465</v>
      </c>
      <c r="B757" s="158" t="s">
        <v>466</v>
      </c>
      <c r="C757" s="158" t="s">
        <v>20</v>
      </c>
      <c r="D757" s="158" t="s">
        <v>21</v>
      </c>
      <c r="E757" s="157">
        <v>4239</v>
      </c>
      <c r="F757" s="158" t="s">
        <v>525</v>
      </c>
      <c r="G757" s="159">
        <v>16778089.170000002</v>
      </c>
      <c r="H757" s="159">
        <v>0</v>
      </c>
      <c r="I757" s="159">
        <v>7050855.8700000001</v>
      </c>
      <c r="J757" s="159">
        <v>42</v>
      </c>
      <c r="K757" t="str">
        <f>VLOOKUP($C757,Lists!$C$3:$M$118,7,FALSE)</f>
        <v>COKE_RGB</v>
      </c>
      <c r="S757" s="4"/>
      <c r="T757" s="4"/>
      <c r="U757" s="5"/>
      <c r="V757" s="5"/>
    </row>
    <row r="758" spans="1:22" x14ac:dyDescent="0.25">
      <c r="A758" s="158" t="s">
        <v>465</v>
      </c>
      <c r="B758" s="158" t="s">
        <v>466</v>
      </c>
      <c r="C758" s="158" t="s">
        <v>28</v>
      </c>
      <c r="D758" s="158" t="s">
        <v>530</v>
      </c>
      <c r="E758" s="157">
        <v>144</v>
      </c>
      <c r="F758" s="158" t="s">
        <v>525</v>
      </c>
      <c r="G758" s="159">
        <v>406497.6</v>
      </c>
      <c r="H758" s="159">
        <v>0</v>
      </c>
      <c r="I758" s="159">
        <v>205034.4</v>
      </c>
      <c r="J758" s="159">
        <v>50.4</v>
      </c>
      <c r="K758" t="str">
        <f>VLOOKUP($C758,Lists!$C$3:$M$118,7,FALSE)</f>
        <v>COKE_PET</v>
      </c>
      <c r="S758" s="4"/>
      <c r="T758" s="4"/>
      <c r="U758" s="5"/>
      <c r="V758" s="5"/>
    </row>
    <row r="759" spans="1:22" x14ac:dyDescent="0.25">
      <c r="A759" s="158" t="s">
        <v>465</v>
      </c>
      <c r="B759" s="158" t="s">
        <v>466</v>
      </c>
      <c r="C759" s="158" t="s">
        <v>58</v>
      </c>
      <c r="D759" s="158" t="s">
        <v>537</v>
      </c>
      <c r="E759" s="157">
        <v>859</v>
      </c>
      <c r="F759" s="158" t="s">
        <v>525</v>
      </c>
      <c r="G759" s="159">
        <v>2078462.17</v>
      </c>
      <c r="H759" s="159">
        <v>0</v>
      </c>
      <c r="I759" s="159">
        <v>1151549.6299999999</v>
      </c>
      <c r="J759" s="159">
        <v>55.4</v>
      </c>
      <c r="K759" t="str">
        <f>VLOOKUP($C759,Lists!$C$3:$M$118,7,FALSE)</f>
        <v>SOBO_PET</v>
      </c>
      <c r="S759" s="4"/>
      <c r="T759" s="4"/>
      <c r="U759" s="5"/>
      <c r="V759" s="5"/>
    </row>
    <row r="760" spans="1:22" x14ac:dyDescent="0.25">
      <c r="A760" s="158" t="s">
        <v>465</v>
      </c>
      <c r="B760" s="158" t="s">
        <v>466</v>
      </c>
      <c r="C760" s="158" t="s">
        <v>78</v>
      </c>
      <c r="D760" s="158" t="s">
        <v>526</v>
      </c>
      <c r="E760" s="157">
        <v>287</v>
      </c>
      <c r="F760" s="158" t="s">
        <v>525</v>
      </c>
      <c r="G760" s="159">
        <v>694433.81</v>
      </c>
      <c r="H760" s="159">
        <v>0</v>
      </c>
      <c r="I760" s="159">
        <v>379152.83</v>
      </c>
      <c r="J760" s="159">
        <v>54.6</v>
      </c>
      <c r="K760" t="str">
        <f>VLOOKUP($C760,Lists!$C$3:$M$118,7,FALSE)</f>
        <v>SOBO_PET</v>
      </c>
      <c r="S760" s="4"/>
      <c r="T760" s="4"/>
      <c r="U760" s="5"/>
      <c r="V760" s="5"/>
    </row>
    <row r="761" spans="1:22" x14ac:dyDescent="0.25">
      <c r="A761" s="158" t="s">
        <v>465</v>
      </c>
      <c r="B761" s="158" t="s">
        <v>466</v>
      </c>
      <c r="C761" s="158" t="s">
        <v>43</v>
      </c>
      <c r="D761" s="158" t="s">
        <v>44</v>
      </c>
      <c r="E761" s="157">
        <v>285</v>
      </c>
      <c r="F761" s="158" t="s">
        <v>525</v>
      </c>
      <c r="G761" s="159">
        <v>2201716.2000000002</v>
      </c>
      <c r="H761" s="159">
        <v>0</v>
      </c>
      <c r="I761" s="159">
        <v>1087257.8999999999</v>
      </c>
      <c r="J761" s="159">
        <v>49.4</v>
      </c>
      <c r="K761" t="str">
        <f>VLOOKUP($C761,Lists!$C$3:$M$118,7,FALSE)</f>
        <v>Beers</v>
      </c>
      <c r="S761" s="4"/>
      <c r="T761" s="4"/>
      <c r="U761" s="5"/>
      <c r="V761" s="5"/>
    </row>
    <row r="762" spans="1:22" x14ac:dyDescent="0.25">
      <c r="A762" s="158" t="s">
        <v>465</v>
      </c>
      <c r="B762" s="158" t="s">
        <v>466</v>
      </c>
      <c r="C762" s="158" t="s">
        <v>59</v>
      </c>
      <c r="D762" s="158" t="s">
        <v>60</v>
      </c>
      <c r="E762" s="157">
        <v>720</v>
      </c>
      <c r="F762" s="158" t="s">
        <v>525</v>
      </c>
      <c r="G762" s="159">
        <v>2849781.6</v>
      </c>
      <c r="H762" s="159">
        <v>0</v>
      </c>
      <c r="I762" s="159">
        <v>1160337.6000000001</v>
      </c>
      <c r="J762" s="159">
        <v>40.700000000000003</v>
      </c>
      <c r="K762" t="str">
        <f>VLOOKUP($C762,Lists!$C$3:$M$118,7,FALSE)</f>
        <v>COKE_RGB</v>
      </c>
      <c r="S762" s="4"/>
      <c r="T762" s="4"/>
      <c r="U762" s="5"/>
      <c r="V762" s="5"/>
    </row>
    <row r="763" spans="1:22" x14ac:dyDescent="0.25">
      <c r="A763" s="158" t="s">
        <v>465</v>
      </c>
      <c r="B763" s="158" t="s">
        <v>466</v>
      </c>
      <c r="C763" s="158" t="s">
        <v>22</v>
      </c>
      <c r="D763" s="158" t="s">
        <v>23</v>
      </c>
      <c r="E763" s="157">
        <v>2013</v>
      </c>
      <c r="F763" s="158" t="s">
        <v>525</v>
      </c>
      <c r="G763" s="159">
        <v>7967514.3899999997</v>
      </c>
      <c r="H763" s="159">
        <v>0</v>
      </c>
      <c r="I763" s="159">
        <v>3209849.28</v>
      </c>
      <c r="J763" s="159">
        <v>40.299999999999997</v>
      </c>
      <c r="K763" t="str">
        <f>VLOOKUP($C763,Lists!$C$3:$M$118,7,FALSE)</f>
        <v>COKE_RGB</v>
      </c>
      <c r="S763" s="4"/>
      <c r="T763" s="4"/>
      <c r="U763" s="5"/>
      <c r="V763" s="5"/>
    </row>
    <row r="764" spans="1:22" x14ac:dyDescent="0.25">
      <c r="A764" s="158" t="s">
        <v>465</v>
      </c>
      <c r="B764" s="158" t="s">
        <v>466</v>
      </c>
      <c r="C764" s="158" t="s">
        <v>67</v>
      </c>
      <c r="D764" s="158" t="s">
        <v>533</v>
      </c>
      <c r="E764" s="157">
        <v>144</v>
      </c>
      <c r="F764" s="158" t="s">
        <v>525</v>
      </c>
      <c r="G764" s="159">
        <v>406497.6</v>
      </c>
      <c r="H764" s="159">
        <v>0</v>
      </c>
      <c r="I764" s="159">
        <v>199961.28</v>
      </c>
      <c r="J764" s="159">
        <v>49.2</v>
      </c>
      <c r="K764" t="str">
        <f>VLOOKUP($C764,Lists!$C$3:$M$118,7,FALSE)</f>
        <v>COKE_PET</v>
      </c>
      <c r="S764" s="4"/>
      <c r="T764" s="4"/>
      <c r="U764" s="5"/>
      <c r="V764" s="5"/>
    </row>
    <row r="765" spans="1:22" x14ac:dyDescent="0.25">
      <c r="A765" s="158" t="s">
        <v>465</v>
      </c>
      <c r="B765" s="158" t="s">
        <v>466</v>
      </c>
      <c r="C765" s="158" t="s">
        <v>261</v>
      </c>
      <c r="D765" s="158" t="s">
        <v>538</v>
      </c>
      <c r="E765" s="157">
        <v>213</v>
      </c>
      <c r="F765" s="158" t="s">
        <v>525</v>
      </c>
      <c r="G765" s="159">
        <v>843060.39</v>
      </c>
      <c r="H765" s="159">
        <v>0</v>
      </c>
      <c r="I765" s="159">
        <v>339641.28</v>
      </c>
      <c r="J765" s="159">
        <v>40.299999999999997</v>
      </c>
      <c r="K765" t="str">
        <f>VLOOKUP($C765,Lists!$C$3:$M$118,7,FALSE)</f>
        <v>COKE_RGB</v>
      </c>
      <c r="S765" s="4"/>
      <c r="T765" s="4"/>
      <c r="U765" s="5"/>
      <c r="V765" s="5"/>
    </row>
    <row r="766" spans="1:22" x14ac:dyDescent="0.25">
      <c r="A766" s="158" t="s">
        <v>465</v>
      </c>
      <c r="B766" s="158" t="s">
        <v>466</v>
      </c>
      <c r="C766" s="158" t="s">
        <v>24</v>
      </c>
      <c r="D766" s="158" t="s">
        <v>25</v>
      </c>
      <c r="E766" s="157">
        <v>646</v>
      </c>
      <c r="F766" s="158" t="s">
        <v>525</v>
      </c>
      <c r="G766" s="159">
        <v>4158799.42</v>
      </c>
      <c r="H766" s="159">
        <v>0</v>
      </c>
      <c r="I766" s="159">
        <v>2002367.44</v>
      </c>
      <c r="J766" s="159">
        <v>48.1</v>
      </c>
      <c r="K766" t="str">
        <f>VLOOKUP($C766,Lists!$C$3:$M$118,7,FALSE)</f>
        <v>Beers</v>
      </c>
      <c r="S766" s="4"/>
      <c r="T766" s="4"/>
      <c r="U766" s="5"/>
      <c r="V766" s="5"/>
    </row>
    <row r="767" spans="1:22" x14ac:dyDescent="0.25">
      <c r="A767" s="158" t="s">
        <v>465</v>
      </c>
      <c r="B767" s="158" t="s">
        <v>466</v>
      </c>
      <c r="C767" s="158" t="s">
        <v>29</v>
      </c>
      <c r="D767" s="158" t="s">
        <v>30</v>
      </c>
      <c r="E767" s="157">
        <v>55</v>
      </c>
      <c r="F767" s="158" t="s">
        <v>525</v>
      </c>
      <c r="G767" s="159">
        <v>2001141.45</v>
      </c>
      <c r="H767" s="159">
        <v>0</v>
      </c>
      <c r="I767" s="159">
        <v>571141.44999999995</v>
      </c>
      <c r="J767" s="159">
        <v>28.5</v>
      </c>
      <c r="K767" t="str">
        <f>VLOOKUP($C767,Lists!$C$3:$M$118,7,FALSE)</f>
        <v>Spirits</v>
      </c>
      <c r="S767" s="4"/>
      <c r="T767" s="4"/>
      <c r="U767" s="5"/>
      <c r="V767" s="5"/>
    </row>
    <row r="768" spans="1:22" x14ac:dyDescent="0.25">
      <c r="A768" s="158" t="s">
        <v>465</v>
      </c>
      <c r="B768" s="158" t="s">
        <v>466</v>
      </c>
      <c r="C768" s="158" t="s">
        <v>33</v>
      </c>
      <c r="D768" s="158" t="s">
        <v>34</v>
      </c>
      <c r="E768" s="157">
        <v>15</v>
      </c>
      <c r="F768" s="158" t="s">
        <v>525</v>
      </c>
      <c r="G768" s="159">
        <v>835356</v>
      </c>
      <c r="H768" s="159">
        <v>0</v>
      </c>
      <c r="I768" s="159">
        <v>160356</v>
      </c>
      <c r="J768" s="159">
        <v>19.2</v>
      </c>
      <c r="K768" t="str">
        <f>VLOOKUP($C768,Lists!$C$3:$M$118,7,FALSE)</f>
        <v>Spirits</v>
      </c>
      <c r="S768" s="4"/>
      <c r="T768" s="4"/>
      <c r="U768" s="5"/>
      <c r="V768" s="5"/>
    </row>
    <row r="769" spans="1:22" x14ac:dyDescent="0.25">
      <c r="A769" s="158" t="s">
        <v>465</v>
      </c>
      <c r="B769" s="158" t="s">
        <v>466</v>
      </c>
      <c r="C769" s="158" t="s">
        <v>37</v>
      </c>
      <c r="D769" s="158" t="s">
        <v>38</v>
      </c>
      <c r="E769" s="157">
        <v>144</v>
      </c>
      <c r="F769" s="158" t="s">
        <v>525</v>
      </c>
      <c r="G769" s="159">
        <v>474963.84</v>
      </c>
      <c r="H769" s="159">
        <v>0</v>
      </c>
      <c r="I769" s="159">
        <v>222504.48</v>
      </c>
      <c r="J769" s="159">
        <v>46.8</v>
      </c>
      <c r="K769" t="str">
        <f>VLOOKUP($C769,Lists!$C$3:$M$118,7,FALSE)</f>
        <v>SOBO_RGB</v>
      </c>
      <c r="S769" s="4"/>
      <c r="T769" s="4"/>
      <c r="U769" s="5"/>
      <c r="V769" s="5"/>
    </row>
    <row r="770" spans="1:22" x14ac:dyDescent="0.25">
      <c r="A770" s="158" t="s">
        <v>465</v>
      </c>
      <c r="B770" s="158" t="s">
        <v>466</v>
      </c>
      <c r="C770" s="158" t="s">
        <v>39</v>
      </c>
      <c r="D770" s="158" t="s">
        <v>40</v>
      </c>
      <c r="E770" s="157">
        <v>216</v>
      </c>
      <c r="F770" s="158" t="s">
        <v>525</v>
      </c>
      <c r="G770" s="159">
        <v>712445.76</v>
      </c>
      <c r="H770" s="159">
        <v>0</v>
      </c>
      <c r="I770" s="159">
        <v>330806.15999999997</v>
      </c>
      <c r="J770" s="159">
        <v>46.4</v>
      </c>
      <c r="K770" t="str">
        <f>VLOOKUP($C770,Lists!$C$3:$M$118,7,FALSE)</f>
        <v>SOBO_RGB</v>
      </c>
      <c r="S770" s="4"/>
      <c r="T770" s="4"/>
      <c r="U770" s="5"/>
      <c r="V770" s="5"/>
    </row>
    <row r="771" spans="1:22" x14ac:dyDescent="0.25">
      <c r="A771" s="158" t="s">
        <v>465</v>
      </c>
      <c r="B771" s="158" t="s">
        <v>466</v>
      </c>
      <c r="C771" s="158" t="s">
        <v>88</v>
      </c>
      <c r="D771" s="158" t="s">
        <v>527</v>
      </c>
      <c r="E771" s="157">
        <v>144</v>
      </c>
      <c r="F771" s="158" t="s">
        <v>525</v>
      </c>
      <c r="G771" s="159">
        <v>406497.6</v>
      </c>
      <c r="H771" s="159">
        <v>0</v>
      </c>
      <c r="I771" s="159">
        <v>238492.79999999999</v>
      </c>
      <c r="J771" s="159">
        <v>58.7</v>
      </c>
      <c r="K771" t="str">
        <f>VLOOKUP($C771,Lists!$C$3:$M$118,7,FALSE)</f>
        <v>SOBO_PET</v>
      </c>
      <c r="S771" s="4"/>
      <c r="T771" s="4"/>
      <c r="U771" s="5"/>
      <c r="V771" s="5"/>
    </row>
    <row r="772" spans="1:22" x14ac:dyDescent="0.25">
      <c r="A772" s="158" t="s">
        <v>465</v>
      </c>
      <c r="B772" s="158" t="s">
        <v>466</v>
      </c>
      <c r="C772" s="158" t="s">
        <v>45</v>
      </c>
      <c r="D772" s="158" t="s">
        <v>46</v>
      </c>
      <c r="E772" s="157">
        <v>575</v>
      </c>
      <c r="F772" s="158" t="s">
        <v>525</v>
      </c>
      <c r="G772" s="159">
        <v>2275867.25</v>
      </c>
      <c r="H772" s="159">
        <v>0</v>
      </c>
      <c r="I772" s="159">
        <v>1120945.25</v>
      </c>
      <c r="J772" s="159">
        <v>49.3</v>
      </c>
      <c r="K772" t="str">
        <f>VLOOKUP($C772,Lists!$C$3:$M$118,7,FALSE)</f>
        <v>SOBO_RGB</v>
      </c>
      <c r="S772" s="4"/>
      <c r="T772" s="4"/>
      <c r="U772" s="5"/>
      <c r="V772" s="5"/>
    </row>
    <row r="773" spans="1:22" x14ac:dyDescent="0.25">
      <c r="A773" s="158" t="s">
        <v>465</v>
      </c>
      <c r="B773" s="158" t="s">
        <v>466</v>
      </c>
      <c r="C773" s="158" t="s">
        <v>47</v>
      </c>
      <c r="D773" s="158" t="s">
        <v>48</v>
      </c>
      <c r="E773" s="157">
        <v>644</v>
      </c>
      <c r="F773" s="158" t="s">
        <v>525</v>
      </c>
      <c r="G773" s="159">
        <v>2548971.3199999998</v>
      </c>
      <c r="H773" s="159">
        <v>0</v>
      </c>
      <c r="I773" s="159">
        <v>1112400.51</v>
      </c>
      <c r="J773" s="159">
        <v>43.6</v>
      </c>
      <c r="K773" t="str">
        <f>VLOOKUP($C773,Lists!$C$3:$M$118,7,FALSE)</f>
        <v>COKE_RGB</v>
      </c>
      <c r="S773" s="4"/>
      <c r="T773" s="4"/>
      <c r="U773" s="5"/>
      <c r="V773" s="5"/>
    </row>
    <row r="774" spans="1:22" x14ac:dyDescent="0.25">
      <c r="A774" s="158" t="s">
        <v>465</v>
      </c>
      <c r="B774" s="158" t="s">
        <v>466</v>
      </c>
      <c r="C774" s="158" t="s">
        <v>68</v>
      </c>
      <c r="D774" s="158" t="s">
        <v>534</v>
      </c>
      <c r="E774" s="157">
        <v>429</v>
      </c>
      <c r="F774" s="158" t="s">
        <v>525</v>
      </c>
      <c r="G774" s="159">
        <v>1211024.1000000001</v>
      </c>
      <c r="H774" s="159">
        <v>0</v>
      </c>
      <c r="I774" s="159">
        <v>590115.24</v>
      </c>
      <c r="J774" s="159">
        <v>48.7</v>
      </c>
      <c r="K774" t="str">
        <f>VLOOKUP($C774,Lists!$C$3:$M$118,7,FALSE)</f>
        <v>COKE_PET</v>
      </c>
      <c r="S774" s="4"/>
      <c r="T774" s="4"/>
      <c r="U774" s="5"/>
      <c r="V774" s="5"/>
    </row>
    <row r="775" spans="1:22" x14ac:dyDescent="0.25">
      <c r="A775" s="158" t="s">
        <v>465</v>
      </c>
      <c r="B775" s="158" t="s">
        <v>466</v>
      </c>
      <c r="C775" s="158" t="s">
        <v>26</v>
      </c>
      <c r="D775" s="158" t="s">
        <v>27</v>
      </c>
      <c r="E775" s="157">
        <v>139</v>
      </c>
      <c r="F775" s="158" t="s">
        <v>525</v>
      </c>
      <c r="G775" s="159">
        <v>303353.59999999998</v>
      </c>
      <c r="H775" s="159">
        <v>0</v>
      </c>
      <c r="I775" s="159">
        <v>133740.24</v>
      </c>
      <c r="J775" s="159">
        <v>44.1</v>
      </c>
      <c r="K775" t="str">
        <f>VLOOKUP($C775,Lists!$C$3:$M$118,7,FALSE)</f>
        <v>Water</v>
      </c>
      <c r="S775" s="4"/>
      <c r="T775" s="4"/>
      <c r="U775" s="5"/>
      <c r="V775" s="5"/>
    </row>
    <row r="776" spans="1:22" x14ac:dyDescent="0.25">
      <c r="A776" s="158" t="s">
        <v>572</v>
      </c>
      <c r="B776" s="158" t="s">
        <v>573</v>
      </c>
      <c r="C776" s="158" t="s">
        <v>12</v>
      </c>
      <c r="D776" s="158" t="s">
        <v>13</v>
      </c>
      <c r="E776" s="157">
        <v>1366</v>
      </c>
      <c r="F776" s="158" t="s">
        <v>525</v>
      </c>
      <c r="G776" s="159">
        <v>8959921.8399999999</v>
      </c>
      <c r="H776" s="159">
        <v>0</v>
      </c>
      <c r="I776" s="159">
        <v>4009196.33</v>
      </c>
      <c r="J776" s="159">
        <v>44.7</v>
      </c>
      <c r="K776" t="str">
        <f>VLOOKUP($C776,Lists!$C$3:$M$118,7,FALSE)</f>
        <v>Beers</v>
      </c>
      <c r="S776" s="4"/>
      <c r="T776" s="4"/>
      <c r="U776" s="5"/>
      <c r="V776" s="5"/>
    </row>
    <row r="777" spans="1:22" x14ac:dyDescent="0.25">
      <c r="A777" s="158" t="s">
        <v>572</v>
      </c>
      <c r="B777" s="158" t="s">
        <v>573</v>
      </c>
      <c r="C777" s="158" t="s">
        <v>14</v>
      </c>
      <c r="D777" s="158" t="s">
        <v>15</v>
      </c>
      <c r="E777" s="157">
        <v>1221</v>
      </c>
      <c r="F777" s="158" t="s">
        <v>525</v>
      </c>
      <c r="G777" s="159">
        <v>9610588.6799999997</v>
      </c>
      <c r="H777" s="159">
        <v>0</v>
      </c>
      <c r="I777" s="159">
        <v>4836014.7</v>
      </c>
      <c r="J777" s="159">
        <v>50.3</v>
      </c>
      <c r="K777" t="str">
        <f>VLOOKUP($C777,Lists!$C$3:$M$118,7,FALSE)</f>
        <v>Beers</v>
      </c>
      <c r="S777" s="4"/>
      <c r="T777" s="4"/>
      <c r="U777" s="5"/>
      <c r="V777" s="5"/>
    </row>
    <row r="778" spans="1:22" x14ac:dyDescent="0.25">
      <c r="A778" s="158" t="s">
        <v>572</v>
      </c>
      <c r="B778" s="158" t="s">
        <v>573</v>
      </c>
      <c r="C778" s="158" t="s">
        <v>16</v>
      </c>
      <c r="D778" s="158" t="s">
        <v>17</v>
      </c>
      <c r="E778" s="157">
        <v>1293</v>
      </c>
      <c r="F778" s="158" t="s">
        <v>525</v>
      </c>
      <c r="G778" s="159">
        <v>10177306.439999999</v>
      </c>
      <c r="H778" s="159">
        <v>0</v>
      </c>
      <c r="I778" s="159">
        <v>5121185.0999999996</v>
      </c>
      <c r="J778" s="159">
        <v>50.3</v>
      </c>
      <c r="K778" t="str">
        <f>VLOOKUP($C778,Lists!$C$3:$M$118,7,FALSE)</f>
        <v>Beers</v>
      </c>
      <c r="S778" s="4"/>
      <c r="T778" s="4"/>
      <c r="U778" s="5"/>
      <c r="V778" s="5"/>
    </row>
    <row r="779" spans="1:22" x14ac:dyDescent="0.25">
      <c r="A779" s="158" t="s">
        <v>572</v>
      </c>
      <c r="B779" s="158" t="s">
        <v>573</v>
      </c>
      <c r="C779" s="158" t="s">
        <v>18</v>
      </c>
      <c r="D779" s="158" t="s">
        <v>19</v>
      </c>
      <c r="E779" s="157">
        <v>215</v>
      </c>
      <c r="F779" s="158" t="s">
        <v>525</v>
      </c>
      <c r="G779" s="159">
        <v>2256375.5499999998</v>
      </c>
      <c r="H779" s="159">
        <v>0</v>
      </c>
      <c r="I779" s="159">
        <v>1190083.05</v>
      </c>
      <c r="J779" s="159">
        <v>52.7</v>
      </c>
      <c r="K779" t="str">
        <f>VLOOKUP($C779,Lists!$C$3:$M$118,7,FALSE)</f>
        <v>Beers</v>
      </c>
      <c r="S779" s="4"/>
      <c r="T779" s="4"/>
      <c r="U779" s="5"/>
      <c r="V779" s="5"/>
    </row>
    <row r="780" spans="1:22" x14ac:dyDescent="0.25">
      <c r="A780" s="158" t="s">
        <v>572</v>
      </c>
      <c r="B780" s="158" t="s">
        <v>573</v>
      </c>
      <c r="C780" s="158" t="s">
        <v>20</v>
      </c>
      <c r="D780" s="158" t="s">
        <v>21</v>
      </c>
      <c r="E780" s="157">
        <v>1364</v>
      </c>
      <c r="F780" s="158" t="s">
        <v>525</v>
      </c>
      <c r="G780" s="159">
        <v>5500616.4400000004</v>
      </c>
      <c r="H780" s="159">
        <v>0</v>
      </c>
      <c r="I780" s="159">
        <v>2370645.64</v>
      </c>
      <c r="J780" s="159">
        <v>43.1</v>
      </c>
      <c r="K780" t="str">
        <f>VLOOKUP($C780,Lists!$C$3:$M$118,7,FALSE)</f>
        <v>COKE_RGB</v>
      </c>
      <c r="S780" s="4"/>
      <c r="T780" s="4"/>
      <c r="U780" s="5"/>
      <c r="V780" s="5"/>
    </row>
    <row r="781" spans="1:22" x14ac:dyDescent="0.25">
      <c r="A781" s="158" t="s">
        <v>572</v>
      </c>
      <c r="B781" s="158" t="s">
        <v>573</v>
      </c>
      <c r="C781" s="158" t="s">
        <v>43</v>
      </c>
      <c r="D781" s="158" t="s">
        <v>44</v>
      </c>
      <c r="E781" s="157">
        <v>72</v>
      </c>
      <c r="F781" s="158" t="s">
        <v>525</v>
      </c>
      <c r="G781" s="159">
        <v>566717.76</v>
      </c>
      <c r="H781" s="159">
        <v>0</v>
      </c>
      <c r="I781" s="159">
        <v>285170.40000000002</v>
      </c>
      <c r="J781" s="159">
        <v>50.3</v>
      </c>
      <c r="K781" t="str">
        <f>VLOOKUP($C781,Lists!$C$3:$M$118,7,FALSE)</f>
        <v>Beers</v>
      </c>
      <c r="S781" s="4"/>
      <c r="T781" s="4"/>
      <c r="U781" s="5"/>
      <c r="V781" s="5"/>
    </row>
    <row r="782" spans="1:22" x14ac:dyDescent="0.25">
      <c r="A782" s="158" t="s">
        <v>572</v>
      </c>
      <c r="B782" s="158" t="s">
        <v>573</v>
      </c>
      <c r="C782" s="158" t="s">
        <v>22</v>
      </c>
      <c r="D782" s="158" t="s">
        <v>23</v>
      </c>
      <c r="E782" s="157">
        <v>216</v>
      </c>
      <c r="F782" s="158" t="s">
        <v>525</v>
      </c>
      <c r="G782" s="159">
        <v>871065.36</v>
      </c>
      <c r="H782" s="159">
        <v>0</v>
      </c>
      <c r="I782" s="159">
        <v>360555.84</v>
      </c>
      <c r="J782" s="159">
        <v>41.4</v>
      </c>
      <c r="K782" t="str">
        <f>VLOOKUP($C782,Lists!$C$3:$M$118,7,FALSE)</f>
        <v>COKE_RGB</v>
      </c>
      <c r="S782" s="4"/>
      <c r="T782" s="4"/>
      <c r="U782" s="5"/>
      <c r="V782" s="5"/>
    </row>
    <row r="783" spans="1:22" x14ac:dyDescent="0.25">
      <c r="A783" s="158" t="s">
        <v>572</v>
      </c>
      <c r="B783" s="158" t="s">
        <v>573</v>
      </c>
      <c r="C783" s="158" t="s">
        <v>24</v>
      </c>
      <c r="D783" s="158" t="s">
        <v>25</v>
      </c>
      <c r="E783" s="157">
        <v>575</v>
      </c>
      <c r="F783" s="158" t="s">
        <v>525</v>
      </c>
      <c r="G783" s="159">
        <v>3771563</v>
      </c>
      <c r="H783" s="159">
        <v>0</v>
      </c>
      <c r="I783" s="159">
        <v>1852138.25</v>
      </c>
      <c r="J783" s="159">
        <v>49.1</v>
      </c>
      <c r="K783" t="str">
        <f>VLOOKUP($C783,Lists!$C$3:$M$118,7,FALSE)</f>
        <v>Beers</v>
      </c>
      <c r="S783" s="4"/>
      <c r="T783" s="4"/>
      <c r="U783" s="5"/>
      <c r="V783" s="5"/>
    </row>
    <row r="784" spans="1:22" x14ac:dyDescent="0.25">
      <c r="A784" s="158" t="s">
        <v>572</v>
      </c>
      <c r="B784" s="158" t="s">
        <v>573</v>
      </c>
      <c r="C784" s="158" t="s">
        <v>29</v>
      </c>
      <c r="D784" s="158" t="s">
        <v>30</v>
      </c>
      <c r="E784" s="157">
        <v>200</v>
      </c>
      <c r="F784" s="158" t="s">
        <v>525</v>
      </c>
      <c r="G784" s="159">
        <v>7414178</v>
      </c>
      <c r="H784" s="159">
        <v>0</v>
      </c>
      <c r="I784" s="159">
        <v>2214178</v>
      </c>
      <c r="J784" s="159">
        <v>29.9</v>
      </c>
      <c r="K784" t="str">
        <f>VLOOKUP($C784,Lists!$C$3:$M$118,7,FALSE)</f>
        <v>Spirits</v>
      </c>
      <c r="S784" s="4"/>
      <c r="T784" s="4"/>
      <c r="U784" s="5"/>
      <c r="V784" s="5"/>
    </row>
    <row r="785" spans="1:22" x14ac:dyDescent="0.25">
      <c r="A785" s="158" t="s">
        <v>572</v>
      </c>
      <c r="B785" s="158" t="s">
        <v>573</v>
      </c>
      <c r="C785" s="158" t="s">
        <v>33</v>
      </c>
      <c r="D785" s="158" t="s">
        <v>34</v>
      </c>
      <c r="E785" s="157">
        <v>30</v>
      </c>
      <c r="F785" s="158" t="s">
        <v>525</v>
      </c>
      <c r="G785" s="159">
        <v>1702234.8</v>
      </c>
      <c r="H785" s="159">
        <v>0</v>
      </c>
      <c r="I785" s="159">
        <v>352234.8</v>
      </c>
      <c r="J785" s="159">
        <v>20.7</v>
      </c>
      <c r="K785" t="str">
        <f>VLOOKUP($C785,Lists!$C$3:$M$118,7,FALSE)</f>
        <v>Spirits</v>
      </c>
      <c r="S785" s="4"/>
      <c r="T785" s="4"/>
      <c r="U785" s="5"/>
      <c r="V785" s="5"/>
    </row>
    <row r="786" spans="1:22" x14ac:dyDescent="0.25">
      <c r="A786" s="158" t="s">
        <v>572</v>
      </c>
      <c r="B786" s="158" t="s">
        <v>573</v>
      </c>
      <c r="C786" s="158" t="s">
        <v>37</v>
      </c>
      <c r="D786" s="158" t="s">
        <v>38</v>
      </c>
      <c r="E786" s="157">
        <v>504</v>
      </c>
      <c r="F786" s="158" t="s">
        <v>525</v>
      </c>
      <c r="G786" s="159">
        <v>1693737.36</v>
      </c>
      <c r="H786" s="159">
        <v>0</v>
      </c>
      <c r="I786" s="159">
        <v>810129.6</v>
      </c>
      <c r="J786" s="159">
        <v>47.8</v>
      </c>
      <c r="K786" t="str">
        <f>VLOOKUP($C786,Lists!$C$3:$M$118,7,FALSE)</f>
        <v>SOBO_RGB</v>
      </c>
      <c r="S786" s="4"/>
      <c r="T786" s="4"/>
      <c r="U786" s="5"/>
      <c r="V786" s="5"/>
    </row>
    <row r="787" spans="1:22" x14ac:dyDescent="0.25">
      <c r="A787" s="158" t="s">
        <v>572</v>
      </c>
      <c r="B787" s="158" t="s">
        <v>573</v>
      </c>
      <c r="C787" s="158" t="s">
        <v>39</v>
      </c>
      <c r="D787" s="158" t="s">
        <v>40</v>
      </c>
      <c r="E787" s="157">
        <v>216</v>
      </c>
      <c r="F787" s="158" t="s">
        <v>525</v>
      </c>
      <c r="G787" s="159">
        <v>725887.44</v>
      </c>
      <c r="H787" s="159">
        <v>0</v>
      </c>
      <c r="I787" s="159">
        <v>344247.84</v>
      </c>
      <c r="J787" s="159">
        <v>47.4</v>
      </c>
      <c r="K787" t="str">
        <f>VLOOKUP($C787,Lists!$C$3:$M$118,7,FALSE)</f>
        <v>SOBO_RGB</v>
      </c>
      <c r="S787" s="4"/>
      <c r="T787" s="4"/>
      <c r="U787" s="5"/>
      <c r="V787" s="5"/>
    </row>
    <row r="788" spans="1:22" x14ac:dyDescent="0.25">
      <c r="A788" s="158" t="s">
        <v>572</v>
      </c>
      <c r="B788" s="158" t="s">
        <v>573</v>
      </c>
      <c r="C788" s="158" t="s">
        <v>49</v>
      </c>
      <c r="D788" s="158" t="s">
        <v>50</v>
      </c>
      <c r="E788" s="157">
        <v>216</v>
      </c>
      <c r="F788" s="158" t="s">
        <v>525</v>
      </c>
      <c r="G788" s="159">
        <v>2165914.08</v>
      </c>
      <c r="H788" s="159">
        <v>0</v>
      </c>
      <c r="I788" s="159">
        <v>689843.52</v>
      </c>
      <c r="J788" s="159">
        <v>31.8</v>
      </c>
      <c r="K788" t="str">
        <f>VLOOKUP($C788,Lists!$C$3:$M$118,7,FALSE)</f>
        <v>Squash</v>
      </c>
      <c r="S788" s="4"/>
      <c r="T788" s="4"/>
      <c r="U788" s="5"/>
      <c r="V788" s="5"/>
    </row>
    <row r="789" spans="1:22" x14ac:dyDescent="0.25">
      <c r="A789" s="158" t="s">
        <v>572</v>
      </c>
      <c r="B789" s="158" t="s">
        <v>573</v>
      </c>
      <c r="C789" s="158" t="s">
        <v>51</v>
      </c>
      <c r="D789" s="158" t="s">
        <v>52</v>
      </c>
      <c r="E789" s="157">
        <v>360</v>
      </c>
      <c r="F789" s="158" t="s">
        <v>525</v>
      </c>
      <c r="G789" s="159">
        <v>3609856.8</v>
      </c>
      <c r="H789" s="159">
        <v>0</v>
      </c>
      <c r="I789" s="159">
        <v>1140130.79</v>
      </c>
      <c r="J789" s="159">
        <v>31.6</v>
      </c>
      <c r="K789" t="str">
        <f>VLOOKUP($C789,Lists!$C$3:$M$118,7,FALSE)</f>
        <v>Squash</v>
      </c>
      <c r="S789" s="4"/>
      <c r="T789" s="4"/>
      <c r="U789" s="5"/>
      <c r="V789" s="5"/>
    </row>
    <row r="790" spans="1:22" x14ac:dyDescent="0.25">
      <c r="A790" s="158" t="s">
        <v>467</v>
      </c>
      <c r="B790" s="158" t="s">
        <v>93</v>
      </c>
      <c r="C790" s="158" t="s">
        <v>41</v>
      </c>
      <c r="D790" s="158" t="s">
        <v>42</v>
      </c>
      <c r="E790" s="157">
        <v>72</v>
      </c>
      <c r="F790" s="158" t="s">
        <v>525</v>
      </c>
      <c r="G790" s="159">
        <v>556223.04</v>
      </c>
      <c r="H790" s="159">
        <v>0</v>
      </c>
      <c r="I790" s="159">
        <v>233303.04000000001</v>
      </c>
      <c r="J790" s="159">
        <v>41.9</v>
      </c>
      <c r="K790" t="str">
        <f>VLOOKUP($C790,Lists!$C$3:$M$118,7,FALSE)</f>
        <v>Alcomix</v>
      </c>
      <c r="S790" s="4"/>
      <c r="T790" s="4"/>
      <c r="U790" s="5"/>
      <c r="V790" s="5"/>
    </row>
    <row r="791" spans="1:22" x14ac:dyDescent="0.25">
      <c r="A791" s="158" t="s">
        <v>467</v>
      </c>
      <c r="B791" s="158" t="s">
        <v>93</v>
      </c>
      <c r="C791" s="158" t="s">
        <v>10</v>
      </c>
      <c r="D791" s="158" t="s">
        <v>11</v>
      </c>
      <c r="E791" s="157">
        <v>144</v>
      </c>
      <c r="F791" s="158" t="s">
        <v>525</v>
      </c>
      <c r="G791" s="159">
        <v>1112446.08</v>
      </c>
      <c r="H791" s="159">
        <v>0</v>
      </c>
      <c r="I791" s="159">
        <v>466606.08000000002</v>
      </c>
      <c r="J791" s="159">
        <v>41.9</v>
      </c>
      <c r="K791" t="str">
        <f>VLOOKUP($C791,Lists!$C$3:$M$118,7,FALSE)</f>
        <v>Alcomix</v>
      </c>
      <c r="S791" s="4"/>
      <c r="T791" s="4"/>
      <c r="U791" s="5"/>
      <c r="V791" s="5"/>
    </row>
    <row r="792" spans="1:22" x14ac:dyDescent="0.25">
      <c r="A792" s="158" t="s">
        <v>467</v>
      </c>
      <c r="B792" s="158" t="s">
        <v>93</v>
      </c>
      <c r="C792" s="158" t="s">
        <v>12</v>
      </c>
      <c r="D792" s="158" t="s">
        <v>13</v>
      </c>
      <c r="E792" s="157">
        <v>2228</v>
      </c>
      <c r="F792" s="158" t="s">
        <v>525</v>
      </c>
      <c r="G792" s="159">
        <v>14343351.560000001</v>
      </c>
      <c r="H792" s="159">
        <v>0</v>
      </c>
      <c r="I792" s="159">
        <v>6268522.5599999996</v>
      </c>
      <c r="J792" s="159">
        <v>43.7</v>
      </c>
      <c r="K792" t="str">
        <f>VLOOKUP($C792,Lists!$C$3:$M$118,7,FALSE)</f>
        <v>Beers</v>
      </c>
      <c r="S792" s="4"/>
      <c r="T792" s="4"/>
      <c r="U792" s="5"/>
      <c r="V792" s="5"/>
    </row>
    <row r="793" spans="1:22" x14ac:dyDescent="0.25">
      <c r="A793" s="158" t="s">
        <v>467</v>
      </c>
      <c r="B793" s="158" t="s">
        <v>93</v>
      </c>
      <c r="C793" s="158" t="s">
        <v>14</v>
      </c>
      <c r="D793" s="158" t="s">
        <v>15</v>
      </c>
      <c r="E793" s="157">
        <v>1581</v>
      </c>
      <c r="F793" s="158" t="s">
        <v>525</v>
      </c>
      <c r="G793" s="159">
        <v>12213730.92</v>
      </c>
      <c r="H793" s="159">
        <v>0</v>
      </c>
      <c r="I793" s="159">
        <v>6031420.1399999997</v>
      </c>
      <c r="J793" s="159">
        <v>49.4</v>
      </c>
      <c r="K793" t="str">
        <f>VLOOKUP($C793,Lists!$C$3:$M$118,7,FALSE)</f>
        <v>Beers</v>
      </c>
      <c r="S793" s="4"/>
      <c r="T793" s="4"/>
      <c r="U793" s="5"/>
      <c r="V793" s="5"/>
    </row>
    <row r="794" spans="1:22" x14ac:dyDescent="0.25">
      <c r="A794" s="158" t="s">
        <v>467</v>
      </c>
      <c r="B794" s="158" t="s">
        <v>93</v>
      </c>
      <c r="C794" s="158" t="s">
        <v>16</v>
      </c>
      <c r="D794" s="158" t="s">
        <v>17</v>
      </c>
      <c r="E794" s="157">
        <v>2079</v>
      </c>
      <c r="F794" s="158" t="s">
        <v>525</v>
      </c>
      <c r="G794" s="159">
        <v>16060940.279999999</v>
      </c>
      <c r="H794" s="159">
        <v>0</v>
      </c>
      <c r="I794" s="159">
        <v>7931260.2599999998</v>
      </c>
      <c r="J794" s="159">
        <v>49.4</v>
      </c>
      <c r="K794" t="str">
        <f>VLOOKUP($C794,Lists!$C$3:$M$118,7,FALSE)</f>
        <v>Beers</v>
      </c>
      <c r="S794" s="4"/>
      <c r="T794" s="4"/>
      <c r="U794" s="5"/>
      <c r="V794" s="5"/>
    </row>
    <row r="795" spans="1:22" x14ac:dyDescent="0.25">
      <c r="A795" s="158" t="s">
        <v>467</v>
      </c>
      <c r="B795" s="158" t="s">
        <v>93</v>
      </c>
      <c r="C795" s="158" t="s">
        <v>18</v>
      </c>
      <c r="D795" s="158" t="s">
        <v>19</v>
      </c>
      <c r="E795" s="157">
        <v>360</v>
      </c>
      <c r="F795" s="158" t="s">
        <v>525</v>
      </c>
      <c r="G795" s="159">
        <v>3708154.8</v>
      </c>
      <c r="H795" s="159">
        <v>0</v>
      </c>
      <c r="I795" s="159">
        <v>1922734.8</v>
      </c>
      <c r="J795" s="159">
        <v>51.9</v>
      </c>
      <c r="K795" t="str">
        <f>VLOOKUP($C795,Lists!$C$3:$M$118,7,FALSE)</f>
        <v>Beers</v>
      </c>
      <c r="S795" s="4"/>
      <c r="T795" s="4"/>
      <c r="U795" s="5"/>
      <c r="V795" s="5"/>
    </row>
    <row r="796" spans="1:22" x14ac:dyDescent="0.25">
      <c r="A796" s="158" t="s">
        <v>467</v>
      </c>
      <c r="B796" s="158" t="s">
        <v>93</v>
      </c>
      <c r="C796" s="158" t="s">
        <v>20</v>
      </c>
      <c r="D796" s="158" t="s">
        <v>21</v>
      </c>
      <c r="E796" s="157">
        <v>3023</v>
      </c>
      <c r="F796" s="158" t="s">
        <v>525</v>
      </c>
      <c r="G796" s="159">
        <v>11965124.689999999</v>
      </c>
      <c r="H796" s="159">
        <v>0</v>
      </c>
      <c r="I796" s="159">
        <v>5028246.59</v>
      </c>
      <c r="J796" s="159">
        <v>42</v>
      </c>
      <c r="K796" t="str">
        <f>VLOOKUP($C796,Lists!$C$3:$M$118,7,FALSE)</f>
        <v>COKE_RGB</v>
      </c>
      <c r="S796" s="4"/>
      <c r="T796" s="4"/>
      <c r="U796" s="5"/>
      <c r="V796" s="5"/>
    </row>
    <row r="797" spans="1:22" x14ac:dyDescent="0.25">
      <c r="A797" s="158" t="s">
        <v>467</v>
      </c>
      <c r="B797" s="158" t="s">
        <v>93</v>
      </c>
      <c r="C797" s="158" t="s">
        <v>58</v>
      </c>
      <c r="D797" s="158" t="s">
        <v>537</v>
      </c>
      <c r="E797" s="157">
        <v>144</v>
      </c>
      <c r="F797" s="158" t="s">
        <v>525</v>
      </c>
      <c r="G797" s="159">
        <v>348426.72</v>
      </c>
      <c r="H797" s="159">
        <v>0</v>
      </c>
      <c r="I797" s="159">
        <v>193042.08</v>
      </c>
      <c r="J797" s="159">
        <v>55.4</v>
      </c>
      <c r="K797" t="str">
        <f>VLOOKUP($C797,Lists!$C$3:$M$118,7,FALSE)</f>
        <v>SOBO_PET</v>
      </c>
      <c r="S797" s="4"/>
      <c r="T797" s="4"/>
      <c r="U797" s="5"/>
      <c r="V797" s="5"/>
    </row>
    <row r="798" spans="1:22" x14ac:dyDescent="0.25">
      <c r="A798" s="158" t="s">
        <v>467</v>
      </c>
      <c r="B798" s="158" t="s">
        <v>93</v>
      </c>
      <c r="C798" s="158" t="s">
        <v>43</v>
      </c>
      <c r="D798" s="158" t="s">
        <v>44</v>
      </c>
      <c r="E798" s="157">
        <v>144</v>
      </c>
      <c r="F798" s="158" t="s">
        <v>525</v>
      </c>
      <c r="G798" s="159">
        <v>1112446.08</v>
      </c>
      <c r="H798" s="159">
        <v>0</v>
      </c>
      <c r="I798" s="159">
        <v>549351.36</v>
      </c>
      <c r="J798" s="159">
        <v>49.4</v>
      </c>
      <c r="K798" t="str">
        <f>VLOOKUP($C798,Lists!$C$3:$M$118,7,FALSE)</f>
        <v>Beers</v>
      </c>
      <c r="S798" s="4"/>
      <c r="T798" s="4"/>
      <c r="U798" s="5"/>
      <c r="V798" s="5"/>
    </row>
    <row r="799" spans="1:22" x14ac:dyDescent="0.25">
      <c r="A799" s="158" t="s">
        <v>467</v>
      </c>
      <c r="B799" s="158" t="s">
        <v>93</v>
      </c>
      <c r="C799" s="158" t="s">
        <v>59</v>
      </c>
      <c r="D799" s="158" t="s">
        <v>60</v>
      </c>
      <c r="E799" s="157">
        <v>216</v>
      </c>
      <c r="F799" s="158" t="s">
        <v>525</v>
      </c>
      <c r="G799" s="159">
        <v>854934.48</v>
      </c>
      <c r="H799" s="159">
        <v>0</v>
      </c>
      <c r="I799" s="159">
        <v>348101.28</v>
      </c>
      <c r="J799" s="159">
        <v>40.700000000000003</v>
      </c>
      <c r="K799" t="str">
        <f>VLOOKUP($C799,Lists!$C$3:$M$118,7,FALSE)</f>
        <v>COKE_RGB</v>
      </c>
      <c r="S799" s="4"/>
      <c r="T799" s="4"/>
      <c r="U799" s="5"/>
      <c r="V799" s="5"/>
    </row>
    <row r="800" spans="1:22" x14ac:dyDescent="0.25">
      <c r="A800" s="158" t="s">
        <v>467</v>
      </c>
      <c r="B800" s="158" t="s">
        <v>93</v>
      </c>
      <c r="C800" s="158" t="s">
        <v>22</v>
      </c>
      <c r="D800" s="158" t="s">
        <v>23</v>
      </c>
      <c r="E800" s="157">
        <v>1510</v>
      </c>
      <c r="F800" s="158" t="s">
        <v>525</v>
      </c>
      <c r="G800" s="159">
        <v>5976625.2999999998</v>
      </c>
      <c r="H800" s="159">
        <v>0</v>
      </c>
      <c r="I800" s="159">
        <v>2407785.6</v>
      </c>
      <c r="J800" s="159">
        <v>40.299999999999997</v>
      </c>
      <c r="K800" t="str">
        <f>VLOOKUP($C800,Lists!$C$3:$M$118,7,FALSE)</f>
        <v>COKE_RGB</v>
      </c>
      <c r="S800" s="4"/>
      <c r="T800" s="4"/>
      <c r="U800" s="5"/>
      <c r="V800" s="5"/>
    </row>
    <row r="801" spans="1:22" x14ac:dyDescent="0.25">
      <c r="A801" s="158" t="s">
        <v>467</v>
      </c>
      <c r="B801" s="158" t="s">
        <v>93</v>
      </c>
      <c r="C801" s="158" t="s">
        <v>24</v>
      </c>
      <c r="D801" s="158" t="s">
        <v>25</v>
      </c>
      <c r="E801" s="157">
        <v>503</v>
      </c>
      <c r="F801" s="158" t="s">
        <v>525</v>
      </c>
      <c r="G801" s="159">
        <v>3238198.31</v>
      </c>
      <c r="H801" s="159">
        <v>0</v>
      </c>
      <c r="I801" s="159">
        <v>1559118.92</v>
      </c>
      <c r="J801" s="159">
        <v>48.1</v>
      </c>
      <c r="K801" t="str">
        <f>VLOOKUP($C801,Lists!$C$3:$M$118,7,FALSE)</f>
        <v>Beers</v>
      </c>
      <c r="S801" s="4"/>
      <c r="T801" s="4"/>
      <c r="U801" s="5"/>
      <c r="V801" s="5"/>
    </row>
    <row r="802" spans="1:22" x14ac:dyDescent="0.25">
      <c r="A802" s="158" t="s">
        <v>467</v>
      </c>
      <c r="B802" s="158" t="s">
        <v>93</v>
      </c>
      <c r="C802" s="158" t="s">
        <v>29</v>
      </c>
      <c r="D802" s="158" t="s">
        <v>30</v>
      </c>
      <c r="E802" s="157">
        <v>109</v>
      </c>
      <c r="F802" s="158" t="s">
        <v>525</v>
      </c>
      <c r="G802" s="159">
        <v>3965898.51</v>
      </c>
      <c r="H802" s="159">
        <v>0</v>
      </c>
      <c r="I802" s="159">
        <v>1131898.51</v>
      </c>
      <c r="J802" s="159">
        <v>28.5</v>
      </c>
      <c r="K802" t="str">
        <f>VLOOKUP($C802,Lists!$C$3:$M$118,7,FALSE)</f>
        <v>Spirits</v>
      </c>
      <c r="S802" s="4"/>
      <c r="T802" s="4"/>
      <c r="U802" s="5"/>
      <c r="V802" s="5"/>
    </row>
    <row r="803" spans="1:22" x14ac:dyDescent="0.25">
      <c r="A803" s="158" t="s">
        <v>467</v>
      </c>
      <c r="B803" s="158" t="s">
        <v>93</v>
      </c>
      <c r="C803" s="158" t="s">
        <v>33</v>
      </c>
      <c r="D803" s="158" t="s">
        <v>34</v>
      </c>
      <c r="E803" s="157">
        <v>30</v>
      </c>
      <c r="F803" s="158" t="s">
        <v>525</v>
      </c>
      <c r="G803" s="159">
        <v>1670712</v>
      </c>
      <c r="H803" s="159">
        <v>0</v>
      </c>
      <c r="I803" s="159">
        <v>320712</v>
      </c>
      <c r="J803" s="159">
        <v>19.2</v>
      </c>
      <c r="K803" t="str">
        <f>VLOOKUP($C803,Lists!$C$3:$M$118,7,FALSE)</f>
        <v>Spirits</v>
      </c>
      <c r="S803" s="4"/>
      <c r="T803" s="4"/>
      <c r="U803" s="5"/>
      <c r="V803" s="5"/>
    </row>
    <row r="804" spans="1:22" x14ac:dyDescent="0.25">
      <c r="A804" s="158" t="s">
        <v>467</v>
      </c>
      <c r="B804" s="158" t="s">
        <v>93</v>
      </c>
      <c r="C804" s="158" t="s">
        <v>37</v>
      </c>
      <c r="D804" s="158" t="s">
        <v>38</v>
      </c>
      <c r="E804" s="157">
        <v>1006</v>
      </c>
      <c r="F804" s="158" t="s">
        <v>525</v>
      </c>
      <c r="G804" s="159">
        <v>3318150.16</v>
      </c>
      <c r="H804" s="159">
        <v>0</v>
      </c>
      <c r="I804" s="159">
        <v>1554441.01</v>
      </c>
      <c r="J804" s="159">
        <v>46.8</v>
      </c>
      <c r="K804" t="str">
        <f>VLOOKUP($C804,Lists!$C$3:$M$118,7,FALSE)</f>
        <v>SOBO_RGB</v>
      </c>
      <c r="S804" s="4"/>
      <c r="T804" s="4"/>
      <c r="U804" s="5"/>
      <c r="V804" s="5"/>
    </row>
    <row r="805" spans="1:22" x14ac:dyDescent="0.25">
      <c r="A805" s="158" t="s">
        <v>467</v>
      </c>
      <c r="B805" s="158" t="s">
        <v>93</v>
      </c>
      <c r="C805" s="158" t="s">
        <v>39</v>
      </c>
      <c r="D805" s="158" t="s">
        <v>40</v>
      </c>
      <c r="E805" s="157">
        <v>1079</v>
      </c>
      <c r="F805" s="158" t="s">
        <v>525</v>
      </c>
      <c r="G805" s="159">
        <v>3558930.44</v>
      </c>
      <c r="H805" s="159">
        <v>0</v>
      </c>
      <c r="I805" s="159">
        <v>1652499.29</v>
      </c>
      <c r="J805" s="159">
        <v>46.4</v>
      </c>
      <c r="K805" t="str">
        <f>VLOOKUP($C805,Lists!$C$3:$M$118,7,FALSE)</f>
        <v>SOBO_RGB</v>
      </c>
      <c r="S805" s="4"/>
      <c r="T805" s="4"/>
      <c r="U805" s="5"/>
      <c r="V805" s="5"/>
    </row>
    <row r="806" spans="1:22" x14ac:dyDescent="0.25">
      <c r="A806" s="158" t="s">
        <v>467</v>
      </c>
      <c r="B806" s="158" t="s">
        <v>93</v>
      </c>
      <c r="C806" s="158" t="s">
        <v>45</v>
      </c>
      <c r="D806" s="158" t="s">
        <v>46</v>
      </c>
      <c r="E806" s="157">
        <v>216</v>
      </c>
      <c r="F806" s="158" t="s">
        <v>525</v>
      </c>
      <c r="G806" s="159">
        <v>854934.48</v>
      </c>
      <c r="H806" s="159">
        <v>0</v>
      </c>
      <c r="I806" s="159">
        <v>421085.52</v>
      </c>
      <c r="J806" s="159">
        <v>49.3</v>
      </c>
      <c r="K806" t="str">
        <f>VLOOKUP($C806,Lists!$C$3:$M$118,7,FALSE)</f>
        <v>SOBO_RGB</v>
      </c>
      <c r="S806" s="4"/>
      <c r="T806" s="4"/>
      <c r="U806" s="5"/>
      <c r="V806" s="5"/>
    </row>
    <row r="807" spans="1:22" x14ac:dyDescent="0.25">
      <c r="A807" s="158" t="s">
        <v>467</v>
      </c>
      <c r="B807" s="158" t="s">
        <v>93</v>
      </c>
      <c r="C807" s="158" t="s">
        <v>47</v>
      </c>
      <c r="D807" s="158" t="s">
        <v>48</v>
      </c>
      <c r="E807" s="157">
        <v>719</v>
      </c>
      <c r="F807" s="158" t="s">
        <v>525</v>
      </c>
      <c r="G807" s="159">
        <v>2845823.57</v>
      </c>
      <c r="H807" s="159">
        <v>0</v>
      </c>
      <c r="I807" s="159">
        <v>1241950.26</v>
      </c>
      <c r="J807" s="159">
        <v>43.6</v>
      </c>
      <c r="K807" t="str">
        <f>VLOOKUP($C807,Lists!$C$3:$M$118,7,FALSE)</f>
        <v>COKE_RGB</v>
      </c>
      <c r="S807" s="4"/>
      <c r="T807" s="4"/>
      <c r="U807" s="5"/>
      <c r="V807" s="5"/>
    </row>
    <row r="808" spans="1:22" x14ac:dyDescent="0.25">
      <c r="A808" s="158" t="s">
        <v>467</v>
      </c>
      <c r="B808" s="158" t="s">
        <v>93</v>
      </c>
      <c r="C808" s="158" t="s">
        <v>49</v>
      </c>
      <c r="D808" s="158" t="s">
        <v>50</v>
      </c>
      <c r="E808" s="157">
        <v>72</v>
      </c>
      <c r="F808" s="158" t="s">
        <v>525</v>
      </c>
      <c r="G808" s="159">
        <v>721971.36</v>
      </c>
      <c r="H808" s="159">
        <v>0</v>
      </c>
      <c r="I808" s="159">
        <v>229947.84</v>
      </c>
      <c r="J808" s="159">
        <v>31.8</v>
      </c>
      <c r="K808" t="str">
        <f>VLOOKUP($C808,Lists!$C$3:$M$118,7,FALSE)</f>
        <v>Squash</v>
      </c>
      <c r="S808" s="4"/>
      <c r="T808" s="4"/>
      <c r="U808" s="5"/>
      <c r="V808" s="5"/>
    </row>
    <row r="809" spans="1:22" x14ac:dyDescent="0.25">
      <c r="A809" s="158" t="s">
        <v>467</v>
      </c>
      <c r="B809" s="158" t="s">
        <v>93</v>
      </c>
      <c r="C809" s="158" t="s">
        <v>51</v>
      </c>
      <c r="D809" s="158" t="s">
        <v>52</v>
      </c>
      <c r="E809" s="157">
        <v>216</v>
      </c>
      <c r="F809" s="158" t="s">
        <v>525</v>
      </c>
      <c r="G809" s="159">
        <v>2165914.08</v>
      </c>
      <c r="H809" s="159">
        <v>0</v>
      </c>
      <c r="I809" s="159">
        <v>684078.48</v>
      </c>
      <c r="J809" s="159">
        <v>31.6</v>
      </c>
      <c r="K809" t="str">
        <f>VLOOKUP($C809,Lists!$C$3:$M$118,7,FALSE)</f>
        <v>Squash</v>
      </c>
      <c r="S809" s="4"/>
      <c r="T809" s="4"/>
      <c r="U809" s="5"/>
      <c r="V809" s="5"/>
    </row>
    <row r="810" spans="1:22" x14ac:dyDescent="0.25">
      <c r="A810" s="158" t="s">
        <v>467</v>
      </c>
      <c r="B810" s="158" t="s">
        <v>93</v>
      </c>
      <c r="C810" s="158" t="s">
        <v>26</v>
      </c>
      <c r="D810" s="158" t="s">
        <v>27</v>
      </c>
      <c r="E810" s="157">
        <v>576</v>
      </c>
      <c r="F810" s="158" t="s">
        <v>525</v>
      </c>
      <c r="G810" s="159">
        <v>1257062.3999999999</v>
      </c>
      <c r="H810" s="159">
        <v>0</v>
      </c>
      <c r="I810" s="159">
        <v>554204.16000000003</v>
      </c>
      <c r="J810" s="159">
        <v>44.1</v>
      </c>
      <c r="K810" t="str">
        <f>VLOOKUP($C810,Lists!$C$3:$M$118,7,FALSE)</f>
        <v>Water</v>
      </c>
      <c r="S810" s="4"/>
      <c r="T810" s="4"/>
      <c r="U810" s="5"/>
      <c r="V810" s="5"/>
    </row>
    <row r="811" spans="1:22" x14ac:dyDescent="0.25">
      <c r="A811" s="158" t="s">
        <v>468</v>
      </c>
      <c r="B811" s="158" t="s">
        <v>469</v>
      </c>
      <c r="C811" s="158" t="s">
        <v>41</v>
      </c>
      <c r="D811" s="158" t="s">
        <v>42</v>
      </c>
      <c r="E811" s="157">
        <v>72</v>
      </c>
      <c r="F811" s="158" t="s">
        <v>525</v>
      </c>
      <c r="G811" s="159">
        <v>556223.04</v>
      </c>
      <c r="H811" s="159">
        <v>0</v>
      </c>
      <c r="I811" s="159">
        <v>233303.04000000001</v>
      </c>
      <c r="J811" s="159">
        <v>41.9</v>
      </c>
      <c r="K811" t="str">
        <f>VLOOKUP($C811,Lists!$C$3:$M$118,7,FALSE)</f>
        <v>Alcomix</v>
      </c>
      <c r="S811" s="4"/>
      <c r="T811" s="4"/>
      <c r="U811" s="5"/>
      <c r="V811" s="5"/>
    </row>
    <row r="812" spans="1:22" x14ac:dyDescent="0.25">
      <c r="A812" s="158" t="s">
        <v>468</v>
      </c>
      <c r="B812" s="158" t="s">
        <v>469</v>
      </c>
      <c r="C812" s="158" t="s">
        <v>10</v>
      </c>
      <c r="D812" s="158" t="s">
        <v>11</v>
      </c>
      <c r="E812" s="157">
        <v>72</v>
      </c>
      <c r="F812" s="158" t="s">
        <v>525</v>
      </c>
      <c r="G812" s="159">
        <v>556223.04</v>
      </c>
      <c r="H812" s="159">
        <v>0</v>
      </c>
      <c r="I812" s="159">
        <v>233303.04000000001</v>
      </c>
      <c r="J812" s="159">
        <v>41.9</v>
      </c>
      <c r="K812" t="str">
        <f>VLOOKUP($C812,Lists!$C$3:$M$118,7,FALSE)</f>
        <v>Alcomix</v>
      </c>
      <c r="S812" s="4"/>
      <c r="T812" s="4"/>
      <c r="U812" s="5"/>
      <c r="V812" s="5"/>
    </row>
    <row r="813" spans="1:22" x14ac:dyDescent="0.25">
      <c r="A813" s="158" t="s">
        <v>468</v>
      </c>
      <c r="B813" s="158" t="s">
        <v>469</v>
      </c>
      <c r="C813" s="158" t="s">
        <v>12</v>
      </c>
      <c r="D813" s="158" t="s">
        <v>13</v>
      </c>
      <c r="E813" s="157">
        <v>3448</v>
      </c>
      <c r="F813" s="158" t="s">
        <v>525</v>
      </c>
      <c r="G813" s="159">
        <v>22197430.960000001</v>
      </c>
      <c r="H813" s="159">
        <v>0</v>
      </c>
      <c r="I813" s="159">
        <v>9701016.9499999993</v>
      </c>
      <c r="J813" s="159">
        <v>43.7</v>
      </c>
      <c r="K813" t="str">
        <f>VLOOKUP($C813,Lists!$C$3:$M$118,7,FALSE)</f>
        <v>Beers</v>
      </c>
      <c r="S813" s="4"/>
      <c r="T813" s="4"/>
      <c r="U813" s="5"/>
      <c r="V813" s="5"/>
    </row>
    <row r="814" spans="1:22" x14ac:dyDescent="0.25">
      <c r="A814" s="158" t="s">
        <v>468</v>
      </c>
      <c r="B814" s="158" t="s">
        <v>469</v>
      </c>
      <c r="C814" s="158" t="s">
        <v>14</v>
      </c>
      <c r="D814" s="158" t="s">
        <v>15</v>
      </c>
      <c r="E814" s="157">
        <v>2155</v>
      </c>
      <c r="F814" s="158" t="s">
        <v>525</v>
      </c>
      <c r="G814" s="159">
        <v>16648064.6</v>
      </c>
      <c r="H814" s="159">
        <v>0</v>
      </c>
      <c r="I814" s="159">
        <v>8221195.7000000002</v>
      </c>
      <c r="J814" s="159">
        <v>49.4</v>
      </c>
      <c r="K814" t="str">
        <f>VLOOKUP($C814,Lists!$C$3:$M$118,7,FALSE)</f>
        <v>Beers</v>
      </c>
      <c r="S814" s="4"/>
      <c r="T814" s="4"/>
      <c r="U814" s="5"/>
      <c r="V814" s="5"/>
    </row>
    <row r="815" spans="1:22" x14ac:dyDescent="0.25">
      <c r="A815" s="158" t="s">
        <v>468</v>
      </c>
      <c r="B815" s="158" t="s">
        <v>469</v>
      </c>
      <c r="C815" s="158" t="s">
        <v>54</v>
      </c>
      <c r="D815" s="158" t="s">
        <v>55</v>
      </c>
      <c r="E815" s="157">
        <v>394</v>
      </c>
      <c r="F815" s="158" t="s">
        <v>525</v>
      </c>
      <c r="G815" s="159">
        <v>3043776.08</v>
      </c>
      <c r="H815" s="159">
        <v>0</v>
      </c>
      <c r="I815" s="159">
        <v>1597894.58</v>
      </c>
      <c r="J815" s="159">
        <v>52.5</v>
      </c>
      <c r="K815" t="str">
        <f>VLOOKUP($C815,Lists!$C$3:$M$118,7,FALSE)</f>
        <v>Beers</v>
      </c>
      <c r="S815" s="4"/>
      <c r="T815" s="4"/>
      <c r="U815" s="5"/>
      <c r="V815" s="5"/>
    </row>
    <row r="816" spans="1:22" x14ac:dyDescent="0.25">
      <c r="A816" s="158" t="s">
        <v>468</v>
      </c>
      <c r="B816" s="158" t="s">
        <v>469</v>
      </c>
      <c r="C816" s="158" t="s">
        <v>16</v>
      </c>
      <c r="D816" s="158" t="s">
        <v>17</v>
      </c>
      <c r="E816" s="157">
        <v>3232</v>
      </c>
      <c r="F816" s="158" t="s">
        <v>525</v>
      </c>
      <c r="G816" s="159">
        <v>24968234.239999998</v>
      </c>
      <c r="H816" s="159">
        <v>0</v>
      </c>
      <c r="I816" s="159">
        <v>12329886.07</v>
      </c>
      <c r="J816" s="159">
        <v>49.4</v>
      </c>
      <c r="K816" t="str">
        <f>VLOOKUP($C816,Lists!$C$3:$M$118,7,FALSE)</f>
        <v>Beers</v>
      </c>
      <c r="S816" s="4"/>
      <c r="T816" s="4"/>
      <c r="U816" s="5"/>
      <c r="V816" s="5"/>
    </row>
    <row r="817" spans="1:22" x14ac:dyDescent="0.25">
      <c r="A817" s="158" t="s">
        <v>468</v>
      </c>
      <c r="B817" s="158" t="s">
        <v>469</v>
      </c>
      <c r="C817" s="158" t="s">
        <v>18</v>
      </c>
      <c r="D817" s="158" t="s">
        <v>19</v>
      </c>
      <c r="E817" s="157">
        <v>427</v>
      </c>
      <c r="F817" s="158" t="s">
        <v>525</v>
      </c>
      <c r="G817" s="159">
        <v>4398283.6100000003</v>
      </c>
      <c r="H817" s="159">
        <v>0</v>
      </c>
      <c r="I817" s="159">
        <v>2280577.11</v>
      </c>
      <c r="J817" s="159">
        <v>51.9</v>
      </c>
      <c r="K817" t="str">
        <f>VLOOKUP($C817,Lists!$C$3:$M$118,7,FALSE)</f>
        <v>Beers</v>
      </c>
      <c r="S817" s="4"/>
      <c r="T817" s="4"/>
      <c r="U817" s="5"/>
      <c r="V817" s="5"/>
    </row>
    <row r="818" spans="1:22" x14ac:dyDescent="0.25">
      <c r="A818" s="158" t="s">
        <v>468</v>
      </c>
      <c r="B818" s="158" t="s">
        <v>469</v>
      </c>
      <c r="C818" s="158" t="s">
        <v>20</v>
      </c>
      <c r="D818" s="158" t="s">
        <v>21</v>
      </c>
      <c r="E818" s="157">
        <v>4671</v>
      </c>
      <c r="F818" s="158" t="s">
        <v>525</v>
      </c>
      <c r="G818" s="159">
        <v>18487958.129999999</v>
      </c>
      <c r="H818" s="159">
        <v>0</v>
      </c>
      <c r="I818" s="159">
        <v>7769414.4299999997</v>
      </c>
      <c r="J818" s="159">
        <v>42</v>
      </c>
      <c r="K818" t="str">
        <f>VLOOKUP($C818,Lists!$C$3:$M$118,7,FALSE)</f>
        <v>COKE_RGB</v>
      </c>
      <c r="S818" s="4"/>
      <c r="T818" s="4"/>
      <c r="U818" s="5"/>
      <c r="V818" s="5"/>
    </row>
    <row r="819" spans="1:22" x14ac:dyDescent="0.25">
      <c r="A819" s="158" t="s">
        <v>468</v>
      </c>
      <c r="B819" s="158" t="s">
        <v>469</v>
      </c>
      <c r="C819" s="158" t="s">
        <v>58</v>
      </c>
      <c r="D819" s="158" t="s">
        <v>537</v>
      </c>
      <c r="E819" s="157">
        <v>430</v>
      </c>
      <c r="F819" s="158" t="s">
        <v>525</v>
      </c>
      <c r="G819" s="159">
        <v>1040440.9</v>
      </c>
      <c r="H819" s="159">
        <v>0</v>
      </c>
      <c r="I819" s="159">
        <v>576445.1</v>
      </c>
      <c r="J819" s="159">
        <v>55.4</v>
      </c>
      <c r="K819" t="str">
        <f>VLOOKUP($C819,Lists!$C$3:$M$118,7,FALSE)</f>
        <v>SOBO_PET</v>
      </c>
      <c r="S819" s="4"/>
      <c r="T819" s="4"/>
      <c r="U819" s="5"/>
      <c r="V819" s="5"/>
    </row>
    <row r="820" spans="1:22" x14ac:dyDescent="0.25">
      <c r="A820" s="158" t="s">
        <v>468</v>
      </c>
      <c r="B820" s="158" t="s">
        <v>469</v>
      </c>
      <c r="C820" s="158" t="s">
        <v>43</v>
      </c>
      <c r="D820" s="158" t="s">
        <v>44</v>
      </c>
      <c r="E820" s="157">
        <v>287</v>
      </c>
      <c r="F820" s="158" t="s">
        <v>525</v>
      </c>
      <c r="G820" s="159">
        <v>2217166.84</v>
      </c>
      <c r="H820" s="159">
        <v>0</v>
      </c>
      <c r="I820" s="159">
        <v>1094887.78</v>
      </c>
      <c r="J820" s="159">
        <v>49.4</v>
      </c>
      <c r="K820" t="str">
        <f>VLOOKUP($C820,Lists!$C$3:$M$118,7,FALSE)</f>
        <v>Beers</v>
      </c>
      <c r="S820" s="4"/>
      <c r="T820" s="4"/>
      <c r="U820" s="5"/>
      <c r="V820" s="5"/>
    </row>
    <row r="821" spans="1:22" x14ac:dyDescent="0.25">
      <c r="A821" s="158" t="s">
        <v>468</v>
      </c>
      <c r="B821" s="158" t="s">
        <v>469</v>
      </c>
      <c r="C821" s="158" t="s">
        <v>59</v>
      </c>
      <c r="D821" s="158" t="s">
        <v>60</v>
      </c>
      <c r="E821" s="157">
        <v>575</v>
      </c>
      <c r="F821" s="158" t="s">
        <v>525</v>
      </c>
      <c r="G821" s="159">
        <v>2275867.25</v>
      </c>
      <c r="H821" s="159">
        <v>0</v>
      </c>
      <c r="I821" s="159">
        <v>926658.49</v>
      </c>
      <c r="J821" s="159">
        <v>40.700000000000003</v>
      </c>
      <c r="K821" t="str">
        <f>VLOOKUP($C821,Lists!$C$3:$M$118,7,FALSE)</f>
        <v>COKE_RGB</v>
      </c>
      <c r="S821" s="4"/>
      <c r="T821" s="4"/>
      <c r="U821" s="5"/>
      <c r="V821" s="5"/>
    </row>
    <row r="822" spans="1:22" x14ac:dyDescent="0.25">
      <c r="A822" s="158" t="s">
        <v>468</v>
      </c>
      <c r="B822" s="158" t="s">
        <v>469</v>
      </c>
      <c r="C822" s="158" t="s">
        <v>22</v>
      </c>
      <c r="D822" s="158" t="s">
        <v>23</v>
      </c>
      <c r="E822" s="157">
        <v>1793</v>
      </c>
      <c r="F822" s="158" t="s">
        <v>525</v>
      </c>
      <c r="G822" s="159">
        <v>7096747.79</v>
      </c>
      <c r="H822" s="159">
        <v>0</v>
      </c>
      <c r="I822" s="159">
        <v>2859046.08</v>
      </c>
      <c r="J822" s="159">
        <v>40.299999999999997</v>
      </c>
      <c r="K822" t="str">
        <f>VLOOKUP($C822,Lists!$C$3:$M$118,7,FALSE)</f>
        <v>COKE_RGB</v>
      </c>
      <c r="S822" s="4"/>
      <c r="T822" s="4"/>
      <c r="U822" s="5"/>
      <c r="V822" s="5"/>
    </row>
    <row r="823" spans="1:22" x14ac:dyDescent="0.25">
      <c r="A823" s="158" t="s">
        <v>468</v>
      </c>
      <c r="B823" s="158" t="s">
        <v>469</v>
      </c>
      <c r="C823" s="158" t="s">
        <v>67</v>
      </c>
      <c r="D823" s="158" t="s">
        <v>533</v>
      </c>
      <c r="E823" s="157">
        <v>144</v>
      </c>
      <c r="F823" s="158" t="s">
        <v>525</v>
      </c>
      <c r="G823" s="159">
        <v>406497.6</v>
      </c>
      <c r="H823" s="159">
        <v>0</v>
      </c>
      <c r="I823" s="159">
        <v>199961.28</v>
      </c>
      <c r="J823" s="159">
        <v>49.2</v>
      </c>
      <c r="K823" t="str">
        <f>VLOOKUP($C823,Lists!$C$3:$M$118,7,FALSE)</f>
        <v>COKE_PET</v>
      </c>
      <c r="S823" s="4"/>
      <c r="T823" s="4"/>
      <c r="U823" s="5"/>
      <c r="V823" s="5"/>
    </row>
    <row r="824" spans="1:22" x14ac:dyDescent="0.25">
      <c r="A824" s="158" t="s">
        <v>468</v>
      </c>
      <c r="B824" s="158" t="s">
        <v>469</v>
      </c>
      <c r="C824" s="158" t="s">
        <v>261</v>
      </c>
      <c r="D824" s="158" t="s">
        <v>538</v>
      </c>
      <c r="E824" s="157">
        <v>573</v>
      </c>
      <c r="F824" s="158" t="s">
        <v>525</v>
      </c>
      <c r="G824" s="159">
        <v>2267951.19</v>
      </c>
      <c r="H824" s="159">
        <v>0</v>
      </c>
      <c r="I824" s="159">
        <v>913682.89</v>
      </c>
      <c r="J824" s="159">
        <v>40.299999999999997</v>
      </c>
      <c r="K824" t="str">
        <f>VLOOKUP($C824,Lists!$C$3:$M$118,7,FALSE)</f>
        <v>COKE_RGB</v>
      </c>
      <c r="S824" s="4"/>
      <c r="T824" s="4"/>
      <c r="U824" s="5"/>
      <c r="V824" s="5"/>
    </row>
    <row r="825" spans="1:22" x14ac:dyDescent="0.25">
      <c r="A825" s="158" t="s">
        <v>468</v>
      </c>
      <c r="B825" s="158" t="s">
        <v>469</v>
      </c>
      <c r="C825" s="158" t="s">
        <v>24</v>
      </c>
      <c r="D825" s="158" t="s">
        <v>25</v>
      </c>
      <c r="E825" s="157">
        <v>1220</v>
      </c>
      <c r="F825" s="158" t="s">
        <v>525</v>
      </c>
      <c r="G825" s="159">
        <v>7854079.4000000004</v>
      </c>
      <c r="H825" s="159">
        <v>0</v>
      </c>
      <c r="I825" s="159">
        <v>3781560.8</v>
      </c>
      <c r="J825" s="159">
        <v>48.1</v>
      </c>
      <c r="K825" t="str">
        <f>VLOOKUP($C825,Lists!$C$3:$M$118,7,FALSE)</f>
        <v>Beers</v>
      </c>
      <c r="S825" s="4"/>
      <c r="T825" s="4"/>
      <c r="U825" s="5"/>
      <c r="V825" s="5"/>
    </row>
    <row r="826" spans="1:22" x14ac:dyDescent="0.25">
      <c r="A826" s="158" t="s">
        <v>468</v>
      </c>
      <c r="B826" s="158" t="s">
        <v>469</v>
      </c>
      <c r="C826" s="158" t="s">
        <v>29</v>
      </c>
      <c r="D826" s="158" t="s">
        <v>30</v>
      </c>
      <c r="E826" s="157">
        <v>140</v>
      </c>
      <c r="F826" s="158" t="s">
        <v>525</v>
      </c>
      <c r="G826" s="159">
        <v>5093814.5999999996</v>
      </c>
      <c r="H826" s="159">
        <v>0</v>
      </c>
      <c r="I826" s="159">
        <v>1453814.6</v>
      </c>
      <c r="J826" s="159">
        <v>28.5</v>
      </c>
      <c r="K826" t="str">
        <f>VLOOKUP($C826,Lists!$C$3:$M$118,7,FALSE)</f>
        <v>Spirits</v>
      </c>
      <c r="S826" s="4"/>
      <c r="T826" s="4"/>
      <c r="U826" s="5"/>
      <c r="V826" s="5"/>
    </row>
    <row r="827" spans="1:22" x14ac:dyDescent="0.25">
      <c r="A827" s="158" t="s">
        <v>468</v>
      </c>
      <c r="B827" s="158" t="s">
        <v>469</v>
      </c>
      <c r="C827" s="158" t="s">
        <v>31</v>
      </c>
      <c r="D827" s="158" t="s">
        <v>32</v>
      </c>
      <c r="E827" s="157">
        <v>5</v>
      </c>
      <c r="F827" s="158" t="s">
        <v>525</v>
      </c>
      <c r="G827" s="159">
        <v>170783.9</v>
      </c>
      <c r="H827" s="159">
        <v>0</v>
      </c>
      <c r="I827" s="159">
        <v>50783.9</v>
      </c>
      <c r="J827" s="159">
        <v>29.7</v>
      </c>
      <c r="K827" t="str">
        <f>VLOOKUP($C827,Lists!$C$3:$M$118,7,FALSE)</f>
        <v>Spirits</v>
      </c>
      <c r="S827" s="4"/>
      <c r="T827" s="4"/>
      <c r="U827" s="5"/>
      <c r="V827" s="5"/>
    </row>
    <row r="828" spans="1:22" x14ac:dyDescent="0.25">
      <c r="A828" s="158" t="s">
        <v>468</v>
      </c>
      <c r="B828" s="158" t="s">
        <v>469</v>
      </c>
      <c r="C828" s="158" t="s">
        <v>33</v>
      </c>
      <c r="D828" s="158" t="s">
        <v>34</v>
      </c>
      <c r="E828" s="157">
        <v>35</v>
      </c>
      <c r="F828" s="158" t="s">
        <v>525</v>
      </c>
      <c r="G828" s="159">
        <v>1949164</v>
      </c>
      <c r="H828" s="159">
        <v>0</v>
      </c>
      <c r="I828" s="159">
        <v>374164</v>
      </c>
      <c r="J828" s="159">
        <v>19.2</v>
      </c>
      <c r="K828" t="str">
        <f>VLOOKUP($C828,Lists!$C$3:$M$118,7,FALSE)</f>
        <v>Spirits</v>
      </c>
      <c r="S828" s="4"/>
      <c r="T828" s="4"/>
      <c r="U828" s="5"/>
      <c r="V828" s="5"/>
    </row>
    <row r="829" spans="1:22" x14ac:dyDescent="0.25">
      <c r="A829" s="158" t="s">
        <v>468</v>
      </c>
      <c r="B829" s="158" t="s">
        <v>469</v>
      </c>
      <c r="C829" s="158" t="s">
        <v>37</v>
      </c>
      <c r="D829" s="158" t="s">
        <v>38</v>
      </c>
      <c r="E829" s="157">
        <v>1434</v>
      </c>
      <c r="F829" s="158" t="s">
        <v>525</v>
      </c>
      <c r="G829" s="159">
        <v>4729848.24</v>
      </c>
      <c r="H829" s="159">
        <v>0</v>
      </c>
      <c r="I829" s="159">
        <v>2215773.7799999998</v>
      </c>
      <c r="J829" s="159">
        <v>46.8</v>
      </c>
      <c r="K829" t="str">
        <f>VLOOKUP($C829,Lists!$C$3:$M$118,7,FALSE)</f>
        <v>SOBO_RGB</v>
      </c>
      <c r="S829" s="4"/>
      <c r="T829" s="4"/>
      <c r="U829" s="5"/>
      <c r="V829" s="5"/>
    </row>
    <row r="830" spans="1:22" x14ac:dyDescent="0.25">
      <c r="A830" s="158" t="s">
        <v>468</v>
      </c>
      <c r="B830" s="158" t="s">
        <v>469</v>
      </c>
      <c r="C830" s="158" t="s">
        <v>39</v>
      </c>
      <c r="D830" s="158" t="s">
        <v>40</v>
      </c>
      <c r="E830" s="157">
        <v>931</v>
      </c>
      <c r="F830" s="158" t="s">
        <v>525</v>
      </c>
      <c r="G830" s="159">
        <v>3070773.16</v>
      </c>
      <c r="H830" s="159">
        <v>0</v>
      </c>
      <c r="I830" s="159">
        <v>1425835.8</v>
      </c>
      <c r="J830" s="159">
        <v>46.4</v>
      </c>
      <c r="K830" t="str">
        <f>VLOOKUP($C830,Lists!$C$3:$M$118,7,FALSE)</f>
        <v>SOBO_RGB</v>
      </c>
      <c r="S830" s="4"/>
      <c r="T830" s="4"/>
      <c r="U830" s="5"/>
      <c r="V830" s="5"/>
    </row>
    <row r="831" spans="1:22" x14ac:dyDescent="0.25">
      <c r="A831" s="158" t="s">
        <v>468</v>
      </c>
      <c r="B831" s="158" t="s">
        <v>469</v>
      </c>
      <c r="C831" s="158" t="s">
        <v>88</v>
      </c>
      <c r="D831" s="158" t="s">
        <v>527</v>
      </c>
      <c r="E831" s="157">
        <v>143</v>
      </c>
      <c r="F831" s="158" t="s">
        <v>525</v>
      </c>
      <c r="G831" s="159">
        <v>403674.7</v>
      </c>
      <c r="H831" s="159">
        <v>0</v>
      </c>
      <c r="I831" s="159">
        <v>236836.61</v>
      </c>
      <c r="J831" s="159">
        <v>58.7</v>
      </c>
      <c r="K831" t="str">
        <f>VLOOKUP($C831,Lists!$C$3:$M$118,7,FALSE)</f>
        <v>SOBO_PET</v>
      </c>
      <c r="S831" s="4"/>
      <c r="T831" s="4"/>
      <c r="U831" s="5"/>
      <c r="V831" s="5"/>
    </row>
    <row r="832" spans="1:22" x14ac:dyDescent="0.25">
      <c r="A832" s="158" t="s">
        <v>468</v>
      </c>
      <c r="B832" s="158" t="s">
        <v>469</v>
      </c>
      <c r="C832" s="158" t="s">
        <v>45</v>
      </c>
      <c r="D832" s="158" t="s">
        <v>46</v>
      </c>
      <c r="E832" s="157">
        <v>358</v>
      </c>
      <c r="F832" s="158" t="s">
        <v>525</v>
      </c>
      <c r="G832" s="159">
        <v>1416974.74</v>
      </c>
      <c r="H832" s="159">
        <v>0</v>
      </c>
      <c r="I832" s="159">
        <v>697910.26</v>
      </c>
      <c r="J832" s="159">
        <v>49.3</v>
      </c>
      <c r="K832" t="str">
        <f>VLOOKUP($C832,Lists!$C$3:$M$118,7,FALSE)</f>
        <v>SOBO_RGB</v>
      </c>
      <c r="S832" s="4"/>
      <c r="T832" s="4"/>
      <c r="U832" s="5"/>
      <c r="V832" s="5"/>
    </row>
    <row r="833" spans="1:22" x14ac:dyDescent="0.25">
      <c r="A833" s="158" t="s">
        <v>468</v>
      </c>
      <c r="B833" s="158" t="s">
        <v>469</v>
      </c>
      <c r="C833" s="158" t="s">
        <v>47</v>
      </c>
      <c r="D833" s="158" t="s">
        <v>48</v>
      </c>
      <c r="E833" s="157">
        <v>503</v>
      </c>
      <c r="F833" s="158" t="s">
        <v>525</v>
      </c>
      <c r="G833" s="159">
        <v>1990889.09</v>
      </c>
      <c r="H833" s="159">
        <v>0</v>
      </c>
      <c r="I833" s="159">
        <v>868846.99</v>
      </c>
      <c r="J833" s="159">
        <v>43.6</v>
      </c>
      <c r="K833" t="str">
        <f>VLOOKUP($C833,Lists!$C$3:$M$118,7,FALSE)</f>
        <v>COKE_RGB</v>
      </c>
      <c r="S833" s="4"/>
      <c r="T833" s="4"/>
      <c r="U833" s="5"/>
      <c r="V833" s="5"/>
    </row>
    <row r="834" spans="1:22" x14ac:dyDescent="0.25">
      <c r="A834" s="158" t="s">
        <v>468</v>
      </c>
      <c r="B834" s="158" t="s">
        <v>469</v>
      </c>
      <c r="C834" s="158" t="s">
        <v>68</v>
      </c>
      <c r="D834" s="158" t="s">
        <v>534</v>
      </c>
      <c r="E834" s="157">
        <v>144</v>
      </c>
      <c r="F834" s="158" t="s">
        <v>525</v>
      </c>
      <c r="G834" s="159">
        <v>406497.6</v>
      </c>
      <c r="H834" s="159">
        <v>0</v>
      </c>
      <c r="I834" s="159">
        <v>198080.64000000001</v>
      </c>
      <c r="J834" s="159">
        <v>48.7</v>
      </c>
      <c r="K834" t="str">
        <f>VLOOKUP($C834,Lists!$C$3:$M$118,7,FALSE)</f>
        <v>COKE_PET</v>
      </c>
      <c r="S834" s="4"/>
      <c r="T834" s="4"/>
      <c r="U834" s="5"/>
      <c r="V834" s="5"/>
    </row>
    <row r="835" spans="1:22" x14ac:dyDescent="0.25">
      <c r="A835" s="158" t="s">
        <v>468</v>
      </c>
      <c r="B835" s="158" t="s">
        <v>469</v>
      </c>
      <c r="C835" s="158" t="s">
        <v>49</v>
      </c>
      <c r="D835" s="158" t="s">
        <v>50</v>
      </c>
      <c r="E835" s="157">
        <v>72</v>
      </c>
      <c r="F835" s="158" t="s">
        <v>525</v>
      </c>
      <c r="G835" s="159">
        <v>721971.36</v>
      </c>
      <c r="H835" s="159">
        <v>0</v>
      </c>
      <c r="I835" s="159">
        <v>229947.84</v>
      </c>
      <c r="J835" s="159">
        <v>31.8</v>
      </c>
      <c r="K835" t="str">
        <f>VLOOKUP($C835,Lists!$C$3:$M$118,7,FALSE)</f>
        <v>Squash</v>
      </c>
      <c r="S835" s="4"/>
      <c r="T835" s="4"/>
      <c r="U835" s="5"/>
      <c r="V835" s="5"/>
    </row>
    <row r="836" spans="1:22" x14ac:dyDescent="0.25">
      <c r="A836" s="158" t="s">
        <v>468</v>
      </c>
      <c r="B836" s="158" t="s">
        <v>469</v>
      </c>
      <c r="C836" s="158" t="s">
        <v>51</v>
      </c>
      <c r="D836" s="158" t="s">
        <v>52</v>
      </c>
      <c r="E836" s="157">
        <v>358</v>
      </c>
      <c r="F836" s="158" t="s">
        <v>525</v>
      </c>
      <c r="G836" s="159">
        <v>3589802.04</v>
      </c>
      <c r="H836" s="159">
        <v>0</v>
      </c>
      <c r="I836" s="159">
        <v>1133796.74</v>
      </c>
      <c r="J836" s="159">
        <v>31.6</v>
      </c>
      <c r="K836" t="str">
        <f>VLOOKUP($C836,Lists!$C$3:$M$118,7,FALSE)</f>
        <v>Squash</v>
      </c>
      <c r="S836" s="4"/>
      <c r="T836" s="4"/>
      <c r="U836" s="5"/>
      <c r="V836" s="5"/>
    </row>
    <row r="837" spans="1:22" x14ac:dyDescent="0.25">
      <c r="A837" s="158" t="s">
        <v>468</v>
      </c>
      <c r="B837" s="158" t="s">
        <v>469</v>
      </c>
      <c r="C837" s="158" t="s">
        <v>26</v>
      </c>
      <c r="D837" s="158" t="s">
        <v>27</v>
      </c>
      <c r="E837" s="157">
        <v>143</v>
      </c>
      <c r="F837" s="158" t="s">
        <v>525</v>
      </c>
      <c r="G837" s="159">
        <v>312083.20000000001</v>
      </c>
      <c r="H837" s="159">
        <v>0</v>
      </c>
      <c r="I837" s="159">
        <v>137588.88</v>
      </c>
      <c r="J837" s="159">
        <v>44.1</v>
      </c>
      <c r="K837" t="str">
        <f>VLOOKUP($C837,Lists!$C$3:$M$118,7,FALSE)</f>
        <v>Water</v>
      </c>
      <c r="S837" s="4"/>
      <c r="T837" s="4"/>
      <c r="U837" s="5"/>
      <c r="V837" s="5"/>
    </row>
    <row r="838" spans="1:22" x14ac:dyDescent="0.25">
      <c r="A838" s="158" t="s">
        <v>574</v>
      </c>
      <c r="B838" s="158" t="s">
        <v>575</v>
      </c>
      <c r="C838" s="158" t="s">
        <v>10</v>
      </c>
      <c r="D838" s="158" t="s">
        <v>11</v>
      </c>
      <c r="E838" s="157">
        <v>72</v>
      </c>
      <c r="F838" s="158" t="s">
        <v>525</v>
      </c>
      <c r="G838" s="159">
        <v>566717.76</v>
      </c>
      <c r="H838" s="159">
        <v>0</v>
      </c>
      <c r="I838" s="159">
        <v>243797.76000000001</v>
      </c>
      <c r="J838" s="159">
        <v>43</v>
      </c>
      <c r="K838" t="str">
        <f>VLOOKUP($C838,Lists!$C$3:$M$118,7,FALSE)</f>
        <v>Alcomix</v>
      </c>
      <c r="S838" s="4"/>
      <c r="T838" s="4"/>
      <c r="U838" s="5"/>
      <c r="V838" s="5"/>
    </row>
    <row r="839" spans="1:22" x14ac:dyDescent="0.25">
      <c r="A839" s="158" t="s">
        <v>574</v>
      </c>
      <c r="B839" s="158" t="s">
        <v>575</v>
      </c>
      <c r="C839" s="158" t="s">
        <v>12</v>
      </c>
      <c r="D839" s="158" t="s">
        <v>13</v>
      </c>
      <c r="E839" s="157">
        <v>1368</v>
      </c>
      <c r="F839" s="158" t="s">
        <v>525</v>
      </c>
      <c r="G839" s="159">
        <v>8973040.3200000003</v>
      </c>
      <c r="H839" s="159">
        <v>0</v>
      </c>
      <c r="I839" s="159">
        <v>4015066.32</v>
      </c>
      <c r="J839" s="159">
        <v>44.7</v>
      </c>
      <c r="K839" t="str">
        <f>VLOOKUP($C839,Lists!$C$3:$M$118,7,FALSE)</f>
        <v>Beers</v>
      </c>
      <c r="S839" s="4"/>
      <c r="T839" s="4"/>
      <c r="U839" s="5"/>
      <c r="V839" s="5"/>
    </row>
    <row r="840" spans="1:22" x14ac:dyDescent="0.25">
      <c r="A840" s="158" t="s">
        <v>574</v>
      </c>
      <c r="B840" s="158" t="s">
        <v>575</v>
      </c>
      <c r="C840" s="158" t="s">
        <v>14</v>
      </c>
      <c r="D840" s="158" t="s">
        <v>15</v>
      </c>
      <c r="E840" s="157">
        <v>1152</v>
      </c>
      <c r="F840" s="158" t="s">
        <v>525</v>
      </c>
      <c r="G840" s="159">
        <v>9067484.1600000001</v>
      </c>
      <c r="H840" s="159">
        <v>0</v>
      </c>
      <c r="I840" s="159">
        <v>4562726.4000000004</v>
      </c>
      <c r="J840" s="159">
        <v>50.3</v>
      </c>
      <c r="K840" t="str">
        <f>VLOOKUP($C840,Lists!$C$3:$M$118,7,FALSE)</f>
        <v>Beers</v>
      </c>
      <c r="S840" s="4"/>
      <c r="T840" s="4"/>
      <c r="U840" s="5"/>
      <c r="V840" s="5"/>
    </row>
    <row r="841" spans="1:22" x14ac:dyDescent="0.25">
      <c r="A841" s="158" t="s">
        <v>574</v>
      </c>
      <c r="B841" s="158" t="s">
        <v>575</v>
      </c>
      <c r="C841" s="158" t="s">
        <v>16</v>
      </c>
      <c r="D841" s="158" t="s">
        <v>17</v>
      </c>
      <c r="E841" s="157">
        <v>1440</v>
      </c>
      <c r="F841" s="158" t="s">
        <v>525</v>
      </c>
      <c r="G841" s="159">
        <v>11334355.199999999</v>
      </c>
      <c r="H841" s="159">
        <v>0</v>
      </c>
      <c r="I841" s="159">
        <v>5703407.9900000002</v>
      </c>
      <c r="J841" s="159">
        <v>50.3</v>
      </c>
      <c r="K841" t="str">
        <f>VLOOKUP($C841,Lists!$C$3:$M$118,7,FALSE)</f>
        <v>Beers</v>
      </c>
      <c r="S841" s="4"/>
      <c r="T841" s="4"/>
      <c r="U841" s="5"/>
      <c r="V841" s="5"/>
    </row>
    <row r="842" spans="1:22" x14ac:dyDescent="0.25">
      <c r="A842" s="158" t="s">
        <v>574</v>
      </c>
      <c r="B842" s="158" t="s">
        <v>575</v>
      </c>
      <c r="C842" s="158" t="s">
        <v>18</v>
      </c>
      <c r="D842" s="158" t="s">
        <v>19</v>
      </c>
      <c r="E842" s="157">
        <v>576</v>
      </c>
      <c r="F842" s="158" t="s">
        <v>525</v>
      </c>
      <c r="G842" s="159">
        <v>6044987.5199999996</v>
      </c>
      <c r="H842" s="159">
        <v>0</v>
      </c>
      <c r="I842" s="159">
        <v>3188315.51</v>
      </c>
      <c r="J842" s="159">
        <v>52.7</v>
      </c>
      <c r="K842" t="str">
        <f>VLOOKUP($C842,Lists!$C$3:$M$118,7,FALSE)</f>
        <v>Beers</v>
      </c>
      <c r="S842" s="4"/>
      <c r="T842" s="4"/>
      <c r="U842" s="5"/>
      <c r="V842" s="5"/>
    </row>
    <row r="843" spans="1:22" x14ac:dyDescent="0.25">
      <c r="A843" s="158" t="s">
        <v>574</v>
      </c>
      <c r="B843" s="158" t="s">
        <v>575</v>
      </c>
      <c r="C843" s="158" t="s">
        <v>20</v>
      </c>
      <c r="D843" s="158" t="s">
        <v>21</v>
      </c>
      <c r="E843" s="157">
        <v>1440</v>
      </c>
      <c r="F843" s="158" t="s">
        <v>525</v>
      </c>
      <c r="G843" s="159">
        <v>5807102.4000000004</v>
      </c>
      <c r="H843" s="159">
        <v>0</v>
      </c>
      <c r="I843" s="159">
        <v>2502734.4</v>
      </c>
      <c r="J843" s="159">
        <v>43.1</v>
      </c>
      <c r="K843" t="str">
        <f>VLOOKUP($C843,Lists!$C$3:$M$118,7,FALSE)</f>
        <v>COKE_RGB</v>
      </c>
      <c r="S843" s="4"/>
      <c r="T843" s="4"/>
      <c r="U843" s="5"/>
      <c r="V843" s="5"/>
    </row>
    <row r="844" spans="1:22" x14ac:dyDescent="0.25">
      <c r="A844" s="158" t="s">
        <v>574</v>
      </c>
      <c r="B844" s="158" t="s">
        <v>575</v>
      </c>
      <c r="C844" s="158" t="s">
        <v>28</v>
      </c>
      <c r="D844" s="158" t="s">
        <v>530</v>
      </c>
      <c r="E844" s="157">
        <v>288</v>
      </c>
      <c r="F844" s="158" t="s">
        <v>525</v>
      </c>
      <c r="G844" s="159">
        <v>828630.72</v>
      </c>
      <c r="H844" s="159">
        <v>0</v>
      </c>
      <c r="I844" s="159">
        <v>425704.32</v>
      </c>
      <c r="J844" s="159">
        <v>51.4</v>
      </c>
      <c r="K844" t="str">
        <f>VLOOKUP($C844,Lists!$C$3:$M$118,7,FALSE)</f>
        <v>COKE_PET</v>
      </c>
      <c r="S844" s="4"/>
      <c r="T844" s="4"/>
      <c r="U844" s="5"/>
      <c r="V844" s="5"/>
    </row>
    <row r="845" spans="1:22" x14ac:dyDescent="0.25">
      <c r="A845" s="158" t="s">
        <v>574</v>
      </c>
      <c r="B845" s="158" t="s">
        <v>575</v>
      </c>
      <c r="C845" s="158" t="s">
        <v>58</v>
      </c>
      <c r="D845" s="158" t="s">
        <v>537</v>
      </c>
      <c r="E845" s="157">
        <v>144</v>
      </c>
      <c r="F845" s="158" t="s">
        <v>525</v>
      </c>
      <c r="G845" s="159">
        <v>355127.03999999998</v>
      </c>
      <c r="H845" s="159">
        <v>0</v>
      </c>
      <c r="I845" s="159">
        <v>199742.4</v>
      </c>
      <c r="J845" s="159">
        <v>56.2</v>
      </c>
      <c r="K845" t="str">
        <f>VLOOKUP($C845,Lists!$C$3:$M$118,7,FALSE)</f>
        <v>SOBO_PET</v>
      </c>
      <c r="S845" s="4"/>
      <c r="T845" s="4"/>
      <c r="U845" s="5"/>
      <c r="V845" s="5"/>
    </row>
    <row r="846" spans="1:22" x14ac:dyDescent="0.25">
      <c r="A846" s="158" t="s">
        <v>574</v>
      </c>
      <c r="B846" s="158" t="s">
        <v>575</v>
      </c>
      <c r="C846" s="158" t="s">
        <v>43</v>
      </c>
      <c r="D846" s="158" t="s">
        <v>44</v>
      </c>
      <c r="E846" s="157">
        <v>72</v>
      </c>
      <c r="F846" s="158" t="s">
        <v>525</v>
      </c>
      <c r="G846" s="159">
        <v>566717.76</v>
      </c>
      <c r="H846" s="159">
        <v>0</v>
      </c>
      <c r="I846" s="159">
        <v>285170.40000000002</v>
      </c>
      <c r="J846" s="159">
        <v>50.3</v>
      </c>
      <c r="K846" t="str">
        <f>VLOOKUP($C846,Lists!$C$3:$M$118,7,FALSE)</f>
        <v>Beers</v>
      </c>
      <c r="S846" s="4"/>
      <c r="T846" s="4"/>
      <c r="U846" s="5"/>
      <c r="V846" s="5"/>
    </row>
    <row r="847" spans="1:22" x14ac:dyDescent="0.25">
      <c r="A847" s="158" t="s">
        <v>574</v>
      </c>
      <c r="B847" s="158" t="s">
        <v>575</v>
      </c>
      <c r="C847" s="158" t="s">
        <v>59</v>
      </c>
      <c r="D847" s="158" t="s">
        <v>60</v>
      </c>
      <c r="E847" s="157">
        <v>144</v>
      </c>
      <c r="F847" s="158" t="s">
        <v>525</v>
      </c>
      <c r="G847" s="159">
        <v>580710.24</v>
      </c>
      <c r="H847" s="159">
        <v>0</v>
      </c>
      <c r="I847" s="159">
        <v>242821.44</v>
      </c>
      <c r="J847" s="159">
        <v>41.8</v>
      </c>
      <c r="K847" t="str">
        <f>VLOOKUP($C847,Lists!$C$3:$M$118,7,FALSE)</f>
        <v>COKE_RGB</v>
      </c>
      <c r="S847" s="4"/>
      <c r="T847" s="4"/>
      <c r="U847" s="5"/>
      <c r="V847" s="5"/>
    </row>
    <row r="848" spans="1:22" x14ac:dyDescent="0.25">
      <c r="A848" s="158" t="s">
        <v>574</v>
      </c>
      <c r="B848" s="158" t="s">
        <v>575</v>
      </c>
      <c r="C848" s="158" t="s">
        <v>22</v>
      </c>
      <c r="D848" s="158" t="s">
        <v>23</v>
      </c>
      <c r="E848" s="157">
        <v>648</v>
      </c>
      <c r="F848" s="158" t="s">
        <v>525</v>
      </c>
      <c r="G848" s="159">
        <v>2613196.08</v>
      </c>
      <c r="H848" s="159">
        <v>0</v>
      </c>
      <c r="I848" s="159">
        <v>1081667.52</v>
      </c>
      <c r="J848" s="159">
        <v>41.4</v>
      </c>
      <c r="K848" t="str">
        <f>VLOOKUP($C848,Lists!$C$3:$M$118,7,FALSE)</f>
        <v>COKE_RGB</v>
      </c>
      <c r="S848" s="4"/>
      <c r="T848" s="4"/>
      <c r="U848" s="5"/>
      <c r="V848" s="5"/>
    </row>
    <row r="849" spans="1:22" x14ac:dyDescent="0.25">
      <c r="A849" s="158" t="s">
        <v>574</v>
      </c>
      <c r="B849" s="158" t="s">
        <v>575</v>
      </c>
      <c r="C849" s="158" t="s">
        <v>67</v>
      </c>
      <c r="D849" s="158" t="s">
        <v>533</v>
      </c>
      <c r="E849" s="157">
        <v>144</v>
      </c>
      <c r="F849" s="158" t="s">
        <v>525</v>
      </c>
      <c r="G849" s="159">
        <v>414315.36</v>
      </c>
      <c r="H849" s="159">
        <v>0</v>
      </c>
      <c r="I849" s="159">
        <v>207779.04</v>
      </c>
      <c r="J849" s="159">
        <v>50.1</v>
      </c>
      <c r="K849" t="str">
        <f>VLOOKUP($C849,Lists!$C$3:$M$118,7,FALSE)</f>
        <v>COKE_PET</v>
      </c>
      <c r="S849" s="4"/>
      <c r="T849" s="4"/>
      <c r="U849" s="5"/>
      <c r="V849" s="5"/>
    </row>
    <row r="850" spans="1:22" x14ac:dyDescent="0.25">
      <c r="A850" s="158" t="s">
        <v>574</v>
      </c>
      <c r="B850" s="158" t="s">
        <v>575</v>
      </c>
      <c r="C850" s="158" t="s">
        <v>261</v>
      </c>
      <c r="D850" s="158" t="s">
        <v>538</v>
      </c>
      <c r="E850" s="157">
        <v>144</v>
      </c>
      <c r="F850" s="158" t="s">
        <v>525</v>
      </c>
      <c r="G850" s="159">
        <v>580710.24</v>
      </c>
      <c r="H850" s="159">
        <v>0</v>
      </c>
      <c r="I850" s="159">
        <v>240370.56</v>
      </c>
      <c r="J850" s="159">
        <v>41.4</v>
      </c>
      <c r="K850" t="str">
        <f>VLOOKUP($C850,Lists!$C$3:$M$118,7,FALSE)</f>
        <v>COKE_RGB</v>
      </c>
      <c r="S850" s="4"/>
      <c r="T850" s="4"/>
      <c r="U850" s="5"/>
      <c r="V850" s="5"/>
    </row>
    <row r="851" spans="1:22" x14ac:dyDescent="0.25">
      <c r="A851" s="158" t="s">
        <v>574</v>
      </c>
      <c r="B851" s="158" t="s">
        <v>575</v>
      </c>
      <c r="C851" s="158" t="s">
        <v>24</v>
      </c>
      <c r="D851" s="158" t="s">
        <v>25</v>
      </c>
      <c r="E851" s="157">
        <v>648</v>
      </c>
      <c r="F851" s="158" t="s">
        <v>525</v>
      </c>
      <c r="G851" s="159">
        <v>4250387.5199999996</v>
      </c>
      <c r="H851" s="159">
        <v>0</v>
      </c>
      <c r="I851" s="159">
        <v>2087279.28</v>
      </c>
      <c r="J851" s="159">
        <v>49.1</v>
      </c>
      <c r="K851" t="str">
        <f>VLOOKUP($C851,Lists!$C$3:$M$118,7,FALSE)</f>
        <v>Beers</v>
      </c>
      <c r="S851" s="4"/>
      <c r="T851" s="4"/>
      <c r="U851" s="5"/>
      <c r="V851" s="5"/>
    </row>
    <row r="852" spans="1:22" x14ac:dyDescent="0.25">
      <c r="A852" s="158" t="s">
        <v>574</v>
      </c>
      <c r="B852" s="158" t="s">
        <v>575</v>
      </c>
      <c r="C852" s="158" t="s">
        <v>29</v>
      </c>
      <c r="D852" s="158" t="s">
        <v>30</v>
      </c>
      <c r="E852" s="157">
        <v>340</v>
      </c>
      <c r="F852" s="158" t="s">
        <v>525</v>
      </c>
      <c r="G852" s="159">
        <v>12604102.6</v>
      </c>
      <c r="H852" s="159">
        <v>0</v>
      </c>
      <c r="I852" s="159">
        <v>3764102.6</v>
      </c>
      <c r="J852" s="159">
        <v>29.9</v>
      </c>
      <c r="K852" t="str">
        <f>VLOOKUP($C852,Lists!$C$3:$M$118,7,FALSE)</f>
        <v>Spirits</v>
      </c>
      <c r="S852" s="4"/>
      <c r="T852" s="4"/>
      <c r="U852" s="5"/>
      <c r="V852" s="5"/>
    </row>
    <row r="853" spans="1:22" x14ac:dyDescent="0.25">
      <c r="A853" s="158" t="s">
        <v>574</v>
      </c>
      <c r="B853" s="158" t="s">
        <v>575</v>
      </c>
      <c r="C853" s="158" t="s">
        <v>33</v>
      </c>
      <c r="D853" s="158" t="s">
        <v>34</v>
      </c>
      <c r="E853" s="157">
        <v>210</v>
      </c>
      <c r="F853" s="158" t="s">
        <v>525</v>
      </c>
      <c r="G853" s="159">
        <v>11915643.6</v>
      </c>
      <c r="H853" s="159">
        <v>0</v>
      </c>
      <c r="I853" s="159">
        <v>2465643.6</v>
      </c>
      <c r="J853" s="159">
        <v>20.7</v>
      </c>
      <c r="K853" t="str">
        <f>VLOOKUP($C853,Lists!$C$3:$M$118,7,FALSE)</f>
        <v>Spirits</v>
      </c>
      <c r="S853" s="4"/>
      <c r="T853" s="4"/>
      <c r="U853" s="5"/>
      <c r="V853" s="5"/>
    </row>
    <row r="854" spans="1:22" x14ac:dyDescent="0.25">
      <c r="A854" s="158" t="s">
        <v>574</v>
      </c>
      <c r="B854" s="158" t="s">
        <v>575</v>
      </c>
      <c r="C854" s="158" t="s">
        <v>37</v>
      </c>
      <c r="D854" s="158" t="s">
        <v>38</v>
      </c>
      <c r="E854" s="157">
        <v>288</v>
      </c>
      <c r="F854" s="158" t="s">
        <v>525</v>
      </c>
      <c r="G854" s="159">
        <v>967849.92</v>
      </c>
      <c r="H854" s="159">
        <v>0</v>
      </c>
      <c r="I854" s="159">
        <v>462931.20000000001</v>
      </c>
      <c r="J854" s="159">
        <v>47.8</v>
      </c>
      <c r="K854" t="str">
        <f>VLOOKUP($C854,Lists!$C$3:$M$118,7,FALSE)</f>
        <v>SOBO_RGB</v>
      </c>
      <c r="S854" s="4"/>
      <c r="T854" s="4"/>
      <c r="U854" s="5"/>
      <c r="V854" s="5"/>
    </row>
    <row r="855" spans="1:22" x14ac:dyDescent="0.25">
      <c r="A855" s="158" t="s">
        <v>574</v>
      </c>
      <c r="B855" s="158" t="s">
        <v>575</v>
      </c>
      <c r="C855" s="158" t="s">
        <v>39</v>
      </c>
      <c r="D855" s="158" t="s">
        <v>40</v>
      </c>
      <c r="E855" s="157">
        <v>288</v>
      </c>
      <c r="F855" s="158" t="s">
        <v>525</v>
      </c>
      <c r="G855" s="159">
        <v>967849.92</v>
      </c>
      <c r="H855" s="159">
        <v>0</v>
      </c>
      <c r="I855" s="159">
        <v>458997.12</v>
      </c>
      <c r="J855" s="159">
        <v>47.4</v>
      </c>
      <c r="K855" t="str">
        <f>VLOOKUP($C855,Lists!$C$3:$M$118,7,FALSE)</f>
        <v>SOBO_RGB</v>
      </c>
      <c r="S855" s="4"/>
      <c r="T855" s="4"/>
      <c r="U855" s="5"/>
      <c r="V855" s="5"/>
    </row>
    <row r="856" spans="1:22" x14ac:dyDescent="0.25">
      <c r="A856" s="158" t="s">
        <v>574</v>
      </c>
      <c r="B856" s="158" t="s">
        <v>575</v>
      </c>
      <c r="C856" s="158" t="s">
        <v>45</v>
      </c>
      <c r="D856" s="158" t="s">
        <v>46</v>
      </c>
      <c r="E856" s="157">
        <v>216</v>
      </c>
      <c r="F856" s="158" t="s">
        <v>525</v>
      </c>
      <c r="G856" s="159">
        <v>871065.36</v>
      </c>
      <c r="H856" s="159">
        <v>0</v>
      </c>
      <c r="I856" s="159">
        <v>437216.4</v>
      </c>
      <c r="J856" s="159">
        <v>50.2</v>
      </c>
      <c r="K856" t="str">
        <f>VLOOKUP($C856,Lists!$C$3:$M$118,7,FALSE)</f>
        <v>SOBO_RGB</v>
      </c>
      <c r="S856" s="4"/>
      <c r="T856" s="4"/>
      <c r="U856" s="5"/>
      <c r="V856" s="5"/>
    </row>
    <row r="857" spans="1:22" x14ac:dyDescent="0.25">
      <c r="A857" s="158" t="s">
        <v>574</v>
      </c>
      <c r="B857" s="158" t="s">
        <v>575</v>
      </c>
      <c r="C857" s="158" t="s">
        <v>47</v>
      </c>
      <c r="D857" s="158" t="s">
        <v>48</v>
      </c>
      <c r="E857" s="157">
        <v>504</v>
      </c>
      <c r="F857" s="158" t="s">
        <v>525</v>
      </c>
      <c r="G857" s="159">
        <v>2032485.84</v>
      </c>
      <c r="H857" s="159">
        <v>0</v>
      </c>
      <c r="I857" s="159">
        <v>908213.04</v>
      </c>
      <c r="J857" s="159">
        <v>44.7</v>
      </c>
      <c r="K857" t="str">
        <f>VLOOKUP($C857,Lists!$C$3:$M$118,7,FALSE)</f>
        <v>COKE_RGB</v>
      </c>
      <c r="S857" s="4"/>
      <c r="T857" s="4"/>
      <c r="U857" s="5"/>
      <c r="V857" s="5"/>
    </row>
    <row r="858" spans="1:22" x14ac:dyDescent="0.25">
      <c r="A858" s="158" t="s">
        <v>574</v>
      </c>
      <c r="B858" s="158" t="s">
        <v>575</v>
      </c>
      <c r="C858" s="158" t="s">
        <v>68</v>
      </c>
      <c r="D858" s="158" t="s">
        <v>534</v>
      </c>
      <c r="E858" s="157">
        <v>432</v>
      </c>
      <c r="F858" s="158" t="s">
        <v>525</v>
      </c>
      <c r="G858" s="159">
        <v>1242946.08</v>
      </c>
      <c r="H858" s="159">
        <v>0</v>
      </c>
      <c r="I858" s="159">
        <v>617695.19999999995</v>
      </c>
      <c r="J858" s="159">
        <v>49.7</v>
      </c>
      <c r="K858" t="str">
        <f>VLOOKUP($C858,Lists!$C$3:$M$118,7,FALSE)</f>
        <v>COKE_PET</v>
      </c>
      <c r="S858" s="4"/>
      <c r="T858" s="4"/>
      <c r="U858" s="5"/>
      <c r="V858" s="5"/>
    </row>
    <row r="859" spans="1:22" x14ac:dyDescent="0.25">
      <c r="A859" s="158" t="s">
        <v>574</v>
      </c>
      <c r="B859" s="158" t="s">
        <v>575</v>
      </c>
      <c r="C859" s="158" t="s">
        <v>49</v>
      </c>
      <c r="D859" s="158" t="s">
        <v>50</v>
      </c>
      <c r="E859" s="157">
        <v>431</v>
      </c>
      <c r="F859" s="158" t="s">
        <v>525</v>
      </c>
      <c r="G859" s="159">
        <v>4321800.78</v>
      </c>
      <c r="H859" s="159">
        <v>0</v>
      </c>
      <c r="I859" s="159">
        <v>1376493.32</v>
      </c>
      <c r="J859" s="159">
        <v>31.8</v>
      </c>
      <c r="K859" t="str">
        <f>VLOOKUP($C859,Lists!$C$3:$M$118,7,FALSE)</f>
        <v>Squash</v>
      </c>
      <c r="S859" s="4"/>
      <c r="T859" s="4"/>
      <c r="U859" s="5"/>
      <c r="V859" s="5"/>
    </row>
    <row r="860" spans="1:22" x14ac:dyDescent="0.25">
      <c r="A860" s="158" t="s">
        <v>574</v>
      </c>
      <c r="B860" s="158" t="s">
        <v>575</v>
      </c>
      <c r="C860" s="158" t="s">
        <v>51</v>
      </c>
      <c r="D860" s="158" t="s">
        <v>52</v>
      </c>
      <c r="E860" s="157">
        <v>1008</v>
      </c>
      <c r="F860" s="158" t="s">
        <v>525</v>
      </c>
      <c r="G860" s="159">
        <v>10107599.039999999</v>
      </c>
      <c r="H860" s="159">
        <v>0</v>
      </c>
      <c r="I860" s="159">
        <v>3192366.24</v>
      </c>
      <c r="J860" s="159">
        <v>31.6</v>
      </c>
      <c r="K860" t="str">
        <f>VLOOKUP($C860,Lists!$C$3:$M$118,7,FALSE)</f>
        <v>Squash</v>
      </c>
      <c r="S860" s="4"/>
      <c r="T860" s="4"/>
      <c r="U860" s="5"/>
      <c r="V860" s="5"/>
    </row>
    <row r="861" spans="1:22" x14ac:dyDescent="0.25">
      <c r="A861" s="158" t="s">
        <v>574</v>
      </c>
      <c r="B861" s="158" t="s">
        <v>575</v>
      </c>
      <c r="C861" s="158" t="s">
        <v>26</v>
      </c>
      <c r="D861" s="158" t="s">
        <v>27</v>
      </c>
      <c r="E861" s="157">
        <v>1008</v>
      </c>
      <c r="F861" s="158" t="s">
        <v>525</v>
      </c>
      <c r="G861" s="159">
        <v>2199859.2000000002</v>
      </c>
      <c r="H861" s="159">
        <v>0</v>
      </c>
      <c r="I861" s="159">
        <v>969857.28</v>
      </c>
      <c r="J861" s="159">
        <v>44.1</v>
      </c>
      <c r="K861" t="str">
        <f>VLOOKUP($C861,Lists!$C$3:$M$118,7,FALSE)</f>
        <v>Water</v>
      </c>
      <c r="S861" s="4"/>
      <c r="T861" s="4"/>
      <c r="U861" s="5"/>
      <c r="V861" s="5"/>
    </row>
    <row r="862" spans="1:22" x14ac:dyDescent="0.25">
      <c r="A862" s="158" t="s">
        <v>576</v>
      </c>
      <c r="B862" s="158" t="s">
        <v>577</v>
      </c>
      <c r="C862" s="158" t="s">
        <v>20</v>
      </c>
      <c r="D862" s="158" t="s">
        <v>21</v>
      </c>
      <c r="E862" s="157">
        <v>72</v>
      </c>
      <c r="F862" s="158" t="s">
        <v>525</v>
      </c>
      <c r="G862" s="159">
        <v>290355.12</v>
      </c>
      <c r="H862" s="159">
        <v>0</v>
      </c>
      <c r="I862" s="159">
        <v>125136.72</v>
      </c>
      <c r="J862" s="159">
        <v>43.1</v>
      </c>
      <c r="K862" t="str">
        <f>VLOOKUP($C862,Lists!$C$3:$M$118,7,FALSE)</f>
        <v>COKE_RGB</v>
      </c>
      <c r="S862" s="4"/>
      <c r="T862" s="4"/>
      <c r="U862" s="5"/>
      <c r="V862" s="5"/>
    </row>
    <row r="863" spans="1:22" x14ac:dyDescent="0.25">
      <c r="A863" s="158" t="s">
        <v>576</v>
      </c>
      <c r="B863" s="158" t="s">
        <v>577</v>
      </c>
      <c r="C863" s="158" t="s">
        <v>37</v>
      </c>
      <c r="D863" s="158" t="s">
        <v>38</v>
      </c>
      <c r="E863" s="157">
        <v>72</v>
      </c>
      <c r="F863" s="158" t="s">
        <v>525</v>
      </c>
      <c r="G863" s="159">
        <v>241962.48</v>
      </c>
      <c r="H863" s="159">
        <v>0</v>
      </c>
      <c r="I863" s="159">
        <v>115732.8</v>
      </c>
      <c r="J863" s="159">
        <v>47.8</v>
      </c>
      <c r="K863" t="str">
        <f>VLOOKUP($C863,Lists!$C$3:$M$118,7,FALSE)</f>
        <v>SOBO_RGB</v>
      </c>
      <c r="S863" s="4"/>
      <c r="T863" s="4"/>
      <c r="U863" s="5"/>
      <c r="V863" s="5"/>
    </row>
    <row r="864" spans="1:22" x14ac:dyDescent="0.25">
      <c r="A864" s="158" t="s">
        <v>576</v>
      </c>
      <c r="B864" s="158" t="s">
        <v>577</v>
      </c>
      <c r="C864" s="158" t="s">
        <v>49</v>
      </c>
      <c r="D864" s="158" t="s">
        <v>50</v>
      </c>
      <c r="E864" s="157">
        <v>288</v>
      </c>
      <c r="F864" s="158" t="s">
        <v>525</v>
      </c>
      <c r="G864" s="159">
        <v>2887885.44</v>
      </c>
      <c r="H864" s="159">
        <v>0</v>
      </c>
      <c r="I864" s="159">
        <v>919791.36</v>
      </c>
      <c r="J864" s="159">
        <v>31.8</v>
      </c>
      <c r="K864" t="str">
        <f>VLOOKUP($C864,Lists!$C$3:$M$118,7,FALSE)</f>
        <v>Squash</v>
      </c>
      <c r="S864" s="4"/>
      <c r="T864" s="4"/>
      <c r="U864" s="5"/>
      <c r="V864" s="5"/>
    </row>
    <row r="865" spans="1:22" x14ac:dyDescent="0.25">
      <c r="A865" s="158" t="s">
        <v>576</v>
      </c>
      <c r="B865" s="158" t="s">
        <v>577</v>
      </c>
      <c r="C865" s="158" t="s">
        <v>51</v>
      </c>
      <c r="D865" s="158" t="s">
        <v>52</v>
      </c>
      <c r="E865" s="157">
        <v>288</v>
      </c>
      <c r="F865" s="158" t="s">
        <v>525</v>
      </c>
      <c r="G865" s="159">
        <v>2887885.44</v>
      </c>
      <c r="H865" s="159">
        <v>0</v>
      </c>
      <c r="I865" s="159">
        <v>912104.64</v>
      </c>
      <c r="J865" s="159">
        <v>31.6</v>
      </c>
      <c r="K865" t="str">
        <f>VLOOKUP($C865,Lists!$C$3:$M$118,7,FALSE)</f>
        <v>Squash</v>
      </c>
      <c r="S865" s="4"/>
      <c r="T865" s="4"/>
      <c r="U865" s="5"/>
      <c r="V865" s="5"/>
    </row>
    <row r="866" spans="1:22" x14ac:dyDescent="0.25">
      <c r="A866" s="158" t="s">
        <v>578</v>
      </c>
      <c r="B866" s="158" t="s">
        <v>579</v>
      </c>
      <c r="C866" s="158" t="s">
        <v>12</v>
      </c>
      <c r="D866" s="158" t="s">
        <v>13</v>
      </c>
      <c r="E866" s="157">
        <v>-1</v>
      </c>
      <c r="F866" s="158" t="s">
        <v>525</v>
      </c>
      <c r="G866" s="159">
        <v>-6559.24</v>
      </c>
      <c r="H866" s="159">
        <v>0</v>
      </c>
      <c r="I866" s="159">
        <v>-2934.99</v>
      </c>
      <c r="J866" s="159">
        <v>44.7</v>
      </c>
      <c r="K866" t="str">
        <f>VLOOKUP($C866,Lists!$C$3:$M$118,7,FALSE)</f>
        <v>Beers</v>
      </c>
      <c r="S866" s="4"/>
      <c r="T866" s="4"/>
      <c r="U866" s="5"/>
      <c r="V866" s="5"/>
    </row>
    <row r="867" spans="1:22" x14ac:dyDescent="0.25">
      <c r="A867" s="158" t="s">
        <v>578</v>
      </c>
      <c r="B867" s="158" t="s">
        <v>579</v>
      </c>
      <c r="C867" s="158" t="s">
        <v>78</v>
      </c>
      <c r="D867" s="158" t="s">
        <v>526</v>
      </c>
      <c r="E867" s="157">
        <v>-1</v>
      </c>
      <c r="F867" s="158" t="s">
        <v>525</v>
      </c>
      <c r="G867" s="159">
        <v>-2466.16</v>
      </c>
      <c r="H867" s="159">
        <v>0</v>
      </c>
      <c r="I867" s="159">
        <v>-1367.62</v>
      </c>
      <c r="J867" s="159">
        <v>55.5</v>
      </c>
      <c r="K867" t="str">
        <f>VLOOKUP($C867,Lists!$C$3:$M$118,7,FALSE)</f>
        <v>SOBO_PET</v>
      </c>
      <c r="S867" s="4"/>
      <c r="T867" s="4"/>
      <c r="U867" s="5"/>
      <c r="V867" s="5"/>
    </row>
    <row r="868" spans="1:22" x14ac:dyDescent="0.25">
      <c r="A868" s="158" t="s">
        <v>578</v>
      </c>
      <c r="B868" s="158" t="s">
        <v>579</v>
      </c>
      <c r="C868" s="158" t="s">
        <v>67</v>
      </c>
      <c r="D868" s="158" t="s">
        <v>533</v>
      </c>
      <c r="E868" s="157">
        <v>-1</v>
      </c>
      <c r="F868" s="158" t="s">
        <v>525</v>
      </c>
      <c r="G868" s="159">
        <v>-2877.19</v>
      </c>
      <c r="H868" s="159">
        <v>0</v>
      </c>
      <c r="I868" s="159">
        <v>-1442.91</v>
      </c>
      <c r="J868" s="159">
        <v>50.1</v>
      </c>
      <c r="K868" t="str">
        <f>VLOOKUP($C868,Lists!$C$3:$M$118,7,FALSE)</f>
        <v>COKE_PET</v>
      </c>
      <c r="S868" s="4"/>
      <c r="T868" s="4"/>
      <c r="U868" s="5"/>
      <c r="V868" s="5"/>
    </row>
    <row r="869" spans="1:22" x14ac:dyDescent="0.25">
      <c r="A869" s="158" t="s">
        <v>578</v>
      </c>
      <c r="B869" s="158" t="s">
        <v>579</v>
      </c>
      <c r="C869" s="158" t="s">
        <v>26</v>
      </c>
      <c r="D869" s="158" t="s">
        <v>27</v>
      </c>
      <c r="E869" s="157">
        <v>-2</v>
      </c>
      <c r="F869" s="158" t="s">
        <v>525</v>
      </c>
      <c r="G869" s="159">
        <v>-4364.8</v>
      </c>
      <c r="H869" s="159">
        <v>0</v>
      </c>
      <c r="I869" s="159">
        <v>-1924.32</v>
      </c>
      <c r="J869" s="159">
        <v>44.1</v>
      </c>
      <c r="K869" t="str">
        <f>VLOOKUP($C869,Lists!$C$3:$M$118,7,FALSE)</f>
        <v>Water</v>
      </c>
      <c r="S869" s="4"/>
      <c r="T869" s="4"/>
      <c r="U869" s="5"/>
      <c r="V869" s="5"/>
    </row>
    <row r="870" spans="1:22" x14ac:dyDescent="0.25">
      <c r="A870" s="158" t="s">
        <v>580</v>
      </c>
      <c r="B870" s="158" t="s">
        <v>581</v>
      </c>
      <c r="C870" s="158" t="s">
        <v>10</v>
      </c>
      <c r="D870" s="158" t="s">
        <v>11</v>
      </c>
      <c r="E870" s="157">
        <v>-1</v>
      </c>
      <c r="F870" s="158" t="s">
        <v>525</v>
      </c>
      <c r="G870" s="159">
        <v>-7871.08</v>
      </c>
      <c r="H870" s="159">
        <v>0</v>
      </c>
      <c r="I870" s="159">
        <v>-3386.08</v>
      </c>
      <c r="J870" s="159">
        <v>43</v>
      </c>
      <c r="K870" t="str">
        <f>VLOOKUP($C870,Lists!$C$3:$M$118,7,FALSE)</f>
        <v>Alcomix</v>
      </c>
      <c r="S870" s="4"/>
      <c r="T870" s="4"/>
      <c r="U870" s="5"/>
      <c r="V870" s="5"/>
    </row>
    <row r="871" spans="1:22" x14ac:dyDescent="0.25">
      <c r="A871" s="158" t="s">
        <v>580</v>
      </c>
      <c r="B871" s="158" t="s">
        <v>581</v>
      </c>
      <c r="C871" s="158" t="s">
        <v>12</v>
      </c>
      <c r="D871" s="158" t="s">
        <v>13</v>
      </c>
      <c r="E871" s="157">
        <v>127</v>
      </c>
      <c r="F871" s="158" t="s">
        <v>525</v>
      </c>
      <c r="G871" s="159">
        <v>833023.48</v>
      </c>
      <c r="H871" s="159">
        <v>0</v>
      </c>
      <c r="I871" s="159">
        <v>372743.73</v>
      </c>
      <c r="J871" s="159">
        <v>44.7</v>
      </c>
      <c r="K871" t="str">
        <f>VLOOKUP($C871,Lists!$C$3:$M$118,7,FALSE)</f>
        <v>Beers</v>
      </c>
      <c r="S871" s="4"/>
      <c r="T871" s="4"/>
      <c r="U871" s="5"/>
      <c r="V871" s="5"/>
    </row>
    <row r="872" spans="1:22" x14ac:dyDescent="0.25">
      <c r="A872" s="158" t="s">
        <v>580</v>
      </c>
      <c r="B872" s="158" t="s">
        <v>581</v>
      </c>
      <c r="C872" s="158" t="s">
        <v>14</v>
      </c>
      <c r="D872" s="158" t="s">
        <v>15</v>
      </c>
      <c r="E872" s="157">
        <v>-89</v>
      </c>
      <c r="F872" s="158" t="s">
        <v>525</v>
      </c>
      <c r="G872" s="159">
        <v>-700526.12</v>
      </c>
      <c r="H872" s="159">
        <v>0</v>
      </c>
      <c r="I872" s="159">
        <v>-352502.3</v>
      </c>
      <c r="J872" s="159">
        <v>50.3</v>
      </c>
      <c r="K872" t="str">
        <f>VLOOKUP($C872,Lists!$C$3:$M$118,7,FALSE)</f>
        <v>Beers</v>
      </c>
      <c r="S872" s="4"/>
      <c r="T872" s="4"/>
      <c r="U872" s="5"/>
      <c r="V872" s="5"/>
    </row>
    <row r="873" spans="1:22" x14ac:dyDescent="0.25">
      <c r="A873" s="158" t="s">
        <v>580</v>
      </c>
      <c r="B873" s="158" t="s">
        <v>581</v>
      </c>
      <c r="C873" s="158" t="s">
        <v>54</v>
      </c>
      <c r="D873" s="158" t="s">
        <v>55</v>
      </c>
      <c r="E873" s="157">
        <v>-1</v>
      </c>
      <c r="F873" s="158" t="s">
        <v>525</v>
      </c>
      <c r="G873" s="159">
        <v>-7871.08</v>
      </c>
      <c r="H873" s="159">
        <v>0</v>
      </c>
      <c r="I873" s="159">
        <v>-4201.33</v>
      </c>
      <c r="J873" s="159">
        <v>53.4</v>
      </c>
      <c r="K873" t="str">
        <f>VLOOKUP($C873,Lists!$C$3:$M$118,7,FALSE)</f>
        <v>Beers</v>
      </c>
      <c r="S873" s="4"/>
      <c r="T873" s="4"/>
      <c r="U873" s="5"/>
      <c r="V873" s="5"/>
    </row>
    <row r="874" spans="1:22" x14ac:dyDescent="0.25">
      <c r="A874" s="158" t="s">
        <v>580</v>
      </c>
      <c r="B874" s="158" t="s">
        <v>581</v>
      </c>
      <c r="C874" s="158" t="s">
        <v>16</v>
      </c>
      <c r="D874" s="158" t="s">
        <v>17</v>
      </c>
      <c r="E874" s="157">
        <v>196</v>
      </c>
      <c r="F874" s="158" t="s">
        <v>525</v>
      </c>
      <c r="G874" s="159">
        <v>1542731.68</v>
      </c>
      <c r="H874" s="159">
        <v>0</v>
      </c>
      <c r="I874" s="159">
        <v>776297.2</v>
      </c>
      <c r="J874" s="159">
        <v>50.3</v>
      </c>
      <c r="K874" t="str">
        <f>VLOOKUP($C874,Lists!$C$3:$M$118,7,FALSE)</f>
        <v>Beers</v>
      </c>
      <c r="S874" s="4"/>
      <c r="T874" s="4"/>
      <c r="U874" s="5"/>
      <c r="V874" s="5"/>
    </row>
    <row r="875" spans="1:22" x14ac:dyDescent="0.25">
      <c r="A875" s="158" t="s">
        <v>580</v>
      </c>
      <c r="B875" s="158" t="s">
        <v>581</v>
      </c>
      <c r="C875" s="158" t="s">
        <v>18</v>
      </c>
      <c r="D875" s="158" t="s">
        <v>19</v>
      </c>
      <c r="E875" s="157">
        <v>62</v>
      </c>
      <c r="F875" s="158" t="s">
        <v>525</v>
      </c>
      <c r="G875" s="159">
        <v>650675.74</v>
      </c>
      <c r="H875" s="159">
        <v>0</v>
      </c>
      <c r="I875" s="159">
        <v>343186.74</v>
      </c>
      <c r="J875" s="159">
        <v>52.7</v>
      </c>
      <c r="K875" t="str">
        <f>VLOOKUP($C875,Lists!$C$3:$M$118,7,FALSE)</f>
        <v>Beers</v>
      </c>
      <c r="S875" s="4"/>
      <c r="T875" s="4"/>
      <c r="U875" s="5"/>
      <c r="V875" s="5"/>
    </row>
    <row r="876" spans="1:22" x14ac:dyDescent="0.25">
      <c r="A876" s="158" t="s">
        <v>580</v>
      </c>
      <c r="B876" s="158" t="s">
        <v>581</v>
      </c>
      <c r="C876" s="158" t="s">
        <v>20</v>
      </c>
      <c r="D876" s="158" t="s">
        <v>21</v>
      </c>
      <c r="E876" s="157">
        <v>200</v>
      </c>
      <c r="F876" s="158" t="s">
        <v>525</v>
      </c>
      <c r="G876" s="159">
        <v>806542</v>
      </c>
      <c r="H876" s="159">
        <v>0</v>
      </c>
      <c r="I876" s="159">
        <v>347602</v>
      </c>
      <c r="J876" s="159">
        <v>43.1</v>
      </c>
      <c r="K876" t="str">
        <f>VLOOKUP($C876,Lists!$C$3:$M$118,7,FALSE)</f>
        <v>COKE_RGB</v>
      </c>
      <c r="S876" s="4"/>
      <c r="T876" s="4"/>
      <c r="U876" s="5"/>
      <c r="V876" s="5"/>
    </row>
    <row r="877" spans="1:22" x14ac:dyDescent="0.25">
      <c r="A877" s="158" t="s">
        <v>580</v>
      </c>
      <c r="B877" s="158" t="s">
        <v>581</v>
      </c>
      <c r="C877" s="158" t="s">
        <v>28</v>
      </c>
      <c r="D877" s="158" t="s">
        <v>530</v>
      </c>
      <c r="E877" s="157">
        <v>-2</v>
      </c>
      <c r="F877" s="158" t="s">
        <v>525</v>
      </c>
      <c r="G877" s="159">
        <v>-5754.38</v>
      </c>
      <c r="H877" s="159">
        <v>0</v>
      </c>
      <c r="I877" s="159">
        <v>-2956.28</v>
      </c>
      <c r="J877" s="159">
        <v>51.4</v>
      </c>
      <c r="K877" t="str">
        <f>VLOOKUP($C877,Lists!$C$3:$M$118,7,FALSE)</f>
        <v>COKE_PET</v>
      </c>
      <c r="S877" s="4"/>
      <c r="T877" s="4"/>
      <c r="U877" s="5"/>
      <c r="V877" s="5"/>
    </row>
    <row r="878" spans="1:22" x14ac:dyDescent="0.25">
      <c r="A878" s="158" t="s">
        <v>580</v>
      </c>
      <c r="B878" s="158" t="s">
        <v>581</v>
      </c>
      <c r="C878" s="158" t="s">
        <v>43</v>
      </c>
      <c r="D878" s="158" t="s">
        <v>44</v>
      </c>
      <c r="E878" s="157">
        <v>-5</v>
      </c>
      <c r="F878" s="158" t="s">
        <v>525</v>
      </c>
      <c r="G878" s="159">
        <v>-39355.4</v>
      </c>
      <c r="H878" s="159">
        <v>0</v>
      </c>
      <c r="I878" s="159">
        <v>-19803.5</v>
      </c>
      <c r="J878" s="159">
        <v>50.3</v>
      </c>
      <c r="K878" t="str">
        <f>VLOOKUP($C878,Lists!$C$3:$M$118,7,FALSE)</f>
        <v>Beers</v>
      </c>
      <c r="S878" s="4"/>
      <c r="T878" s="4"/>
      <c r="U878" s="5"/>
      <c r="V878" s="5"/>
    </row>
    <row r="879" spans="1:22" x14ac:dyDescent="0.25">
      <c r="A879" s="158" t="s">
        <v>580</v>
      </c>
      <c r="B879" s="158" t="s">
        <v>581</v>
      </c>
      <c r="C879" s="158" t="s">
        <v>59</v>
      </c>
      <c r="D879" s="158" t="s">
        <v>60</v>
      </c>
      <c r="E879" s="157">
        <v>-2</v>
      </c>
      <c r="F879" s="158" t="s">
        <v>525</v>
      </c>
      <c r="G879" s="159">
        <v>-8065.42</v>
      </c>
      <c r="H879" s="159">
        <v>0</v>
      </c>
      <c r="I879" s="159">
        <v>-3372.52</v>
      </c>
      <c r="J879" s="159">
        <v>41.8</v>
      </c>
      <c r="K879" t="str">
        <f>VLOOKUP($C879,Lists!$C$3:$M$118,7,FALSE)</f>
        <v>COKE_RGB</v>
      </c>
      <c r="S879" s="4"/>
      <c r="T879" s="4"/>
      <c r="U879" s="5"/>
      <c r="V879" s="5"/>
    </row>
    <row r="880" spans="1:22" x14ac:dyDescent="0.25">
      <c r="A880" s="158" t="s">
        <v>580</v>
      </c>
      <c r="B880" s="158" t="s">
        <v>581</v>
      </c>
      <c r="C880" s="158" t="s">
        <v>22</v>
      </c>
      <c r="D880" s="158" t="s">
        <v>23</v>
      </c>
      <c r="E880" s="157">
        <v>66</v>
      </c>
      <c r="F880" s="158" t="s">
        <v>525</v>
      </c>
      <c r="G880" s="159">
        <v>266158.86</v>
      </c>
      <c r="H880" s="159">
        <v>0</v>
      </c>
      <c r="I880" s="159">
        <v>110169.84</v>
      </c>
      <c r="J880" s="159">
        <v>41.4</v>
      </c>
      <c r="K880" t="str">
        <f>VLOOKUP($C880,Lists!$C$3:$M$118,7,FALSE)</f>
        <v>COKE_RGB</v>
      </c>
      <c r="S880" s="4"/>
      <c r="T880" s="4"/>
      <c r="U880" s="5"/>
      <c r="V880" s="5"/>
    </row>
    <row r="881" spans="1:22" x14ac:dyDescent="0.25">
      <c r="A881" s="158" t="s">
        <v>580</v>
      </c>
      <c r="B881" s="158" t="s">
        <v>581</v>
      </c>
      <c r="C881" s="158" t="s">
        <v>261</v>
      </c>
      <c r="D881" s="158" t="s">
        <v>538</v>
      </c>
      <c r="E881" s="157">
        <v>71</v>
      </c>
      <c r="F881" s="158" t="s">
        <v>525</v>
      </c>
      <c r="G881" s="159">
        <v>286322.40999999997</v>
      </c>
      <c r="H881" s="159">
        <v>0</v>
      </c>
      <c r="I881" s="159">
        <v>118516.04</v>
      </c>
      <c r="J881" s="159">
        <v>41.4</v>
      </c>
      <c r="K881" t="str">
        <f>VLOOKUP($C881,Lists!$C$3:$M$118,7,FALSE)</f>
        <v>COKE_RGB</v>
      </c>
      <c r="S881" s="4"/>
      <c r="T881" s="4"/>
      <c r="U881" s="5"/>
      <c r="V881" s="5"/>
    </row>
    <row r="882" spans="1:22" x14ac:dyDescent="0.25">
      <c r="A882" s="158" t="s">
        <v>580</v>
      </c>
      <c r="B882" s="158" t="s">
        <v>581</v>
      </c>
      <c r="C882" s="158" t="s">
        <v>24</v>
      </c>
      <c r="D882" s="158" t="s">
        <v>25</v>
      </c>
      <c r="E882" s="157">
        <v>130</v>
      </c>
      <c r="F882" s="158" t="s">
        <v>525</v>
      </c>
      <c r="G882" s="159">
        <v>852701.2</v>
      </c>
      <c r="H882" s="159">
        <v>0</v>
      </c>
      <c r="I882" s="159">
        <v>418744.3</v>
      </c>
      <c r="J882" s="159">
        <v>49.1</v>
      </c>
      <c r="K882" t="str">
        <f>VLOOKUP($C882,Lists!$C$3:$M$118,7,FALSE)</f>
        <v>Beers</v>
      </c>
      <c r="S882" s="4"/>
      <c r="T882" s="4"/>
      <c r="U882" s="5"/>
      <c r="V882" s="5"/>
    </row>
    <row r="883" spans="1:22" x14ac:dyDescent="0.25">
      <c r="A883" s="158" t="s">
        <v>580</v>
      </c>
      <c r="B883" s="158" t="s">
        <v>581</v>
      </c>
      <c r="C883" s="158" t="s">
        <v>29</v>
      </c>
      <c r="D883" s="158" t="s">
        <v>30</v>
      </c>
      <c r="E883" s="157">
        <v>211</v>
      </c>
      <c r="F883" s="158" t="s">
        <v>525</v>
      </c>
      <c r="G883" s="159">
        <v>7821957.79</v>
      </c>
      <c r="H883" s="159">
        <v>0</v>
      </c>
      <c r="I883" s="159">
        <v>2335957.79</v>
      </c>
      <c r="J883" s="159">
        <v>29.9</v>
      </c>
      <c r="K883" t="str">
        <f>VLOOKUP($C883,Lists!$C$3:$M$118,7,FALSE)</f>
        <v>Spirits</v>
      </c>
      <c r="S883" s="4"/>
      <c r="T883" s="4"/>
      <c r="U883" s="5"/>
      <c r="V883" s="5"/>
    </row>
    <row r="884" spans="1:22" x14ac:dyDescent="0.25">
      <c r="A884" s="158" t="s">
        <v>580</v>
      </c>
      <c r="B884" s="158" t="s">
        <v>581</v>
      </c>
      <c r="C884" s="158" t="s">
        <v>31</v>
      </c>
      <c r="D884" s="158" t="s">
        <v>32</v>
      </c>
      <c r="E884" s="157">
        <v>15</v>
      </c>
      <c r="F884" s="158" t="s">
        <v>525</v>
      </c>
      <c r="G884" s="159">
        <v>522018.6</v>
      </c>
      <c r="H884" s="159">
        <v>0</v>
      </c>
      <c r="I884" s="159">
        <v>162018.6</v>
      </c>
      <c r="J884" s="159">
        <v>31</v>
      </c>
      <c r="K884" t="str">
        <f>VLOOKUP($C884,Lists!$C$3:$M$118,7,FALSE)</f>
        <v>Spirits</v>
      </c>
      <c r="S884" s="4"/>
      <c r="T884" s="4"/>
      <c r="U884" s="5"/>
      <c r="V884" s="5"/>
    </row>
    <row r="885" spans="1:22" x14ac:dyDescent="0.25">
      <c r="A885" s="158" t="s">
        <v>580</v>
      </c>
      <c r="B885" s="158" t="s">
        <v>581</v>
      </c>
      <c r="C885" s="158" t="s">
        <v>33</v>
      </c>
      <c r="D885" s="158" t="s">
        <v>34</v>
      </c>
      <c r="E885" s="157">
        <v>27</v>
      </c>
      <c r="F885" s="158" t="s">
        <v>525</v>
      </c>
      <c r="G885" s="159">
        <v>1532011.32</v>
      </c>
      <c r="H885" s="159">
        <v>0</v>
      </c>
      <c r="I885" s="159">
        <v>317011.32</v>
      </c>
      <c r="J885" s="159">
        <v>20.7</v>
      </c>
      <c r="K885" t="str">
        <f>VLOOKUP($C885,Lists!$C$3:$M$118,7,FALSE)</f>
        <v>Spirits</v>
      </c>
      <c r="S885" s="4"/>
      <c r="T885" s="4"/>
      <c r="U885" s="5"/>
      <c r="V885" s="5"/>
    </row>
    <row r="886" spans="1:22" x14ac:dyDescent="0.25">
      <c r="A886" s="158" t="s">
        <v>580</v>
      </c>
      <c r="B886" s="158" t="s">
        <v>581</v>
      </c>
      <c r="C886" s="158" t="s">
        <v>37</v>
      </c>
      <c r="D886" s="158" t="s">
        <v>38</v>
      </c>
      <c r="E886" s="157">
        <v>140</v>
      </c>
      <c r="F886" s="158" t="s">
        <v>525</v>
      </c>
      <c r="G886" s="159">
        <v>470482.6</v>
      </c>
      <c r="H886" s="159">
        <v>0</v>
      </c>
      <c r="I886" s="159">
        <v>225036</v>
      </c>
      <c r="J886" s="159">
        <v>47.8</v>
      </c>
      <c r="K886" t="str">
        <f>VLOOKUP($C886,Lists!$C$3:$M$118,7,FALSE)</f>
        <v>SOBO_RGB</v>
      </c>
      <c r="S886" s="4"/>
      <c r="T886" s="4"/>
      <c r="U886" s="5"/>
      <c r="V886" s="5"/>
    </row>
    <row r="887" spans="1:22" x14ac:dyDescent="0.25">
      <c r="A887" s="158" t="s">
        <v>580</v>
      </c>
      <c r="B887" s="158" t="s">
        <v>581</v>
      </c>
      <c r="C887" s="158" t="s">
        <v>39</v>
      </c>
      <c r="D887" s="158" t="s">
        <v>40</v>
      </c>
      <c r="E887" s="157">
        <v>65</v>
      </c>
      <c r="F887" s="158" t="s">
        <v>525</v>
      </c>
      <c r="G887" s="159">
        <v>218438.35</v>
      </c>
      <c r="H887" s="159">
        <v>0</v>
      </c>
      <c r="I887" s="159">
        <v>103593.1</v>
      </c>
      <c r="J887" s="159">
        <v>47.4</v>
      </c>
      <c r="K887" t="str">
        <f>VLOOKUP($C887,Lists!$C$3:$M$118,7,FALSE)</f>
        <v>SOBO_RGB</v>
      </c>
      <c r="S887" s="4"/>
      <c r="T887" s="4"/>
      <c r="U887" s="5"/>
      <c r="V887" s="5"/>
    </row>
    <row r="888" spans="1:22" x14ac:dyDescent="0.25">
      <c r="A888" s="158" t="s">
        <v>580</v>
      </c>
      <c r="B888" s="158" t="s">
        <v>581</v>
      </c>
      <c r="C888" s="158" t="s">
        <v>45</v>
      </c>
      <c r="D888" s="158" t="s">
        <v>46</v>
      </c>
      <c r="E888" s="157">
        <v>-2</v>
      </c>
      <c r="F888" s="158" t="s">
        <v>525</v>
      </c>
      <c r="G888" s="159">
        <v>-8065.42</v>
      </c>
      <c r="H888" s="159">
        <v>0</v>
      </c>
      <c r="I888" s="159">
        <v>-4048.3</v>
      </c>
      <c r="J888" s="159">
        <v>50.2</v>
      </c>
      <c r="K888" t="str">
        <f>VLOOKUP($C888,Lists!$C$3:$M$118,7,FALSE)</f>
        <v>SOBO_RGB</v>
      </c>
      <c r="S888" s="4"/>
      <c r="T888" s="4"/>
      <c r="U888" s="5"/>
      <c r="V888" s="5"/>
    </row>
    <row r="889" spans="1:22" x14ac:dyDescent="0.25">
      <c r="A889" s="158" t="s">
        <v>580</v>
      </c>
      <c r="B889" s="158" t="s">
        <v>581</v>
      </c>
      <c r="C889" s="158" t="s">
        <v>47</v>
      </c>
      <c r="D889" s="158" t="s">
        <v>48</v>
      </c>
      <c r="E889" s="157">
        <v>143</v>
      </c>
      <c r="F889" s="158" t="s">
        <v>525</v>
      </c>
      <c r="G889" s="159">
        <v>576677.53</v>
      </c>
      <c r="H889" s="159">
        <v>0</v>
      </c>
      <c r="I889" s="159">
        <v>257687.43</v>
      </c>
      <c r="J889" s="159">
        <v>44.7</v>
      </c>
      <c r="K889" t="str">
        <f>VLOOKUP($C889,Lists!$C$3:$M$118,7,FALSE)</f>
        <v>COKE_RGB</v>
      </c>
      <c r="S889" s="4"/>
      <c r="T889" s="4"/>
      <c r="U889" s="5"/>
      <c r="V889" s="5"/>
    </row>
    <row r="890" spans="1:22" x14ac:dyDescent="0.25">
      <c r="A890" s="158" t="s">
        <v>580</v>
      </c>
      <c r="B890" s="158" t="s">
        <v>581</v>
      </c>
      <c r="C890" s="158" t="s">
        <v>68</v>
      </c>
      <c r="D890" s="158" t="s">
        <v>534</v>
      </c>
      <c r="E890" s="157">
        <v>-2</v>
      </c>
      <c r="F890" s="158" t="s">
        <v>525</v>
      </c>
      <c r="G890" s="159">
        <v>-5754.38</v>
      </c>
      <c r="H890" s="159">
        <v>0</v>
      </c>
      <c r="I890" s="159">
        <v>-2859.7</v>
      </c>
      <c r="J890" s="159">
        <v>49.7</v>
      </c>
      <c r="K890" t="str">
        <f>VLOOKUP($C890,Lists!$C$3:$M$118,7,FALSE)</f>
        <v>COKE_PET</v>
      </c>
      <c r="S890" s="4"/>
      <c r="T890" s="4"/>
      <c r="U890" s="5"/>
      <c r="V890" s="5"/>
    </row>
    <row r="891" spans="1:22" x14ac:dyDescent="0.25">
      <c r="A891" s="158" t="s">
        <v>580</v>
      </c>
      <c r="B891" s="158" t="s">
        <v>581</v>
      </c>
      <c r="C891" s="158" t="s">
        <v>65</v>
      </c>
      <c r="D891" s="158" t="s">
        <v>66</v>
      </c>
      <c r="E891" s="157">
        <v>225.25</v>
      </c>
      <c r="F891" s="158" t="s">
        <v>525</v>
      </c>
      <c r="G891" s="159">
        <v>1129295.3799999999</v>
      </c>
      <c r="H891" s="159">
        <v>0</v>
      </c>
      <c r="I891" s="159">
        <v>220398.12</v>
      </c>
      <c r="J891" s="159">
        <v>19.5</v>
      </c>
      <c r="K891" t="str">
        <f>VLOOKUP($C891,Lists!$C$3:$M$118,7,FALSE)</f>
        <v>Squash</v>
      </c>
      <c r="S891" s="4"/>
      <c r="T891" s="4"/>
      <c r="U891" s="5"/>
      <c r="V891" s="5"/>
    </row>
    <row r="892" spans="1:22" x14ac:dyDescent="0.25">
      <c r="A892" s="158" t="s">
        <v>580</v>
      </c>
      <c r="B892" s="158" t="s">
        <v>581</v>
      </c>
      <c r="C892" s="158" t="s">
        <v>49</v>
      </c>
      <c r="D892" s="158" t="s">
        <v>50</v>
      </c>
      <c r="E892" s="157">
        <v>140</v>
      </c>
      <c r="F892" s="158" t="s">
        <v>525</v>
      </c>
      <c r="G892" s="159">
        <v>1403833.2</v>
      </c>
      <c r="H892" s="159">
        <v>0</v>
      </c>
      <c r="I892" s="159">
        <v>447120.8</v>
      </c>
      <c r="J892" s="159">
        <v>31.8</v>
      </c>
      <c r="K892" t="str">
        <f>VLOOKUP($C892,Lists!$C$3:$M$118,7,FALSE)</f>
        <v>Squash</v>
      </c>
      <c r="S892" s="4"/>
      <c r="T892" s="4"/>
      <c r="U892" s="5"/>
      <c r="V892" s="5"/>
    </row>
    <row r="893" spans="1:22" x14ac:dyDescent="0.25">
      <c r="A893" s="158" t="s">
        <v>580</v>
      </c>
      <c r="B893" s="158" t="s">
        <v>581</v>
      </c>
      <c r="C893" s="158" t="s">
        <v>51</v>
      </c>
      <c r="D893" s="158" t="s">
        <v>52</v>
      </c>
      <c r="E893" s="157">
        <v>213</v>
      </c>
      <c r="F893" s="158" t="s">
        <v>525</v>
      </c>
      <c r="G893" s="159">
        <v>2135831.94</v>
      </c>
      <c r="H893" s="159">
        <v>0</v>
      </c>
      <c r="I893" s="159">
        <v>674577.39</v>
      </c>
      <c r="J893" s="159">
        <v>31.6</v>
      </c>
      <c r="K893" t="str">
        <f>VLOOKUP($C893,Lists!$C$3:$M$118,7,FALSE)</f>
        <v>Squash</v>
      </c>
      <c r="S893" s="4"/>
      <c r="T893" s="4"/>
      <c r="U893" s="5"/>
      <c r="V893" s="5"/>
    </row>
    <row r="894" spans="1:22" x14ac:dyDescent="0.25">
      <c r="A894" s="158" t="s">
        <v>580</v>
      </c>
      <c r="B894" s="158" t="s">
        <v>581</v>
      </c>
      <c r="C894" s="158" t="s">
        <v>26</v>
      </c>
      <c r="D894" s="158" t="s">
        <v>27</v>
      </c>
      <c r="E894" s="157">
        <v>-3</v>
      </c>
      <c r="F894" s="158" t="s">
        <v>525</v>
      </c>
      <c r="G894" s="159">
        <v>-6547.2</v>
      </c>
      <c r="H894" s="159">
        <v>0</v>
      </c>
      <c r="I894" s="159">
        <v>-2886.48</v>
      </c>
      <c r="J894" s="159">
        <v>44.1</v>
      </c>
      <c r="K894" t="str">
        <f>VLOOKUP($C894,Lists!$C$3:$M$118,7,FALSE)</f>
        <v>Water</v>
      </c>
      <c r="S894" s="4"/>
      <c r="T894" s="4"/>
      <c r="U894" s="5"/>
      <c r="V894" s="5"/>
    </row>
    <row r="895" spans="1:22" x14ac:dyDescent="0.25">
      <c r="A895" s="158" t="s">
        <v>582</v>
      </c>
      <c r="B895" s="158" t="s">
        <v>583</v>
      </c>
      <c r="C895" s="158" t="s">
        <v>12</v>
      </c>
      <c r="D895" s="158" t="s">
        <v>13</v>
      </c>
      <c r="E895" s="157">
        <v>-1</v>
      </c>
      <c r="F895" s="158" t="s">
        <v>525</v>
      </c>
      <c r="G895" s="159">
        <v>-6559.24</v>
      </c>
      <c r="H895" s="159">
        <v>0</v>
      </c>
      <c r="I895" s="159">
        <v>-2934.99</v>
      </c>
      <c r="J895" s="159">
        <v>44.7</v>
      </c>
      <c r="K895" t="str">
        <f>VLOOKUP($C895,Lists!$C$3:$M$118,7,FALSE)</f>
        <v>Beers</v>
      </c>
      <c r="S895" s="4"/>
      <c r="T895" s="4"/>
      <c r="U895" s="5"/>
      <c r="V895" s="5"/>
    </row>
    <row r="896" spans="1:22" x14ac:dyDescent="0.25">
      <c r="A896" s="158" t="s">
        <v>582</v>
      </c>
      <c r="B896" s="158" t="s">
        <v>583</v>
      </c>
      <c r="C896" s="158" t="s">
        <v>20</v>
      </c>
      <c r="D896" s="158" t="s">
        <v>21</v>
      </c>
      <c r="E896" s="157">
        <v>-73</v>
      </c>
      <c r="F896" s="158" t="s">
        <v>525</v>
      </c>
      <c r="G896" s="159">
        <v>-294387.83</v>
      </c>
      <c r="H896" s="159">
        <v>0</v>
      </c>
      <c r="I896" s="159">
        <v>-126874.73</v>
      </c>
      <c r="J896" s="159">
        <v>43.1</v>
      </c>
      <c r="K896" t="str">
        <f>VLOOKUP($C896,Lists!$C$3:$M$118,7,FALSE)</f>
        <v>COKE_RGB</v>
      </c>
      <c r="S896" s="4"/>
      <c r="T896" s="4"/>
      <c r="U896" s="5"/>
      <c r="V896" s="5"/>
    </row>
    <row r="897" spans="1:22" x14ac:dyDescent="0.25">
      <c r="A897" s="158" t="s">
        <v>582</v>
      </c>
      <c r="B897" s="158" t="s">
        <v>583</v>
      </c>
      <c r="C897" s="158" t="s">
        <v>22</v>
      </c>
      <c r="D897" s="158" t="s">
        <v>23</v>
      </c>
      <c r="E897" s="157">
        <v>-1</v>
      </c>
      <c r="F897" s="158" t="s">
        <v>525</v>
      </c>
      <c r="G897" s="159">
        <v>-4032.71</v>
      </c>
      <c r="H897" s="159">
        <v>0</v>
      </c>
      <c r="I897" s="159">
        <v>-1669.24</v>
      </c>
      <c r="J897" s="159">
        <v>41.4</v>
      </c>
      <c r="K897" t="str">
        <f>VLOOKUP($C897,Lists!$C$3:$M$118,7,FALSE)</f>
        <v>COKE_RGB</v>
      </c>
      <c r="S897" s="4"/>
      <c r="T897" s="4"/>
      <c r="U897" s="5"/>
      <c r="V897" s="5"/>
    </row>
    <row r="898" spans="1:22" x14ac:dyDescent="0.25">
      <c r="A898" s="158" t="s">
        <v>582</v>
      </c>
      <c r="B898" s="158" t="s">
        <v>583</v>
      </c>
      <c r="C898" s="158" t="s">
        <v>261</v>
      </c>
      <c r="D898" s="158" t="s">
        <v>538</v>
      </c>
      <c r="E898" s="157">
        <v>-1</v>
      </c>
      <c r="F898" s="158" t="s">
        <v>525</v>
      </c>
      <c r="G898" s="159">
        <v>-4032.71</v>
      </c>
      <c r="H898" s="159">
        <v>0</v>
      </c>
      <c r="I898" s="159">
        <v>-1669.24</v>
      </c>
      <c r="J898" s="159">
        <v>41.4</v>
      </c>
      <c r="K898" t="str">
        <f>VLOOKUP($C898,Lists!$C$3:$M$118,7,FALSE)</f>
        <v>COKE_RGB</v>
      </c>
      <c r="S898" s="4"/>
      <c r="T898" s="4"/>
      <c r="U898" s="5"/>
      <c r="V898" s="5"/>
    </row>
    <row r="899" spans="1:22" x14ac:dyDescent="0.25">
      <c r="A899" s="158" t="s">
        <v>582</v>
      </c>
      <c r="B899" s="158" t="s">
        <v>583</v>
      </c>
      <c r="C899" s="158" t="s">
        <v>37</v>
      </c>
      <c r="D899" s="158" t="s">
        <v>38</v>
      </c>
      <c r="E899" s="157">
        <v>-73</v>
      </c>
      <c r="F899" s="158" t="s">
        <v>525</v>
      </c>
      <c r="G899" s="159">
        <v>-245323.07</v>
      </c>
      <c r="H899" s="159">
        <v>0</v>
      </c>
      <c r="I899" s="159">
        <v>-117340.2</v>
      </c>
      <c r="J899" s="159">
        <v>47.8</v>
      </c>
      <c r="K899" t="str">
        <f>VLOOKUP($C899,Lists!$C$3:$M$118,7,FALSE)</f>
        <v>SOBO_RGB</v>
      </c>
      <c r="S899" s="4"/>
      <c r="T899" s="4"/>
      <c r="U899" s="5"/>
      <c r="V899" s="5"/>
    </row>
    <row r="900" spans="1:22" x14ac:dyDescent="0.25">
      <c r="A900" s="158" t="s">
        <v>582</v>
      </c>
      <c r="B900" s="158" t="s">
        <v>583</v>
      </c>
      <c r="C900" s="158" t="s">
        <v>39</v>
      </c>
      <c r="D900" s="158" t="s">
        <v>40</v>
      </c>
      <c r="E900" s="157">
        <v>-2</v>
      </c>
      <c r="F900" s="158" t="s">
        <v>525</v>
      </c>
      <c r="G900" s="159">
        <v>-6721.18</v>
      </c>
      <c r="H900" s="159">
        <v>0</v>
      </c>
      <c r="I900" s="159">
        <v>-3187.48</v>
      </c>
      <c r="J900" s="159">
        <v>47.4</v>
      </c>
      <c r="K900" t="str">
        <f>VLOOKUP($C900,Lists!$C$3:$M$118,7,FALSE)</f>
        <v>SOBO_RGB</v>
      </c>
      <c r="S900" s="4"/>
      <c r="T900" s="4"/>
      <c r="U900" s="5"/>
      <c r="V900" s="5"/>
    </row>
    <row r="901" spans="1:22" x14ac:dyDescent="0.25">
      <c r="A901" s="158" t="s">
        <v>582</v>
      </c>
      <c r="B901" s="158" t="s">
        <v>583</v>
      </c>
      <c r="C901" s="158" t="s">
        <v>47</v>
      </c>
      <c r="D901" s="158" t="s">
        <v>48</v>
      </c>
      <c r="E901" s="157">
        <v>-1</v>
      </c>
      <c r="F901" s="158" t="s">
        <v>525</v>
      </c>
      <c r="G901" s="159">
        <v>-4032.71</v>
      </c>
      <c r="H901" s="159">
        <v>0</v>
      </c>
      <c r="I901" s="159">
        <v>-1802.01</v>
      </c>
      <c r="J901" s="159">
        <v>44.7</v>
      </c>
      <c r="K901" t="str">
        <f>VLOOKUP($C901,Lists!$C$3:$M$118,7,FALSE)</f>
        <v>COKE_RGB</v>
      </c>
      <c r="S901" s="4"/>
      <c r="T901" s="4"/>
      <c r="U901" s="5"/>
      <c r="V901" s="5"/>
    </row>
    <row r="902" spans="1:22" x14ac:dyDescent="0.25">
      <c r="A902" s="158" t="s">
        <v>582</v>
      </c>
      <c r="B902" s="158" t="s">
        <v>583</v>
      </c>
      <c r="C902" s="158" t="s">
        <v>49</v>
      </c>
      <c r="D902" s="158" t="s">
        <v>50</v>
      </c>
      <c r="E902" s="157">
        <v>-1</v>
      </c>
      <c r="F902" s="158" t="s">
        <v>525</v>
      </c>
      <c r="G902" s="159">
        <v>-10027.379999999999</v>
      </c>
      <c r="H902" s="159">
        <v>0</v>
      </c>
      <c r="I902" s="159">
        <v>-3193.72</v>
      </c>
      <c r="J902" s="159">
        <v>31.8</v>
      </c>
      <c r="K902" t="str">
        <f>VLOOKUP($C902,Lists!$C$3:$M$118,7,FALSE)</f>
        <v>Squash</v>
      </c>
      <c r="S902" s="4"/>
      <c r="T902" s="4"/>
      <c r="U902" s="5"/>
      <c r="V902" s="5"/>
    </row>
    <row r="903" spans="1:22" x14ac:dyDescent="0.25">
      <c r="A903" s="158" t="s">
        <v>584</v>
      </c>
      <c r="B903" s="158" t="s">
        <v>585</v>
      </c>
      <c r="C903" s="158" t="s">
        <v>12</v>
      </c>
      <c r="D903" s="158" t="s">
        <v>13</v>
      </c>
      <c r="E903" s="157">
        <v>432</v>
      </c>
      <c r="F903" s="158" t="s">
        <v>525</v>
      </c>
      <c r="G903" s="159">
        <v>2833591.68</v>
      </c>
      <c r="H903" s="159">
        <v>0</v>
      </c>
      <c r="I903" s="159">
        <v>1267915.68</v>
      </c>
      <c r="J903" s="159">
        <v>44.7</v>
      </c>
      <c r="K903" t="str">
        <f>VLOOKUP($C903,Lists!$C$3:$M$118,7,FALSE)</f>
        <v>Beers</v>
      </c>
      <c r="S903" s="4"/>
      <c r="T903" s="4"/>
      <c r="U903" s="5"/>
      <c r="V903" s="5"/>
    </row>
    <row r="904" spans="1:22" x14ac:dyDescent="0.25">
      <c r="A904" s="158" t="s">
        <v>584</v>
      </c>
      <c r="B904" s="158" t="s">
        <v>585</v>
      </c>
      <c r="C904" s="158" t="s">
        <v>14</v>
      </c>
      <c r="D904" s="158" t="s">
        <v>15</v>
      </c>
      <c r="E904" s="157">
        <v>504</v>
      </c>
      <c r="F904" s="158" t="s">
        <v>525</v>
      </c>
      <c r="G904" s="159">
        <v>3967024.32</v>
      </c>
      <c r="H904" s="159">
        <v>0</v>
      </c>
      <c r="I904" s="159">
        <v>1996192.8</v>
      </c>
      <c r="J904" s="159">
        <v>50.3</v>
      </c>
      <c r="K904" t="str">
        <f>VLOOKUP($C904,Lists!$C$3:$M$118,7,FALSE)</f>
        <v>Beers</v>
      </c>
      <c r="S904" s="4"/>
      <c r="T904" s="4"/>
      <c r="U904" s="5"/>
      <c r="V904" s="5"/>
    </row>
    <row r="905" spans="1:22" x14ac:dyDescent="0.25">
      <c r="A905" s="158" t="s">
        <v>584</v>
      </c>
      <c r="B905" s="158" t="s">
        <v>585</v>
      </c>
      <c r="C905" s="158" t="s">
        <v>16</v>
      </c>
      <c r="D905" s="158" t="s">
        <v>17</v>
      </c>
      <c r="E905" s="157">
        <v>504</v>
      </c>
      <c r="F905" s="158" t="s">
        <v>525</v>
      </c>
      <c r="G905" s="159">
        <v>3967024.32</v>
      </c>
      <c r="H905" s="159">
        <v>0</v>
      </c>
      <c r="I905" s="159">
        <v>1996192.8</v>
      </c>
      <c r="J905" s="159">
        <v>50.3</v>
      </c>
      <c r="K905" t="str">
        <f>VLOOKUP($C905,Lists!$C$3:$M$118,7,FALSE)</f>
        <v>Beers</v>
      </c>
      <c r="S905" s="4"/>
      <c r="T905" s="4"/>
      <c r="U905" s="5"/>
      <c r="V905" s="5"/>
    </row>
    <row r="906" spans="1:22" x14ac:dyDescent="0.25">
      <c r="A906" s="158" t="s">
        <v>584</v>
      </c>
      <c r="B906" s="158" t="s">
        <v>585</v>
      </c>
      <c r="C906" s="158" t="s">
        <v>18</v>
      </c>
      <c r="D906" s="158" t="s">
        <v>19</v>
      </c>
      <c r="E906" s="157">
        <v>144</v>
      </c>
      <c r="F906" s="158" t="s">
        <v>525</v>
      </c>
      <c r="G906" s="159">
        <v>1511246.88</v>
      </c>
      <c r="H906" s="159">
        <v>0</v>
      </c>
      <c r="I906" s="159">
        <v>797078.88</v>
      </c>
      <c r="J906" s="159">
        <v>52.7</v>
      </c>
      <c r="K906" t="str">
        <f>VLOOKUP($C906,Lists!$C$3:$M$118,7,FALSE)</f>
        <v>Beers</v>
      </c>
      <c r="S906" s="4"/>
      <c r="T906" s="4"/>
      <c r="U906" s="5"/>
      <c r="V906" s="5"/>
    </row>
    <row r="907" spans="1:22" x14ac:dyDescent="0.25">
      <c r="A907" s="158" t="s">
        <v>584</v>
      </c>
      <c r="B907" s="158" t="s">
        <v>585</v>
      </c>
      <c r="C907" s="158" t="s">
        <v>20</v>
      </c>
      <c r="D907" s="158" t="s">
        <v>21</v>
      </c>
      <c r="E907" s="157">
        <v>360</v>
      </c>
      <c r="F907" s="158" t="s">
        <v>525</v>
      </c>
      <c r="G907" s="159">
        <v>1451775.6</v>
      </c>
      <c r="H907" s="159">
        <v>0</v>
      </c>
      <c r="I907" s="159">
        <v>625683.6</v>
      </c>
      <c r="J907" s="159">
        <v>43.1</v>
      </c>
      <c r="K907" t="str">
        <f>VLOOKUP($C907,Lists!$C$3:$M$118,7,FALSE)</f>
        <v>COKE_RGB</v>
      </c>
      <c r="S907" s="4"/>
      <c r="T907" s="4"/>
      <c r="U907" s="5"/>
      <c r="V907" s="5"/>
    </row>
    <row r="908" spans="1:22" x14ac:dyDescent="0.25">
      <c r="A908" s="158" t="s">
        <v>584</v>
      </c>
      <c r="B908" s="158" t="s">
        <v>585</v>
      </c>
      <c r="C908" s="158" t="s">
        <v>28</v>
      </c>
      <c r="D908" s="158" t="s">
        <v>530</v>
      </c>
      <c r="E908" s="157">
        <v>144</v>
      </c>
      <c r="F908" s="158" t="s">
        <v>525</v>
      </c>
      <c r="G908" s="159">
        <v>414315.36</v>
      </c>
      <c r="H908" s="159">
        <v>0</v>
      </c>
      <c r="I908" s="159">
        <v>212852.16</v>
      </c>
      <c r="J908" s="159">
        <v>51.4</v>
      </c>
      <c r="K908" t="str">
        <f>VLOOKUP($C908,Lists!$C$3:$M$118,7,FALSE)</f>
        <v>COKE_PET</v>
      </c>
      <c r="S908" s="4"/>
      <c r="T908" s="4"/>
      <c r="U908" s="5"/>
      <c r="V908" s="5"/>
    </row>
    <row r="909" spans="1:22" x14ac:dyDescent="0.25">
      <c r="A909" s="158" t="s">
        <v>584</v>
      </c>
      <c r="B909" s="158" t="s">
        <v>585</v>
      </c>
      <c r="C909" s="158" t="s">
        <v>59</v>
      </c>
      <c r="D909" s="158" t="s">
        <v>60</v>
      </c>
      <c r="E909" s="157">
        <v>72</v>
      </c>
      <c r="F909" s="158" t="s">
        <v>525</v>
      </c>
      <c r="G909" s="159">
        <v>290355.12</v>
      </c>
      <c r="H909" s="159">
        <v>0</v>
      </c>
      <c r="I909" s="159">
        <v>121410.72</v>
      </c>
      <c r="J909" s="159">
        <v>41.8</v>
      </c>
      <c r="K909" t="str">
        <f>VLOOKUP($C909,Lists!$C$3:$M$118,7,FALSE)</f>
        <v>COKE_RGB</v>
      </c>
      <c r="S909" s="4"/>
      <c r="T909" s="4"/>
      <c r="U909" s="5"/>
      <c r="V909" s="5"/>
    </row>
    <row r="910" spans="1:22" x14ac:dyDescent="0.25">
      <c r="A910" s="158" t="s">
        <v>584</v>
      </c>
      <c r="B910" s="158" t="s">
        <v>585</v>
      </c>
      <c r="C910" s="158" t="s">
        <v>22</v>
      </c>
      <c r="D910" s="158" t="s">
        <v>23</v>
      </c>
      <c r="E910" s="157">
        <v>144</v>
      </c>
      <c r="F910" s="158" t="s">
        <v>525</v>
      </c>
      <c r="G910" s="159">
        <v>580710.24</v>
      </c>
      <c r="H910" s="159">
        <v>0</v>
      </c>
      <c r="I910" s="159">
        <v>240370.56</v>
      </c>
      <c r="J910" s="159">
        <v>41.4</v>
      </c>
      <c r="K910" t="str">
        <f>VLOOKUP($C910,Lists!$C$3:$M$118,7,FALSE)</f>
        <v>COKE_RGB</v>
      </c>
      <c r="S910" s="4"/>
      <c r="T910" s="4"/>
      <c r="U910" s="5"/>
      <c r="V910" s="5"/>
    </row>
    <row r="911" spans="1:22" x14ac:dyDescent="0.25">
      <c r="A911" s="158" t="s">
        <v>584</v>
      </c>
      <c r="B911" s="158" t="s">
        <v>585</v>
      </c>
      <c r="C911" s="158" t="s">
        <v>261</v>
      </c>
      <c r="D911" s="158" t="s">
        <v>538</v>
      </c>
      <c r="E911" s="157">
        <v>144</v>
      </c>
      <c r="F911" s="158" t="s">
        <v>525</v>
      </c>
      <c r="G911" s="159">
        <v>580710.24</v>
      </c>
      <c r="H911" s="159">
        <v>0</v>
      </c>
      <c r="I911" s="159">
        <v>240370.56</v>
      </c>
      <c r="J911" s="159">
        <v>41.4</v>
      </c>
      <c r="K911" t="str">
        <f>VLOOKUP($C911,Lists!$C$3:$M$118,7,FALSE)</f>
        <v>COKE_RGB</v>
      </c>
      <c r="S911" s="4"/>
      <c r="T911" s="4"/>
      <c r="U911" s="5"/>
      <c r="V911" s="5"/>
    </row>
    <row r="912" spans="1:22" x14ac:dyDescent="0.25">
      <c r="A912" s="158" t="s">
        <v>584</v>
      </c>
      <c r="B912" s="158" t="s">
        <v>585</v>
      </c>
      <c r="C912" s="158" t="s">
        <v>29</v>
      </c>
      <c r="D912" s="158" t="s">
        <v>30</v>
      </c>
      <c r="E912" s="157">
        <v>204</v>
      </c>
      <c r="F912" s="158" t="s">
        <v>525</v>
      </c>
      <c r="G912" s="159">
        <v>7562461.5599999996</v>
      </c>
      <c r="H912" s="159">
        <v>0</v>
      </c>
      <c r="I912" s="159">
        <v>2258461.56</v>
      </c>
      <c r="J912" s="159">
        <v>29.9</v>
      </c>
      <c r="K912" t="str">
        <f>VLOOKUP($C912,Lists!$C$3:$M$118,7,FALSE)</f>
        <v>Spirits</v>
      </c>
      <c r="S912" s="4"/>
      <c r="T912" s="4"/>
      <c r="U912" s="5"/>
      <c r="V912" s="5"/>
    </row>
    <row r="913" spans="1:22" x14ac:dyDescent="0.25">
      <c r="A913" s="158" t="s">
        <v>584</v>
      </c>
      <c r="B913" s="158" t="s">
        <v>585</v>
      </c>
      <c r="C913" s="158" t="s">
        <v>31</v>
      </c>
      <c r="D913" s="158" t="s">
        <v>32</v>
      </c>
      <c r="E913" s="157">
        <v>6</v>
      </c>
      <c r="F913" s="158" t="s">
        <v>525</v>
      </c>
      <c r="G913" s="159">
        <v>208807.44</v>
      </c>
      <c r="H913" s="159">
        <v>0</v>
      </c>
      <c r="I913" s="159">
        <v>64807.44</v>
      </c>
      <c r="J913" s="159">
        <v>31</v>
      </c>
      <c r="K913" t="str">
        <f>VLOOKUP($C913,Lists!$C$3:$M$118,7,FALSE)</f>
        <v>Spirits</v>
      </c>
      <c r="S913" s="4"/>
      <c r="T913" s="4"/>
      <c r="U913" s="5"/>
      <c r="V913" s="5"/>
    </row>
    <row r="914" spans="1:22" x14ac:dyDescent="0.25">
      <c r="A914" s="158" t="s">
        <v>584</v>
      </c>
      <c r="B914" s="158" t="s">
        <v>585</v>
      </c>
      <c r="C914" s="158" t="s">
        <v>33</v>
      </c>
      <c r="D914" s="158" t="s">
        <v>34</v>
      </c>
      <c r="E914" s="157">
        <v>17</v>
      </c>
      <c r="F914" s="158" t="s">
        <v>525</v>
      </c>
      <c r="G914" s="159">
        <v>964599.72</v>
      </c>
      <c r="H914" s="159">
        <v>0</v>
      </c>
      <c r="I914" s="159">
        <v>199599.72</v>
      </c>
      <c r="J914" s="159">
        <v>20.7</v>
      </c>
      <c r="K914" t="str">
        <f>VLOOKUP($C914,Lists!$C$3:$M$118,7,FALSE)</f>
        <v>Spirits</v>
      </c>
      <c r="S914" s="4"/>
      <c r="T914" s="4"/>
      <c r="U914" s="5"/>
      <c r="V914" s="5"/>
    </row>
    <row r="915" spans="1:22" x14ac:dyDescent="0.25">
      <c r="A915" s="158" t="s">
        <v>584</v>
      </c>
      <c r="B915" s="158" t="s">
        <v>585</v>
      </c>
      <c r="C915" s="158" t="s">
        <v>37</v>
      </c>
      <c r="D915" s="158" t="s">
        <v>38</v>
      </c>
      <c r="E915" s="157">
        <v>216</v>
      </c>
      <c r="F915" s="158" t="s">
        <v>525</v>
      </c>
      <c r="G915" s="159">
        <v>725887.44</v>
      </c>
      <c r="H915" s="159">
        <v>0</v>
      </c>
      <c r="I915" s="159">
        <v>347198.4</v>
      </c>
      <c r="J915" s="159">
        <v>47.8</v>
      </c>
      <c r="K915" t="str">
        <f>VLOOKUP($C915,Lists!$C$3:$M$118,7,FALSE)</f>
        <v>SOBO_RGB</v>
      </c>
      <c r="S915" s="4"/>
      <c r="T915" s="4"/>
      <c r="U915" s="5"/>
      <c r="V915" s="5"/>
    </row>
    <row r="916" spans="1:22" x14ac:dyDescent="0.25">
      <c r="A916" s="158" t="s">
        <v>584</v>
      </c>
      <c r="B916" s="158" t="s">
        <v>585</v>
      </c>
      <c r="C916" s="158" t="s">
        <v>39</v>
      </c>
      <c r="D916" s="158" t="s">
        <v>40</v>
      </c>
      <c r="E916" s="157">
        <v>288</v>
      </c>
      <c r="F916" s="158" t="s">
        <v>525</v>
      </c>
      <c r="G916" s="159">
        <v>967849.92</v>
      </c>
      <c r="H916" s="159">
        <v>0</v>
      </c>
      <c r="I916" s="159">
        <v>458997.12</v>
      </c>
      <c r="J916" s="159">
        <v>47.4</v>
      </c>
      <c r="K916" t="str">
        <f>VLOOKUP($C916,Lists!$C$3:$M$118,7,FALSE)</f>
        <v>SOBO_RGB</v>
      </c>
      <c r="S916" s="4"/>
      <c r="T916" s="4"/>
      <c r="U916" s="5"/>
      <c r="V916" s="5"/>
    </row>
    <row r="917" spans="1:22" x14ac:dyDescent="0.25">
      <c r="A917" s="158" t="s">
        <v>584</v>
      </c>
      <c r="B917" s="158" t="s">
        <v>585</v>
      </c>
      <c r="C917" s="158" t="s">
        <v>47</v>
      </c>
      <c r="D917" s="158" t="s">
        <v>48</v>
      </c>
      <c r="E917" s="157">
        <v>216</v>
      </c>
      <c r="F917" s="158" t="s">
        <v>525</v>
      </c>
      <c r="G917" s="159">
        <v>871065.36</v>
      </c>
      <c r="H917" s="159">
        <v>0</v>
      </c>
      <c r="I917" s="159">
        <v>389234.16</v>
      </c>
      <c r="J917" s="159">
        <v>44.7</v>
      </c>
      <c r="K917" t="str">
        <f>VLOOKUP($C917,Lists!$C$3:$M$118,7,FALSE)</f>
        <v>COKE_RGB</v>
      </c>
      <c r="S917" s="4"/>
      <c r="T917" s="4"/>
      <c r="U917" s="5"/>
      <c r="V917" s="5"/>
    </row>
    <row r="918" spans="1:22" x14ac:dyDescent="0.25">
      <c r="A918" s="158" t="s">
        <v>584</v>
      </c>
      <c r="B918" s="158" t="s">
        <v>585</v>
      </c>
      <c r="C918" s="158" t="s">
        <v>49</v>
      </c>
      <c r="D918" s="158" t="s">
        <v>50</v>
      </c>
      <c r="E918" s="157">
        <v>432</v>
      </c>
      <c r="F918" s="158" t="s">
        <v>525</v>
      </c>
      <c r="G918" s="159">
        <v>4331828.16</v>
      </c>
      <c r="H918" s="159">
        <v>0</v>
      </c>
      <c r="I918" s="159">
        <v>1379687.04</v>
      </c>
      <c r="J918" s="159">
        <v>31.8</v>
      </c>
      <c r="K918" t="str">
        <f>VLOOKUP($C918,Lists!$C$3:$M$118,7,FALSE)</f>
        <v>Squash</v>
      </c>
      <c r="S918" s="4"/>
      <c r="T918" s="4"/>
      <c r="U918" s="5"/>
      <c r="V918" s="5"/>
    </row>
    <row r="919" spans="1:22" x14ac:dyDescent="0.25">
      <c r="A919" s="158" t="s">
        <v>584</v>
      </c>
      <c r="B919" s="158" t="s">
        <v>585</v>
      </c>
      <c r="C919" s="158" t="s">
        <v>51</v>
      </c>
      <c r="D919" s="158" t="s">
        <v>52</v>
      </c>
      <c r="E919" s="157">
        <v>864</v>
      </c>
      <c r="F919" s="158" t="s">
        <v>525</v>
      </c>
      <c r="G919" s="159">
        <v>8663656.3200000003</v>
      </c>
      <c r="H919" s="159">
        <v>0</v>
      </c>
      <c r="I919" s="159">
        <v>2736313.92</v>
      </c>
      <c r="J919" s="159">
        <v>31.6</v>
      </c>
      <c r="K919" t="str">
        <f>VLOOKUP($C919,Lists!$C$3:$M$118,7,FALSE)</f>
        <v>Squash</v>
      </c>
      <c r="S919" s="4"/>
      <c r="T919" s="4"/>
      <c r="U919" s="5"/>
      <c r="V919" s="5"/>
    </row>
    <row r="920" spans="1:22" x14ac:dyDescent="0.25">
      <c r="A920" s="158" t="s">
        <v>584</v>
      </c>
      <c r="B920" s="158" t="s">
        <v>585</v>
      </c>
      <c r="C920" s="158" t="s">
        <v>26</v>
      </c>
      <c r="D920" s="158" t="s">
        <v>27</v>
      </c>
      <c r="E920" s="157">
        <v>288</v>
      </c>
      <c r="F920" s="158" t="s">
        <v>525</v>
      </c>
      <c r="G920" s="159">
        <v>628531.19999999995</v>
      </c>
      <c r="H920" s="159">
        <v>0</v>
      </c>
      <c r="I920" s="159">
        <v>277102.08000000002</v>
      </c>
      <c r="J920" s="159">
        <v>44.1</v>
      </c>
      <c r="K920" t="str">
        <f>VLOOKUP($C920,Lists!$C$3:$M$118,7,FALSE)</f>
        <v>Water</v>
      </c>
      <c r="S920" s="4"/>
      <c r="T920" s="4"/>
      <c r="U920" s="5"/>
      <c r="V920" s="5"/>
    </row>
    <row r="921" spans="1:22" x14ac:dyDescent="0.25">
      <c r="A921" s="158" t="s">
        <v>586</v>
      </c>
      <c r="B921" s="158" t="s">
        <v>587</v>
      </c>
      <c r="C921" s="158" t="s">
        <v>12</v>
      </c>
      <c r="D921" s="158" t="s">
        <v>13</v>
      </c>
      <c r="E921" s="157">
        <v>432</v>
      </c>
      <c r="F921" s="158" t="s">
        <v>525</v>
      </c>
      <c r="G921" s="159">
        <v>2833591.68</v>
      </c>
      <c r="H921" s="159">
        <v>0</v>
      </c>
      <c r="I921" s="159">
        <v>1267915.68</v>
      </c>
      <c r="J921" s="159">
        <v>44.7</v>
      </c>
      <c r="K921" t="str">
        <f>VLOOKUP($C921,Lists!$C$3:$M$118,7,FALSE)</f>
        <v>Beers</v>
      </c>
      <c r="S921" s="4"/>
      <c r="T921" s="4"/>
      <c r="U921" s="5"/>
      <c r="V921" s="5"/>
    </row>
    <row r="922" spans="1:22" x14ac:dyDescent="0.25">
      <c r="A922" s="158" t="s">
        <v>586</v>
      </c>
      <c r="B922" s="158" t="s">
        <v>587</v>
      </c>
      <c r="C922" s="158" t="s">
        <v>14</v>
      </c>
      <c r="D922" s="158" t="s">
        <v>15</v>
      </c>
      <c r="E922" s="157">
        <v>360</v>
      </c>
      <c r="F922" s="158" t="s">
        <v>525</v>
      </c>
      <c r="G922" s="159">
        <v>2833588.8</v>
      </c>
      <c r="H922" s="159">
        <v>0</v>
      </c>
      <c r="I922" s="159">
        <v>1425852</v>
      </c>
      <c r="J922" s="159">
        <v>50.3</v>
      </c>
      <c r="K922" t="str">
        <f>VLOOKUP($C922,Lists!$C$3:$M$118,7,FALSE)</f>
        <v>Beers</v>
      </c>
      <c r="S922" s="4"/>
      <c r="T922" s="4"/>
      <c r="U922" s="5"/>
      <c r="V922" s="5"/>
    </row>
    <row r="923" spans="1:22" x14ac:dyDescent="0.25">
      <c r="A923" s="158" t="s">
        <v>586</v>
      </c>
      <c r="B923" s="158" t="s">
        <v>587</v>
      </c>
      <c r="C923" s="158" t="s">
        <v>16</v>
      </c>
      <c r="D923" s="158" t="s">
        <v>17</v>
      </c>
      <c r="E923" s="157">
        <v>360</v>
      </c>
      <c r="F923" s="158" t="s">
        <v>525</v>
      </c>
      <c r="G923" s="159">
        <v>2833588.8</v>
      </c>
      <c r="H923" s="159">
        <v>0</v>
      </c>
      <c r="I923" s="159">
        <v>1425852</v>
      </c>
      <c r="J923" s="159">
        <v>50.3</v>
      </c>
      <c r="K923" t="str">
        <f>VLOOKUP($C923,Lists!$C$3:$M$118,7,FALSE)</f>
        <v>Beers</v>
      </c>
      <c r="S923" s="4"/>
      <c r="T923" s="4"/>
      <c r="U923" s="5"/>
      <c r="V923" s="5"/>
    </row>
    <row r="924" spans="1:22" x14ac:dyDescent="0.25">
      <c r="A924" s="158" t="s">
        <v>586</v>
      </c>
      <c r="B924" s="158" t="s">
        <v>587</v>
      </c>
      <c r="C924" s="158" t="s">
        <v>18</v>
      </c>
      <c r="D924" s="158" t="s">
        <v>19</v>
      </c>
      <c r="E924" s="157">
        <v>216</v>
      </c>
      <c r="F924" s="158" t="s">
        <v>525</v>
      </c>
      <c r="G924" s="159">
        <v>2266870.3199999998</v>
      </c>
      <c r="H924" s="159">
        <v>0</v>
      </c>
      <c r="I924" s="159">
        <v>1195618.32</v>
      </c>
      <c r="J924" s="159">
        <v>52.7</v>
      </c>
      <c r="K924" t="str">
        <f>VLOOKUP($C924,Lists!$C$3:$M$118,7,FALSE)</f>
        <v>Beers</v>
      </c>
      <c r="S924" s="4"/>
      <c r="T924" s="4"/>
      <c r="U924" s="5"/>
      <c r="V924" s="5"/>
    </row>
    <row r="925" spans="1:22" x14ac:dyDescent="0.25">
      <c r="A925" s="158" t="s">
        <v>586</v>
      </c>
      <c r="B925" s="158" t="s">
        <v>587</v>
      </c>
      <c r="C925" s="158" t="s">
        <v>20</v>
      </c>
      <c r="D925" s="158" t="s">
        <v>21</v>
      </c>
      <c r="E925" s="157">
        <v>936</v>
      </c>
      <c r="F925" s="158" t="s">
        <v>525</v>
      </c>
      <c r="G925" s="159">
        <v>3774616.56</v>
      </c>
      <c r="H925" s="159">
        <v>0</v>
      </c>
      <c r="I925" s="159">
        <v>1626777.36</v>
      </c>
      <c r="J925" s="159">
        <v>43.1</v>
      </c>
      <c r="K925" t="str">
        <f>VLOOKUP($C925,Lists!$C$3:$M$118,7,FALSE)</f>
        <v>COKE_RGB</v>
      </c>
      <c r="S925" s="4"/>
      <c r="T925" s="4"/>
      <c r="U925" s="5"/>
      <c r="V925" s="5"/>
    </row>
    <row r="926" spans="1:22" x14ac:dyDescent="0.25">
      <c r="A926" s="158" t="s">
        <v>586</v>
      </c>
      <c r="B926" s="158" t="s">
        <v>587</v>
      </c>
      <c r="C926" s="158" t="s">
        <v>28</v>
      </c>
      <c r="D926" s="158" t="s">
        <v>530</v>
      </c>
      <c r="E926" s="157">
        <v>288</v>
      </c>
      <c r="F926" s="158" t="s">
        <v>525</v>
      </c>
      <c r="G926" s="159">
        <v>828630.72</v>
      </c>
      <c r="H926" s="159">
        <v>0</v>
      </c>
      <c r="I926" s="159">
        <v>425704.32</v>
      </c>
      <c r="J926" s="159">
        <v>51.4</v>
      </c>
      <c r="K926" t="str">
        <f>VLOOKUP($C926,Lists!$C$3:$M$118,7,FALSE)</f>
        <v>COKE_PET</v>
      </c>
      <c r="S926" s="4"/>
      <c r="T926" s="4"/>
      <c r="U926" s="5"/>
      <c r="V926" s="5"/>
    </row>
    <row r="927" spans="1:22" x14ac:dyDescent="0.25">
      <c r="A927" s="158" t="s">
        <v>586</v>
      </c>
      <c r="B927" s="158" t="s">
        <v>587</v>
      </c>
      <c r="C927" s="158" t="s">
        <v>59</v>
      </c>
      <c r="D927" s="158" t="s">
        <v>60</v>
      </c>
      <c r="E927" s="157">
        <v>72</v>
      </c>
      <c r="F927" s="158" t="s">
        <v>525</v>
      </c>
      <c r="G927" s="159">
        <v>290355.12</v>
      </c>
      <c r="H927" s="159">
        <v>0</v>
      </c>
      <c r="I927" s="159">
        <v>121410.72</v>
      </c>
      <c r="J927" s="159">
        <v>41.8</v>
      </c>
      <c r="K927" t="str">
        <f>VLOOKUP($C927,Lists!$C$3:$M$118,7,FALSE)</f>
        <v>COKE_RGB</v>
      </c>
      <c r="S927" s="4"/>
      <c r="T927" s="4"/>
      <c r="U927" s="5"/>
      <c r="V927" s="5"/>
    </row>
    <row r="928" spans="1:22" x14ac:dyDescent="0.25">
      <c r="A928" s="158" t="s">
        <v>586</v>
      </c>
      <c r="B928" s="158" t="s">
        <v>587</v>
      </c>
      <c r="C928" s="158" t="s">
        <v>22</v>
      </c>
      <c r="D928" s="158" t="s">
        <v>23</v>
      </c>
      <c r="E928" s="157">
        <v>360</v>
      </c>
      <c r="F928" s="158" t="s">
        <v>525</v>
      </c>
      <c r="G928" s="159">
        <v>1451775.6</v>
      </c>
      <c r="H928" s="159">
        <v>0</v>
      </c>
      <c r="I928" s="159">
        <v>600926.4</v>
      </c>
      <c r="J928" s="159">
        <v>41.4</v>
      </c>
      <c r="K928" t="str">
        <f>VLOOKUP($C928,Lists!$C$3:$M$118,7,FALSE)</f>
        <v>COKE_RGB</v>
      </c>
      <c r="S928" s="4"/>
      <c r="T928" s="4"/>
      <c r="U928" s="5"/>
      <c r="V928" s="5"/>
    </row>
    <row r="929" spans="1:22" x14ac:dyDescent="0.25">
      <c r="A929" s="158" t="s">
        <v>586</v>
      </c>
      <c r="B929" s="158" t="s">
        <v>587</v>
      </c>
      <c r="C929" s="158" t="s">
        <v>67</v>
      </c>
      <c r="D929" s="158" t="s">
        <v>533</v>
      </c>
      <c r="E929" s="157">
        <v>287</v>
      </c>
      <c r="F929" s="158" t="s">
        <v>525</v>
      </c>
      <c r="G929" s="159">
        <v>825753.53</v>
      </c>
      <c r="H929" s="159">
        <v>0</v>
      </c>
      <c r="I929" s="159">
        <v>414115.17</v>
      </c>
      <c r="J929" s="159">
        <v>50.1</v>
      </c>
      <c r="K929" t="str">
        <f>VLOOKUP($C929,Lists!$C$3:$M$118,7,FALSE)</f>
        <v>COKE_PET</v>
      </c>
      <c r="S929" s="4"/>
      <c r="T929" s="4"/>
      <c r="U929" s="5"/>
      <c r="V929" s="5"/>
    </row>
    <row r="930" spans="1:22" x14ac:dyDescent="0.25">
      <c r="A930" s="158" t="s">
        <v>586</v>
      </c>
      <c r="B930" s="158" t="s">
        <v>587</v>
      </c>
      <c r="C930" s="158" t="s">
        <v>261</v>
      </c>
      <c r="D930" s="158" t="s">
        <v>538</v>
      </c>
      <c r="E930" s="157">
        <v>72</v>
      </c>
      <c r="F930" s="158" t="s">
        <v>525</v>
      </c>
      <c r="G930" s="159">
        <v>290355.12</v>
      </c>
      <c r="H930" s="159">
        <v>0</v>
      </c>
      <c r="I930" s="159">
        <v>120185.28</v>
      </c>
      <c r="J930" s="159">
        <v>41.4</v>
      </c>
      <c r="K930" t="str">
        <f>VLOOKUP($C930,Lists!$C$3:$M$118,7,FALSE)</f>
        <v>COKE_RGB</v>
      </c>
      <c r="S930" s="4"/>
      <c r="T930" s="4"/>
      <c r="U930" s="5"/>
      <c r="V930" s="5"/>
    </row>
    <row r="931" spans="1:22" x14ac:dyDescent="0.25">
      <c r="A931" s="158" t="s">
        <v>586</v>
      </c>
      <c r="B931" s="158" t="s">
        <v>587</v>
      </c>
      <c r="C931" s="158" t="s">
        <v>24</v>
      </c>
      <c r="D931" s="158" t="s">
        <v>25</v>
      </c>
      <c r="E931" s="157">
        <v>288</v>
      </c>
      <c r="F931" s="158" t="s">
        <v>525</v>
      </c>
      <c r="G931" s="159">
        <v>1889061.12</v>
      </c>
      <c r="H931" s="159">
        <v>0</v>
      </c>
      <c r="I931" s="159">
        <v>927679.68</v>
      </c>
      <c r="J931" s="159">
        <v>49.1</v>
      </c>
      <c r="K931" t="str">
        <f>VLOOKUP($C931,Lists!$C$3:$M$118,7,FALSE)</f>
        <v>Beers</v>
      </c>
      <c r="S931" s="4"/>
      <c r="T931" s="4"/>
      <c r="U931" s="5"/>
      <c r="V931" s="5"/>
    </row>
    <row r="932" spans="1:22" x14ac:dyDescent="0.25">
      <c r="A932" s="158" t="s">
        <v>586</v>
      </c>
      <c r="B932" s="158" t="s">
        <v>587</v>
      </c>
      <c r="C932" s="158" t="s">
        <v>29</v>
      </c>
      <c r="D932" s="158" t="s">
        <v>30</v>
      </c>
      <c r="E932" s="157">
        <v>350</v>
      </c>
      <c r="F932" s="158" t="s">
        <v>525</v>
      </c>
      <c r="G932" s="159">
        <v>12974811.5</v>
      </c>
      <c r="H932" s="159">
        <v>0</v>
      </c>
      <c r="I932" s="159">
        <v>3874811.5</v>
      </c>
      <c r="J932" s="159">
        <v>29.9</v>
      </c>
      <c r="K932" t="str">
        <f>VLOOKUP($C932,Lists!$C$3:$M$118,7,FALSE)</f>
        <v>Spirits</v>
      </c>
      <c r="S932" s="4"/>
      <c r="T932" s="4"/>
      <c r="U932" s="5"/>
      <c r="V932" s="5"/>
    </row>
    <row r="933" spans="1:22" x14ac:dyDescent="0.25">
      <c r="A933" s="158" t="s">
        <v>586</v>
      </c>
      <c r="B933" s="158" t="s">
        <v>587</v>
      </c>
      <c r="C933" s="158" t="s">
        <v>31</v>
      </c>
      <c r="D933" s="158" t="s">
        <v>32</v>
      </c>
      <c r="E933" s="157">
        <v>30</v>
      </c>
      <c r="F933" s="158" t="s">
        <v>525</v>
      </c>
      <c r="G933" s="159">
        <v>1044037.2</v>
      </c>
      <c r="H933" s="159">
        <v>0</v>
      </c>
      <c r="I933" s="159">
        <v>324037.2</v>
      </c>
      <c r="J933" s="159">
        <v>31</v>
      </c>
      <c r="K933" t="str">
        <f>VLOOKUP($C933,Lists!$C$3:$M$118,7,FALSE)</f>
        <v>Spirits</v>
      </c>
      <c r="S933" s="4"/>
      <c r="T933" s="4"/>
      <c r="U933" s="5"/>
      <c r="V933" s="5"/>
    </row>
    <row r="934" spans="1:22" x14ac:dyDescent="0.25">
      <c r="A934" s="158" t="s">
        <v>586</v>
      </c>
      <c r="B934" s="158" t="s">
        <v>587</v>
      </c>
      <c r="C934" s="158" t="s">
        <v>33</v>
      </c>
      <c r="D934" s="158" t="s">
        <v>34</v>
      </c>
      <c r="E934" s="157">
        <v>80</v>
      </c>
      <c r="F934" s="158" t="s">
        <v>525</v>
      </c>
      <c r="G934" s="159">
        <v>4539292.8</v>
      </c>
      <c r="H934" s="159">
        <v>0</v>
      </c>
      <c r="I934" s="159">
        <v>939292.8</v>
      </c>
      <c r="J934" s="159">
        <v>20.7</v>
      </c>
      <c r="K934" t="str">
        <f>VLOOKUP($C934,Lists!$C$3:$M$118,7,FALSE)</f>
        <v>Spirits</v>
      </c>
      <c r="S934" s="4"/>
      <c r="T934" s="4"/>
      <c r="U934" s="5"/>
      <c r="V934" s="5"/>
    </row>
    <row r="935" spans="1:22" x14ac:dyDescent="0.25">
      <c r="A935" s="158" t="s">
        <v>586</v>
      </c>
      <c r="B935" s="158" t="s">
        <v>587</v>
      </c>
      <c r="C935" s="158" t="s">
        <v>37</v>
      </c>
      <c r="D935" s="158" t="s">
        <v>38</v>
      </c>
      <c r="E935" s="157">
        <v>288</v>
      </c>
      <c r="F935" s="158" t="s">
        <v>525</v>
      </c>
      <c r="G935" s="159">
        <v>967849.92</v>
      </c>
      <c r="H935" s="159">
        <v>0</v>
      </c>
      <c r="I935" s="159">
        <v>462931.20000000001</v>
      </c>
      <c r="J935" s="159">
        <v>47.8</v>
      </c>
      <c r="K935" t="str">
        <f>VLOOKUP($C935,Lists!$C$3:$M$118,7,FALSE)</f>
        <v>SOBO_RGB</v>
      </c>
      <c r="S935" s="4"/>
      <c r="T935" s="4"/>
      <c r="U935" s="5"/>
      <c r="V935" s="5"/>
    </row>
    <row r="936" spans="1:22" x14ac:dyDescent="0.25">
      <c r="A936" s="158" t="s">
        <v>586</v>
      </c>
      <c r="B936" s="158" t="s">
        <v>587</v>
      </c>
      <c r="C936" s="158" t="s">
        <v>39</v>
      </c>
      <c r="D936" s="158" t="s">
        <v>40</v>
      </c>
      <c r="E936" s="157">
        <v>288</v>
      </c>
      <c r="F936" s="158" t="s">
        <v>525</v>
      </c>
      <c r="G936" s="159">
        <v>967849.92</v>
      </c>
      <c r="H936" s="159">
        <v>0</v>
      </c>
      <c r="I936" s="159">
        <v>458997.12</v>
      </c>
      <c r="J936" s="159">
        <v>47.4</v>
      </c>
      <c r="K936" t="str">
        <f>VLOOKUP($C936,Lists!$C$3:$M$118,7,FALSE)</f>
        <v>SOBO_RGB</v>
      </c>
      <c r="S936" s="4"/>
      <c r="T936" s="4"/>
      <c r="U936" s="5"/>
      <c r="V936" s="5"/>
    </row>
    <row r="937" spans="1:22" x14ac:dyDescent="0.25">
      <c r="A937" s="158" t="s">
        <v>586</v>
      </c>
      <c r="B937" s="158" t="s">
        <v>587</v>
      </c>
      <c r="C937" s="158" t="s">
        <v>45</v>
      </c>
      <c r="D937" s="158" t="s">
        <v>46</v>
      </c>
      <c r="E937" s="157">
        <v>72</v>
      </c>
      <c r="F937" s="158" t="s">
        <v>525</v>
      </c>
      <c r="G937" s="159">
        <v>290355.12</v>
      </c>
      <c r="H937" s="159">
        <v>0</v>
      </c>
      <c r="I937" s="159">
        <v>145738.79999999999</v>
      </c>
      <c r="J937" s="159">
        <v>50.2</v>
      </c>
      <c r="K937" t="str">
        <f>VLOOKUP($C937,Lists!$C$3:$M$118,7,FALSE)</f>
        <v>SOBO_RGB</v>
      </c>
      <c r="S937" s="4"/>
      <c r="T937" s="4"/>
      <c r="U937" s="5"/>
      <c r="V937" s="5"/>
    </row>
    <row r="938" spans="1:22" x14ac:dyDescent="0.25">
      <c r="A938" s="158" t="s">
        <v>586</v>
      </c>
      <c r="B938" s="158" t="s">
        <v>587</v>
      </c>
      <c r="C938" s="158" t="s">
        <v>47</v>
      </c>
      <c r="D938" s="158" t="s">
        <v>48</v>
      </c>
      <c r="E938" s="157">
        <v>215</v>
      </c>
      <c r="F938" s="158" t="s">
        <v>525</v>
      </c>
      <c r="G938" s="159">
        <v>867032.65</v>
      </c>
      <c r="H938" s="159">
        <v>0</v>
      </c>
      <c r="I938" s="159">
        <v>387432.14</v>
      </c>
      <c r="J938" s="159">
        <v>44.7</v>
      </c>
      <c r="K938" t="str">
        <f>VLOOKUP($C938,Lists!$C$3:$M$118,7,FALSE)</f>
        <v>COKE_RGB</v>
      </c>
      <c r="S938" s="4"/>
      <c r="T938" s="4"/>
      <c r="U938" s="5"/>
      <c r="V938" s="5"/>
    </row>
    <row r="939" spans="1:22" x14ac:dyDescent="0.25">
      <c r="A939" s="158" t="s">
        <v>586</v>
      </c>
      <c r="B939" s="158" t="s">
        <v>587</v>
      </c>
      <c r="C939" s="158" t="s">
        <v>68</v>
      </c>
      <c r="D939" s="158" t="s">
        <v>534</v>
      </c>
      <c r="E939" s="157">
        <v>287</v>
      </c>
      <c r="F939" s="158" t="s">
        <v>525</v>
      </c>
      <c r="G939" s="159">
        <v>825753.53</v>
      </c>
      <c r="H939" s="159">
        <v>0</v>
      </c>
      <c r="I939" s="159">
        <v>410366.96</v>
      </c>
      <c r="J939" s="159">
        <v>49.7</v>
      </c>
      <c r="K939" t="str">
        <f>VLOOKUP($C939,Lists!$C$3:$M$118,7,FALSE)</f>
        <v>COKE_PET</v>
      </c>
      <c r="S939" s="4"/>
      <c r="T939" s="4"/>
      <c r="U939" s="5"/>
      <c r="V939" s="5"/>
    </row>
    <row r="940" spans="1:22" x14ac:dyDescent="0.25">
      <c r="A940" s="158" t="s">
        <v>586</v>
      </c>
      <c r="B940" s="158" t="s">
        <v>587</v>
      </c>
      <c r="C940" s="158" t="s">
        <v>49</v>
      </c>
      <c r="D940" s="158" t="s">
        <v>50</v>
      </c>
      <c r="E940" s="157">
        <v>576</v>
      </c>
      <c r="F940" s="158" t="s">
        <v>525</v>
      </c>
      <c r="G940" s="159">
        <v>5775770.8799999999</v>
      </c>
      <c r="H940" s="159">
        <v>0</v>
      </c>
      <c r="I940" s="159">
        <v>1839582.72</v>
      </c>
      <c r="J940" s="159">
        <v>31.8</v>
      </c>
      <c r="K940" t="str">
        <f>VLOOKUP($C940,Lists!$C$3:$M$118,7,FALSE)</f>
        <v>Squash</v>
      </c>
      <c r="S940" s="4"/>
      <c r="T940" s="4"/>
      <c r="U940" s="5"/>
      <c r="V940" s="5"/>
    </row>
    <row r="941" spans="1:22" x14ac:dyDescent="0.25">
      <c r="A941" s="158" t="s">
        <v>586</v>
      </c>
      <c r="B941" s="158" t="s">
        <v>587</v>
      </c>
      <c r="C941" s="158" t="s">
        <v>51</v>
      </c>
      <c r="D941" s="158" t="s">
        <v>52</v>
      </c>
      <c r="E941" s="157">
        <v>1008</v>
      </c>
      <c r="F941" s="158" t="s">
        <v>525</v>
      </c>
      <c r="G941" s="159">
        <v>10107599.039999999</v>
      </c>
      <c r="H941" s="159">
        <v>0</v>
      </c>
      <c r="I941" s="159">
        <v>3192366.24</v>
      </c>
      <c r="J941" s="159">
        <v>31.6</v>
      </c>
      <c r="K941" t="str">
        <f>VLOOKUP($C941,Lists!$C$3:$M$118,7,FALSE)</f>
        <v>Squash</v>
      </c>
      <c r="S941" s="4"/>
      <c r="T941" s="4"/>
      <c r="U941" s="5"/>
      <c r="V941" s="5"/>
    </row>
    <row r="942" spans="1:22" x14ac:dyDescent="0.25">
      <c r="A942" s="158" t="s">
        <v>586</v>
      </c>
      <c r="B942" s="158" t="s">
        <v>587</v>
      </c>
      <c r="C942" s="158" t="s">
        <v>26</v>
      </c>
      <c r="D942" s="158" t="s">
        <v>27</v>
      </c>
      <c r="E942" s="157">
        <v>288</v>
      </c>
      <c r="F942" s="158" t="s">
        <v>525</v>
      </c>
      <c r="G942" s="159">
        <v>628531.19999999995</v>
      </c>
      <c r="H942" s="159">
        <v>0</v>
      </c>
      <c r="I942" s="159">
        <v>277102.08000000002</v>
      </c>
      <c r="J942" s="159">
        <v>44.1</v>
      </c>
      <c r="K942" t="str">
        <f>VLOOKUP($C942,Lists!$C$3:$M$118,7,FALSE)</f>
        <v>Water</v>
      </c>
      <c r="S942" s="4"/>
      <c r="T942" s="4"/>
      <c r="U942" s="5"/>
      <c r="V942" s="5"/>
    </row>
    <row r="943" spans="1:22" x14ac:dyDescent="0.25">
      <c r="A943" s="158" t="s">
        <v>588</v>
      </c>
      <c r="B943" s="158" t="s">
        <v>589</v>
      </c>
      <c r="C943" s="158" t="s">
        <v>29</v>
      </c>
      <c r="D943" s="158" t="s">
        <v>30</v>
      </c>
      <c r="E943" s="157">
        <v>45</v>
      </c>
      <c r="F943" s="158" t="s">
        <v>525</v>
      </c>
      <c r="G943" s="159">
        <v>1668190.05</v>
      </c>
      <c r="H943" s="159">
        <v>0</v>
      </c>
      <c r="I943" s="159">
        <v>498190.05</v>
      </c>
      <c r="J943" s="159">
        <v>29.9</v>
      </c>
      <c r="K943" t="str">
        <f>VLOOKUP($C943,Lists!$C$3:$M$118,7,FALSE)</f>
        <v>Spirits</v>
      </c>
      <c r="S943" s="4"/>
      <c r="T943" s="4"/>
      <c r="U943" s="5"/>
      <c r="V943" s="5"/>
    </row>
    <row r="944" spans="1:22" x14ac:dyDescent="0.25">
      <c r="A944" s="158" t="s">
        <v>588</v>
      </c>
      <c r="B944" s="158" t="s">
        <v>589</v>
      </c>
      <c r="C944" s="158" t="s">
        <v>31</v>
      </c>
      <c r="D944" s="158" t="s">
        <v>32</v>
      </c>
      <c r="E944" s="157">
        <v>3</v>
      </c>
      <c r="F944" s="158" t="s">
        <v>525</v>
      </c>
      <c r="G944" s="159">
        <v>104403.72</v>
      </c>
      <c r="H944" s="159">
        <v>0</v>
      </c>
      <c r="I944" s="159">
        <v>32403.72</v>
      </c>
      <c r="J944" s="159">
        <v>31</v>
      </c>
      <c r="K944" t="str">
        <f>VLOOKUP($C944,Lists!$C$3:$M$118,7,FALSE)</f>
        <v>Spirits</v>
      </c>
      <c r="S944" s="4"/>
      <c r="T944" s="4"/>
      <c r="U944" s="5"/>
      <c r="V944" s="5"/>
    </row>
    <row r="945" spans="1:22" x14ac:dyDescent="0.25">
      <c r="A945" s="158" t="s">
        <v>588</v>
      </c>
      <c r="B945" s="158" t="s">
        <v>589</v>
      </c>
      <c r="C945" s="158" t="s">
        <v>33</v>
      </c>
      <c r="D945" s="158" t="s">
        <v>34</v>
      </c>
      <c r="E945" s="157">
        <v>5</v>
      </c>
      <c r="F945" s="158" t="s">
        <v>525</v>
      </c>
      <c r="G945" s="159">
        <v>283705.8</v>
      </c>
      <c r="H945" s="159">
        <v>0</v>
      </c>
      <c r="I945" s="159">
        <v>58705.8</v>
      </c>
      <c r="J945" s="159">
        <v>20.7</v>
      </c>
      <c r="K945" t="str">
        <f>VLOOKUP($C945,Lists!$C$3:$M$118,7,FALSE)</f>
        <v>Spirits</v>
      </c>
      <c r="S945" s="4"/>
      <c r="T945" s="4"/>
      <c r="U945" s="5"/>
      <c r="V945" s="5"/>
    </row>
    <row r="946" spans="1:22" x14ac:dyDescent="0.25">
      <c r="A946" s="158" t="s">
        <v>590</v>
      </c>
      <c r="B946" s="158" t="s">
        <v>591</v>
      </c>
      <c r="C946" s="158" t="s">
        <v>29</v>
      </c>
      <c r="D946" s="158" t="s">
        <v>30</v>
      </c>
      <c r="E946" s="157">
        <v>50</v>
      </c>
      <c r="F946" s="158" t="s">
        <v>525</v>
      </c>
      <c r="G946" s="159">
        <v>1853544.5</v>
      </c>
      <c r="H946" s="159">
        <v>0</v>
      </c>
      <c r="I946" s="159">
        <v>553544.5</v>
      </c>
      <c r="J946" s="159">
        <v>29.9</v>
      </c>
      <c r="K946" t="str">
        <f>VLOOKUP($C946,Lists!$C$3:$M$118,7,FALSE)</f>
        <v>Spirits</v>
      </c>
      <c r="S946" s="4"/>
      <c r="T946" s="4"/>
      <c r="U946" s="5"/>
      <c r="V946" s="5"/>
    </row>
    <row r="947" spans="1:22" x14ac:dyDescent="0.25">
      <c r="A947" s="158" t="s">
        <v>590</v>
      </c>
      <c r="B947" s="158" t="s">
        <v>591</v>
      </c>
      <c r="C947" s="158" t="s">
        <v>51</v>
      </c>
      <c r="D947" s="158" t="s">
        <v>52</v>
      </c>
      <c r="E947" s="157">
        <v>144</v>
      </c>
      <c r="F947" s="158" t="s">
        <v>525</v>
      </c>
      <c r="G947" s="159">
        <v>1443942.72</v>
      </c>
      <c r="H947" s="159">
        <v>0</v>
      </c>
      <c r="I947" s="159">
        <v>456052.32</v>
      </c>
      <c r="J947" s="159">
        <v>31.6</v>
      </c>
      <c r="K947" t="str">
        <f>VLOOKUP($C947,Lists!$C$3:$M$118,7,FALSE)</f>
        <v>Squash</v>
      </c>
      <c r="S947" s="4"/>
      <c r="T947" s="4"/>
      <c r="U947" s="5"/>
      <c r="V947" s="5"/>
    </row>
    <row r="948" spans="1:22" x14ac:dyDescent="0.25">
      <c r="A948" s="158" t="s">
        <v>592</v>
      </c>
      <c r="B948" s="158" t="s">
        <v>593</v>
      </c>
      <c r="C948" s="158" t="s">
        <v>12</v>
      </c>
      <c r="D948" s="158" t="s">
        <v>13</v>
      </c>
      <c r="E948" s="157">
        <v>72</v>
      </c>
      <c r="F948" s="158" t="s">
        <v>525</v>
      </c>
      <c r="G948" s="159">
        <v>472265.28</v>
      </c>
      <c r="H948" s="159">
        <v>0</v>
      </c>
      <c r="I948" s="159">
        <v>211319.28</v>
      </c>
      <c r="J948" s="159">
        <v>44.7</v>
      </c>
      <c r="K948" t="str">
        <f>VLOOKUP($C948,Lists!$C$3:$M$118,7,FALSE)</f>
        <v>Beers</v>
      </c>
      <c r="S948" s="4"/>
      <c r="T948" s="4"/>
      <c r="U948" s="5"/>
      <c r="V948" s="5"/>
    </row>
    <row r="949" spans="1:22" x14ac:dyDescent="0.25">
      <c r="A949" s="158" t="s">
        <v>592</v>
      </c>
      <c r="B949" s="158" t="s">
        <v>593</v>
      </c>
      <c r="C949" s="158" t="s">
        <v>14</v>
      </c>
      <c r="D949" s="158" t="s">
        <v>15</v>
      </c>
      <c r="E949" s="157">
        <v>72</v>
      </c>
      <c r="F949" s="158" t="s">
        <v>525</v>
      </c>
      <c r="G949" s="159">
        <v>566717.76</v>
      </c>
      <c r="H949" s="159">
        <v>0</v>
      </c>
      <c r="I949" s="159">
        <v>285170.40000000002</v>
      </c>
      <c r="J949" s="159">
        <v>50.3</v>
      </c>
      <c r="K949" t="str">
        <f>VLOOKUP($C949,Lists!$C$3:$M$118,7,FALSE)</f>
        <v>Beers</v>
      </c>
      <c r="S949" s="4"/>
      <c r="T949" s="4"/>
      <c r="U949" s="5"/>
      <c r="V949" s="5"/>
    </row>
    <row r="950" spans="1:22" x14ac:dyDescent="0.25">
      <c r="A950" s="158" t="s">
        <v>592</v>
      </c>
      <c r="B950" s="158" t="s">
        <v>593</v>
      </c>
      <c r="C950" s="158" t="s">
        <v>16</v>
      </c>
      <c r="D950" s="158" t="s">
        <v>17</v>
      </c>
      <c r="E950" s="157">
        <v>216</v>
      </c>
      <c r="F950" s="158" t="s">
        <v>525</v>
      </c>
      <c r="G950" s="159">
        <v>1700153.28</v>
      </c>
      <c r="H950" s="159">
        <v>0</v>
      </c>
      <c r="I950" s="159">
        <v>855511.2</v>
      </c>
      <c r="J950" s="159">
        <v>50.3</v>
      </c>
      <c r="K950" t="str">
        <f>VLOOKUP($C950,Lists!$C$3:$M$118,7,FALSE)</f>
        <v>Beers</v>
      </c>
      <c r="S950" s="4"/>
      <c r="T950" s="4"/>
      <c r="U950" s="5"/>
      <c r="V950" s="5"/>
    </row>
    <row r="951" spans="1:22" x14ac:dyDescent="0.25">
      <c r="A951" s="158" t="s">
        <v>592</v>
      </c>
      <c r="B951" s="158" t="s">
        <v>593</v>
      </c>
      <c r="C951" s="158" t="s">
        <v>18</v>
      </c>
      <c r="D951" s="158" t="s">
        <v>19</v>
      </c>
      <c r="E951" s="157">
        <v>72</v>
      </c>
      <c r="F951" s="158" t="s">
        <v>525</v>
      </c>
      <c r="G951" s="159">
        <v>755623.44</v>
      </c>
      <c r="H951" s="159">
        <v>0</v>
      </c>
      <c r="I951" s="159">
        <v>398539.44</v>
      </c>
      <c r="J951" s="159">
        <v>52.7</v>
      </c>
      <c r="K951" t="str">
        <f>VLOOKUP($C951,Lists!$C$3:$M$118,7,FALSE)</f>
        <v>Beers</v>
      </c>
      <c r="S951" s="4"/>
      <c r="T951" s="4"/>
      <c r="U951" s="5"/>
      <c r="V951" s="5"/>
    </row>
    <row r="952" spans="1:22" x14ac:dyDescent="0.25">
      <c r="A952" s="158" t="s">
        <v>592</v>
      </c>
      <c r="B952" s="158" t="s">
        <v>593</v>
      </c>
      <c r="C952" s="158" t="s">
        <v>20</v>
      </c>
      <c r="D952" s="158" t="s">
        <v>21</v>
      </c>
      <c r="E952" s="157">
        <v>144</v>
      </c>
      <c r="F952" s="158" t="s">
        <v>525</v>
      </c>
      <c r="G952" s="159">
        <v>580710.24</v>
      </c>
      <c r="H952" s="159">
        <v>0</v>
      </c>
      <c r="I952" s="159">
        <v>250273.44</v>
      </c>
      <c r="J952" s="159">
        <v>43.1</v>
      </c>
      <c r="K952" t="str">
        <f>VLOOKUP($C952,Lists!$C$3:$M$118,7,FALSE)</f>
        <v>COKE_RGB</v>
      </c>
      <c r="S952" s="4"/>
      <c r="T952" s="4"/>
      <c r="U952" s="5"/>
      <c r="V952" s="5"/>
    </row>
    <row r="953" spans="1:22" x14ac:dyDescent="0.25">
      <c r="A953" s="158" t="s">
        <v>592</v>
      </c>
      <c r="B953" s="158" t="s">
        <v>593</v>
      </c>
      <c r="C953" s="158" t="s">
        <v>22</v>
      </c>
      <c r="D953" s="158" t="s">
        <v>23</v>
      </c>
      <c r="E953" s="157">
        <v>72</v>
      </c>
      <c r="F953" s="158" t="s">
        <v>525</v>
      </c>
      <c r="G953" s="159">
        <v>290355.12</v>
      </c>
      <c r="H953" s="159">
        <v>0</v>
      </c>
      <c r="I953" s="159">
        <v>120185.28</v>
      </c>
      <c r="J953" s="159">
        <v>41.4</v>
      </c>
      <c r="K953" t="str">
        <f>VLOOKUP($C953,Lists!$C$3:$M$118,7,FALSE)</f>
        <v>COKE_RGB</v>
      </c>
      <c r="S953" s="4"/>
      <c r="T953" s="4"/>
      <c r="U953" s="5"/>
      <c r="V953" s="5"/>
    </row>
    <row r="954" spans="1:22" x14ac:dyDescent="0.25">
      <c r="A954" s="158" t="s">
        <v>592</v>
      </c>
      <c r="B954" s="158" t="s">
        <v>593</v>
      </c>
      <c r="C954" s="158" t="s">
        <v>29</v>
      </c>
      <c r="D954" s="158" t="s">
        <v>30</v>
      </c>
      <c r="E954" s="157">
        <v>165</v>
      </c>
      <c r="F954" s="158" t="s">
        <v>525</v>
      </c>
      <c r="G954" s="159">
        <v>6116696.8499999996</v>
      </c>
      <c r="H954" s="159">
        <v>0</v>
      </c>
      <c r="I954" s="159">
        <v>1826696.85</v>
      </c>
      <c r="J954" s="159">
        <v>29.9</v>
      </c>
      <c r="K954" t="str">
        <f>VLOOKUP($C954,Lists!$C$3:$M$118,7,FALSE)</f>
        <v>Spirits</v>
      </c>
      <c r="S954" s="4"/>
      <c r="T954" s="4"/>
      <c r="U954" s="5"/>
      <c r="V954" s="5"/>
    </row>
    <row r="955" spans="1:22" x14ac:dyDescent="0.25">
      <c r="A955" s="158" t="s">
        <v>592</v>
      </c>
      <c r="B955" s="158" t="s">
        <v>593</v>
      </c>
      <c r="C955" s="158" t="s">
        <v>33</v>
      </c>
      <c r="D955" s="158" t="s">
        <v>34</v>
      </c>
      <c r="E955" s="157">
        <v>20</v>
      </c>
      <c r="F955" s="158" t="s">
        <v>525</v>
      </c>
      <c r="G955" s="159">
        <v>1134823.2</v>
      </c>
      <c r="H955" s="159">
        <v>0</v>
      </c>
      <c r="I955" s="159">
        <v>234823.2</v>
      </c>
      <c r="J955" s="159">
        <v>20.7</v>
      </c>
      <c r="K955" t="str">
        <f>VLOOKUP($C955,Lists!$C$3:$M$118,7,FALSE)</f>
        <v>Spirits</v>
      </c>
      <c r="S955" s="4"/>
      <c r="T955" s="4"/>
      <c r="U955" s="5"/>
      <c r="V955" s="5"/>
    </row>
    <row r="956" spans="1:22" x14ac:dyDescent="0.25">
      <c r="A956" s="158" t="s">
        <v>592</v>
      </c>
      <c r="B956" s="158" t="s">
        <v>593</v>
      </c>
      <c r="C956" s="158" t="s">
        <v>37</v>
      </c>
      <c r="D956" s="158" t="s">
        <v>38</v>
      </c>
      <c r="E956" s="157">
        <v>72</v>
      </c>
      <c r="F956" s="158" t="s">
        <v>525</v>
      </c>
      <c r="G956" s="159">
        <v>241962.48</v>
      </c>
      <c r="H956" s="159">
        <v>0</v>
      </c>
      <c r="I956" s="159">
        <v>115732.8</v>
      </c>
      <c r="J956" s="159">
        <v>47.8</v>
      </c>
      <c r="K956" t="str">
        <f>VLOOKUP($C956,Lists!$C$3:$M$118,7,FALSE)</f>
        <v>SOBO_RGB</v>
      </c>
      <c r="S956" s="4"/>
      <c r="T956" s="4"/>
      <c r="U956" s="5"/>
      <c r="V956" s="5"/>
    </row>
    <row r="957" spans="1:22" x14ac:dyDescent="0.25">
      <c r="A957" s="158" t="s">
        <v>592</v>
      </c>
      <c r="B957" s="158" t="s">
        <v>593</v>
      </c>
      <c r="C957" s="158" t="s">
        <v>49</v>
      </c>
      <c r="D957" s="158" t="s">
        <v>50</v>
      </c>
      <c r="E957" s="157">
        <v>287</v>
      </c>
      <c r="F957" s="158" t="s">
        <v>525</v>
      </c>
      <c r="G957" s="159">
        <v>2877858.06</v>
      </c>
      <c r="H957" s="159">
        <v>0</v>
      </c>
      <c r="I957" s="159">
        <v>916597.64</v>
      </c>
      <c r="J957" s="159">
        <v>31.8</v>
      </c>
      <c r="K957" t="str">
        <f>VLOOKUP($C957,Lists!$C$3:$M$118,7,FALSE)</f>
        <v>Squash</v>
      </c>
      <c r="S957" s="4"/>
      <c r="T957" s="4"/>
      <c r="U957" s="5"/>
      <c r="V957" s="5"/>
    </row>
    <row r="958" spans="1:22" x14ac:dyDescent="0.25">
      <c r="A958" s="158" t="s">
        <v>592</v>
      </c>
      <c r="B958" s="158" t="s">
        <v>593</v>
      </c>
      <c r="C958" s="158" t="s">
        <v>51</v>
      </c>
      <c r="D958" s="158" t="s">
        <v>52</v>
      </c>
      <c r="E958" s="157">
        <v>144</v>
      </c>
      <c r="F958" s="158" t="s">
        <v>525</v>
      </c>
      <c r="G958" s="159">
        <v>1443942.72</v>
      </c>
      <c r="H958" s="159">
        <v>0</v>
      </c>
      <c r="I958" s="159">
        <v>456052.32</v>
      </c>
      <c r="J958" s="159">
        <v>31.6</v>
      </c>
      <c r="K958" t="str">
        <f>VLOOKUP($C958,Lists!$C$3:$M$118,7,FALSE)</f>
        <v>Squash</v>
      </c>
      <c r="S958" s="4"/>
      <c r="T958" s="4"/>
      <c r="U958" s="5"/>
      <c r="V958" s="5"/>
    </row>
    <row r="959" spans="1:22" x14ac:dyDescent="0.25">
      <c r="A959" s="158" t="s">
        <v>594</v>
      </c>
      <c r="B959" s="158" t="s">
        <v>595</v>
      </c>
      <c r="C959" s="158" t="s">
        <v>29</v>
      </c>
      <c r="D959" s="158" t="s">
        <v>30</v>
      </c>
      <c r="E959" s="157">
        <v>25</v>
      </c>
      <c r="F959" s="158" t="s">
        <v>525</v>
      </c>
      <c r="G959" s="159">
        <v>926772.25</v>
      </c>
      <c r="H959" s="159">
        <v>0</v>
      </c>
      <c r="I959" s="159">
        <v>276772.25</v>
      </c>
      <c r="J959" s="159">
        <v>29.9</v>
      </c>
      <c r="K959" t="str">
        <f>VLOOKUP($C959,Lists!$C$3:$M$118,7,FALSE)</f>
        <v>Spirits</v>
      </c>
      <c r="S959" s="4"/>
      <c r="T959" s="4"/>
      <c r="U959" s="5"/>
      <c r="V959" s="5"/>
    </row>
    <row r="960" spans="1:22" x14ac:dyDescent="0.25">
      <c r="A960" s="158" t="s">
        <v>594</v>
      </c>
      <c r="B960" s="158" t="s">
        <v>595</v>
      </c>
      <c r="C960" s="158" t="s">
        <v>31</v>
      </c>
      <c r="D960" s="158" t="s">
        <v>32</v>
      </c>
      <c r="E960" s="157">
        <v>5</v>
      </c>
      <c r="F960" s="158" t="s">
        <v>525</v>
      </c>
      <c r="G960" s="159">
        <v>174006.2</v>
      </c>
      <c r="H960" s="159">
        <v>0</v>
      </c>
      <c r="I960" s="159">
        <v>54006.2</v>
      </c>
      <c r="J960" s="159">
        <v>31</v>
      </c>
      <c r="K960" t="str">
        <f>VLOOKUP($C960,Lists!$C$3:$M$118,7,FALSE)</f>
        <v>Spirits</v>
      </c>
      <c r="S960" s="4"/>
      <c r="T960" s="4"/>
      <c r="U960" s="5"/>
      <c r="V960" s="5"/>
    </row>
    <row r="961" spans="1:22" x14ac:dyDescent="0.25">
      <c r="A961" s="158" t="s">
        <v>596</v>
      </c>
      <c r="B961" s="158" t="s">
        <v>597</v>
      </c>
      <c r="C961" s="158" t="s">
        <v>31</v>
      </c>
      <c r="D961" s="158" t="s">
        <v>32</v>
      </c>
      <c r="E961" s="157">
        <v>5</v>
      </c>
      <c r="F961" s="158" t="s">
        <v>525</v>
      </c>
      <c r="G961" s="159">
        <v>174006.2</v>
      </c>
      <c r="H961" s="159">
        <v>0</v>
      </c>
      <c r="I961" s="159">
        <v>54006.2</v>
      </c>
      <c r="J961" s="159">
        <v>31</v>
      </c>
      <c r="K961" t="str">
        <f>VLOOKUP($C961,Lists!$C$3:$M$118,7,FALSE)</f>
        <v>Spirits</v>
      </c>
      <c r="S961" s="4"/>
      <c r="T961" s="4"/>
      <c r="U961" s="5"/>
      <c r="V961" s="5"/>
    </row>
    <row r="962" spans="1:22" x14ac:dyDescent="0.25">
      <c r="A962" s="158" t="s">
        <v>596</v>
      </c>
      <c r="B962" s="158" t="s">
        <v>597</v>
      </c>
      <c r="C962" s="158" t="s">
        <v>33</v>
      </c>
      <c r="D962" s="158" t="s">
        <v>34</v>
      </c>
      <c r="E962" s="157">
        <v>5</v>
      </c>
      <c r="F962" s="158" t="s">
        <v>525</v>
      </c>
      <c r="G962" s="159">
        <v>283705.8</v>
      </c>
      <c r="H962" s="159">
        <v>0</v>
      </c>
      <c r="I962" s="159">
        <v>58705.8</v>
      </c>
      <c r="J962" s="159">
        <v>20.7</v>
      </c>
      <c r="K962" t="str">
        <f>VLOOKUP($C962,Lists!$C$3:$M$118,7,FALSE)</f>
        <v>Spirits</v>
      </c>
      <c r="S962" s="4"/>
      <c r="T962" s="4"/>
      <c r="U962" s="5"/>
      <c r="V962" s="5"/>
    </row>
    <row r="963" spans="1:22" x14ac:dyDescent="0.25">
      <c r="A963" s="158" t="s">
        <v>470</v>
      </c>
      <c r="B963" s="158" t="s">
        <v>102</v>
      </c>
      <c r="C963" s="158" t="s">
        <v>12</v>
      </c>
      <c r="D963" s="158" t="s">
        <v>13</v>
      </c>
      <c r="E963" s="157">
        <v>1512</v>
      </c>
      <c r="F963" s="158" t="s">
        <v>525</v>
      </c>
      <c r="G963" s="159">
        <v>9733908.2400000002</v>
      </c>
      <c r="H963" s="159">
        <v>0</v>
      </c>
      <c r="I963" s="159">
        <v>4254042.2300000004</v>
      </c>
      <c r="J963" s="159">
        <v>43.7</v>
      </c>
      <c r="K963" t="str">
        <f>VLOOKUP($C963,Lists!$C$3:$M$118,7,FALSE)</f>
        <v>Beers</v>
      </c>
      <c r="S963" s="4"/>
      <c r="T963" s="4"/>
      <c r="U963" s="5"/>
      <c r="V963" s="5"/>
    </row>
    <row r="964" spans="1:22" x14ac:dyDescent="0.25">
      <c r="A964" s="158" t="s">
        <v>470</v>
      </c>
      <c r="B964" s="158" t="s">
        <v>102</v>
      </c>
      <c r="C964" s="158" t="s">
        <v>14</v>
      </c>
      <c r="D964" s="158" t="s">
        <v>15</v>
      </c>
      <c r="E964" s="157">
        <v>936</v>
      </c>
      <c r="F964" s="158" t="s">
        <v>525</v>
      </c>
      <c r="G964" s="159">
        <v>7230899.5199999996</v>
      </c>
      <c r="H964" s="159">
        <v>0</v>
      </c>
      <c r="I964" s="159">
        <v>3570783.84</v>
      </c>
      <c r="J964" s="159">
        <v>49.4</v>
      </c>
      <c r="K964" t="str">
        <f>VLOOKUP($C964,Lists!$C$3:$M$118,7,FALSE)</f>
        <v>Beers</v>
      </c>
      <c r="S964" s="4"/>
      <c r="T964" s="4"/>
      <c r="U964" s="5"/>
      <c r="V964" s="5"/>
    </row>
    <row r="965" spans="1:22" x14ac:dyDescent="0.25">
      <c r="A965" s="158" t="s">
        <v>470</v>
      </c>
      <c r="B965" s="158" t="s">
        <v>102</v>
      </c>
      <c r="C965" s="158" t="s">
        <v>16</v>
      </c>
      <c r="D965" s="158" t="s">
        <v>17</v>
      </c>
      <c r="E965" s="157">
        <v>2304</v>
      </c>
      <c r="F965" s="158" t="s">
        <v>525</v>
      </c>
      <c r="G965" s="159">
        <v>17799137.280000001</v>
      </c>
      <c r="H965" s="159">
        <v>0</v>
      </c>
      <c r="I965" s="159">
        <v>8789621.7599999998</v>
      </c>
      <c r="J965" s="159">
        <v>49.4</v>
      </c>
      <c r="K965" t="str">
        <f>VLOOKUP($C965,Lists!$C$3:$M$118,7,FALSE)</f>
        <v>Beers</v>
      </c>
      <c r="S965" s="4"/>
      <c r="T965" s="4"/>
      <c r="U965" s="5"/>
      <c r="V965" s="5"/>
    </row>
    <row r="966" spans="1:22" x14ac:dyDescent="0.25">
      <c r="A966" s="158" t="s">
        <v>470</v>
      </c>
      <c r="B966" s="158" t="s">
        <v>102</v>
      </c>
      <c r="C966" s="158" t="s">
        <v>56</v>
      </c>
      <c r="D966" s="158" t="s">
        <v>57</v>
      </c>
      <c r="E966" s="157">
        <v>50</v>
      </c>
      <c r="F966" s="158" t="s">
        <v>525</v>
      </c>
      <c r="G966" s="159">
        <v>386266</v>
      </c>
      <c r="H966" s="159">
        <v>0</v>
      </c>
      <c r="I966" s="159">
        <v>202778.5</v>
      </c>
      <c r="J966" s="159">
        <v>52.5</v>
      </c>
      <c r="K966" t="str">
        <f>VLOOKUP($C966,Lists!$C$3:$M$118,7,FALSE)</f>
        <v>Beers</v>
      </c>
      <c r="S966" s="4"/>
      <c r="T966" s="4"/>
      <c r="U966" s="5"/>
      <c r="V966" s="5"/>
    </row>
    <row r="967" spans="1:22" x14ac:dyDescent="0.25">
      <c r="A967" s="158" t="s">
        <v>470</v>
      </c>
      <c r="B967" s="158" t="s">
        <v>102</v>
      </c>
      <c r="C967" s="158" t="s">
        <v>18</v>
      </c>
      <c r="D967" s="158" t="s">
        <v>19</v>
      </c>
      <c r="E967" s="157">
        <v>144</v>
      </c>
      <c r="F967" s="158" t="s">
        <v>525</v>
      </c>
      <c r="G967" s="159">
        <v>1483261.92</v>
      </c>
      <c r="H967" s="159">
        <v>0</v>
      </c>
      <c r="I967" s="159">
        <v>769093.92</v>
      </c>
      <c r="J967" s="159">
        <v>51.9</v>
      </c>
      <c r="K967" t="str">
        <f>VLOOKUP($C967,Lists!$C$3:$M$118,7,FALSE)</f>
        <v>Beers</v>
      </c>
      <c r="S967" s="4"/>
      <c r="T967" s="4"/>
      <c r="U967" s="5"/>
      <c r="V967" s="5"/>
    </row>
    <row r="968" spans="1:22" x14ac:dyDescent="0.25">
      <c r="A968" s="158" t="s">
        <v>470</v>
      </c>
      <c r="B968" s="158" t="s">
        <v>102</v>
      </c>
      <c r="C968" s="158" t="s">
        <v>20</v>
      </c>
      <c r="D968" s="158" t="s">
        <v>21</v>
      </c>
      <c r="E968" s="157">
        <v>1800</v>
      </c>
      <c r="F968" s="158" t="s">
        <v>525</v>
      </c>
      <c r="G968" s="159">
        <v>7124454</v>
      </c>
      <c r="H968" s="159">
        <v>0</v>
      </c>
      <c r="I968" s="159">
        <v>2993993.98</v>
      </c>
      <c r="J968" s="159">
        <v>42</v>
      </c>
      <c r="K968" t="str">
        <f>VLOOKUP($C968,Lists!$C$3:$M$118,7,FALSE)</f>
        <v>COKE_RGB</v>
      </c>
      <c r="S968" s="4"/>
      <c r="T968" s="4"/>
      <c r="U968" s="5"/>
      <c r="V968" s="5"/>
    </row>
    <row r="969" spans="1:22" x14ac:dyDescent="0.25">
      <c r="A969" s="158" t="s">
        <v>470</v>
      </c>
      <c r="B969" s="158" t="s">
        <v>102</v>
      </c>
      <c r="C969" s="158" t="s">
        <v>78</v>
      </c>
      <c r="D969" s="158" t="s">
        <v>526</v>
      </c>
      <c r="E969" s="157">
        <v>144</v>
      </c>
      <c r="F969" s="158" t="s">
        <v>525</v>
      </c>
      <c r="G969" s="159">
        <v>348426.72</v>
      </c>
      <c r="H969" s="159">
        <v>0</v>
      </c>
      <c r="I969" s="159">
        <v>190236.96</v>
      </c>
      <c r="J969" s="159">
        <v>54.6</v>
      </c>
      <c r="K969" t="str">
        <f>VLOOKUP($C969,Lists!$C$3:$M$118,7,FALSE)</f>
        <v>SOBO_PET</v>
      </c>
      <c r="S969" s="4"/>
      <c r="T969" s="4"/>
      <c r="U969" s="5"/>
      <c r="V969" s="5"/>
    </row>
    <row r="970" spans="1:22" x14ac:dyDescent="0.25">
      <c r="A970" s="158" t="s">
        <v>470</v>
      </c>
      <c r="B970" s="158" t="s">
        <v>102</v>
      </c>
      <c r="C970" s="158" t="s">
        <v>43</v>
      </c>
      <c r="D970" s="158" t="s">
        <v>44</v>
      </c>
      <c r="E970" s="157">
        <v>72</v>
      </c>
      <c r="F970" s="158" t="s">
        <v>525</v>
      </c>
      <c r="G970" s="159">
        <v>556223.04</v>
      </c>
      <c r="H970" s="159">
        <v>0</v>
      </c>
      <c r="I970" s="159">
        <v>274675.68</v>
      </c>
      <c r="J970" s="159">
        <v>49.4</v>
      </c>
      <c r="K970" t="str">
        <f>VLOOKUP($C970,Lists!$C$3:$M$118,7,FALSE)</f>
        <v>Beers</v>
      </c>
      <c r="S970" s="4"/>
      <c r="T970" s="4"/>
      <c r="U970" s="5"/>
      <c r="V970" s="5"/>
    </row>
    <row r="971" spans="1:22" x14ac:dyDescent="0.25">
      <c r="A971" s="158" t="s">
        <v>470</v>
      </c>
      <c r="B971" s="158" t="s">
        <v>102</v>
      </c>
      <c r="C971" s="158" t="s">
        <v>59</v>
      </c>
      <c r="D971" s="158" t="s">
        <v>60</v>
      </c>
      <c r="E971" s="157">
        <v>144</v>
      </c>
      <c r="F971" s="158" t="s">
        <v>525</v>
      </c>
      <c r="G971" s="159">
        <v>569956.31999999995</v>
      </c>
      <c r="H971" s="159">
        <v>0</v>
      </c>
      <c r="I971" s="159">
        <v>232067.52</v>
      </c>
      <c r="J971" s="159">
        <v>40.700000000000003</v>
      </c>
      <c r="K971" t="str">
        <f>VLOOKUP($C971,Lists!$C$3:$M$118,7,FALSE)</f>
        <v>COKE_RGB</v>
      </c>
      <c r="S971" s="4"/>
      <c r="T971" s="4"/>
      <c r="U971" s="5"/>
      <c r="V971" s="5"/>
    </row>
    <row r="972" spans="1:22" x14ac:dyDescent="0.25">
      <c r="A972" s="158" t="s">
        <v>470</v>
      </c>
      <c r="B972" s="158" t="s">
        <v>102</v>
      </c>
      <c r="C972" s="158" t="s">
        <v>22</v>
      </c>
      <c r="D972" s="158" t="s">
        <v>23</v>
      </c>
      <c r="E972" s="157">
        <v>432</v>
      </c>
      <c r="F972" s="158" t="s">
        <v>525</v>
      </c>
      <c r="G972" s="159">
        <v>1709868.96</v>
      </c>
      <c r="H972" s="159">
        <v>0</v>
      </c>
      <c r="I972" s="159">
        <v>688849.92000000004</v>
      </c>
      <c r="J972" s="159">
        <v>40.299999999999997</v>
      </c>
      <c r="K972" t="str">
        <f>VLOOKUP($C972,Lists!$C$3:$M$118,7,FALSE)</f>
        <v>COKE_RGB</v>
      </c>
      <c r="S972" s="4"/>
      <c r="T972" s="4"/>
      <c r="U972" s="5"/>
      <c r="V972" s="5"/>
    </row>
    <row r="973" spans="1:22" x14ac:dyDescent="0.25">
      <c r="A973" s="158" t="s">
        <v>470</v>
      </c>
      <c r="B973" s="158" t="s">
        <v>102</v>
      </c>
      <c r="C973" s="158" t="s">
        <v>24</v>
      </c>
      <c r="D973" s="158" t="s">
        <v>25</v>
      </c>
      <c r="E973" s="157">
        <v>144</v>
      </c>
      <c r="F973" s="158" t="s">
        <v>525</v>
      </c>
      <c r="G973" s="159">
        <v>927038.88</v>
      </c>
      <c r="H973" s="159">
        <v>0</v>
      </c>
      <c r="I973" s="159">
        <v>446348.16</v>
      </c>
      <c r="J973" s="159">
        <v>48.1</v>
      </c>
      <c r="K973" t="str">
        <f>VLOOKUP($C973,Lists!$C$3:$M$118,7,FALSE)</f>
        <v>Beers</v>
      </c>
      <c r="S973" s="4"/>
      <c r="T973" s="4"/>
      <c r="U973" s="5"/>
      <c r="V973" s="5"/>
    </row>
    <row r="974" spans="1:22" x14ac:dyDescent="0.25">
      <c r="A974" s="158" t="s">
        <v>470</v>
      </c>
      <c r="B974" s="158" t="s">
        <v>102</v>
      </c>
      <c r="C974" s="158" t="s">
        <v>29</v>
      </c>
      <c r="D974" s="158" t="s">
        <v>30</v>
      </c>
      <c r="E974" s="157">
        <v>30</v>
      </c>
      <c r="F974" s="158" t="s">
        <v>525</v>
      </c>
      <c r="G974" s="159">
        <v>1091531.7</v>
      </c>
      <c r="H974" s="159">
        <v>0</v>
      </c>
      <c r="I974" s="159">
        <v>311531.7</v>
      </c>
      <c r="J974" s="159">
        <v>28.5</v>
      </c>
      <c r="K974" t="str">
        <f>VLOOKUP($C974,Lists!$C$3:$M$118,7,FALSE)</f>
        <v>Spirits</v>
      </c>
      <c r="S974" s="4"/>
      <c r="T974" s="4"/>
      <c r="U974" s="5"/>
      <c r="V974" s="5"/>
    </row>
    <row r="975" spans="1:22" x14ac:dyDescent="0.25">
      <c r="A975" s="158" t="s">
        <v>470</v>
      </c>
      <c r="B975" s="158" t="s">
        <v>102</v>
      </c>
      <c r="C975" s="158" t="s">
        <v>33</v>
      </c>
      <c r="D975" s="158" t="s">
        <v>34</v>
      </c>
      <c r="E975" s="157">
        <v>2</v>
      </c>
      <c r="F975" s="158" t="s">
        <v>525</v>
      </c>
      <c r="G975" s="159">
        <v>111380.8</v>
      </c>
      <c r="H975" s="159">
        <v>0</v>
      </c>
      <c r="I975" s="159">
        <v>21380.799999999999</v>
      </c>
      <c r="J975" s="159">
        <v>19.2</v>
      </c>
      <c r="K975" t="str">
        <f>VLOOKUP($C975,Lists!$C$3:$M$118,7,FALSE)</f>
        <v>Spirits</v>
      </c>
      <c r="S975" s="4"/>
      <c r="T975" s="4"/>
      <c r="U975" s="5"/>
      <c r="V975" s="5"/>
    </row>
    <row r="976" spans="1:22" x14ac:dyDescent="0.25">
      <c r="A976" s="158" t="s">
        <v>470</v>
      </c>
      <c r="B976" s="158" t="s">
        <v>102</v>
      </c>
      <c r="C976" s="158" t="s">
        <v>37</v>
      </c>
      <c r="D976" s="158" t="s">
        <v>38</v>
      </c>
      <c r="E976" s="157">
        <v>360</v>
      </c>
      <c r="F976" s="158" t="s">
        <v>525</v>
      </c>
      <c r="G976" s="159">
        <v>1187409.6000000001</v>
      </c>
      <c r="H976" s="159">
        <v>0</v>
      </c>
      <c r="I976" s="159">
        <v>556261.19999999995</v>
      </c>
      <c r="J976" s="159">
        <v>46.8</v>
      </c>
      <c r="K976" t="str">
        <f>VLOOKUP($C976,Lists!$C$3:$M$118,7,FALSE)</f>
        <v>SOBO_RGB</v>
      </c>
      <c r="S976" s="4"/>
      <c r="T976" s="4"/>
      <c r="U976" s="5"/>
      <c r="V976" s="5"/>
    </row>
    <row r="977" spans="1:22" x14ac:dyDescent="0.25">
      <c r="A977" s="158" t="s">
        <v>470</v>
      </c>
      <c r="B977" s="158" t="s">
        <v>102</v>
      </c>
      <c r="C977" s="158" t="s">
        <v>39</v>
      </c>
      <c r="D977" s="158" t="s">
        <v>40</v>
      </c>
      <c r="E977" s="157">
        <v>360</v>
      </c>
      <c r="F977" s="158" t="s">
        <v>525</v>
      </c>
      <c r="G977" s="159">
        <v>1187409.6000000001</v>
      </c>
      <c r="H977" s="159">
        <v>0</v>
      </c>
      <c r="I977" s="159">
        <v>551343.6</v>
      </c>
      <c r="J977" s="159">
        <v>46.4</v>
      </c>
      <c r="K977" t="str">
        <f>VLOOKUP($C977,Lists!$C$3:$M$118,7,FALSE)</f>
        <v>SOBO_RGB</v>
      </c>
      <c r="S977" s="4"/>
      <c r="T977" s="4"/>
      <c r="U977" s="5"/>
      <c r="V977" s="5"/>
    </row>
    <row r="978" spans="1:22" x14ac:dyDescent="0.25">
      <c r="A978" s="158" t="s">
        <v>470</v>
      </c>
      <c r="B978" s="158" t="s">
        <v>102</v>
      </c>
      <c r="C978" s="158" t="s">
        <v>47</v>
      </c>
      <c r="D978" s="158" t="s">
        <v>48</v>
      </c>
      <c r="E978" s="157">
        <v>144</v>
      </c>
      <c r="F978" s="158" t="s">
        <v>525</v>
      </c>
      <c r="G978" s="159">
        <v>569956.31999999995</v>
      </c>
      <c r="H978" s="159">
        <v>0</v>
      </c>
      <c r="I978" s="159">
        <v>248735.52</v>
      </c>
      <c r="J978" s="159">
        <v>43.6</v>
      </c>
      <c r="K978" t="str">
        <f>VLOOKUP($C978,Lists!$C$3:$M$118,7,FALSE)</f>
        <v>COKE_RGB</v>
      </c>
      <c r="S978" s="4"/>
      <c r="T978" s="4"/>
      <c r="U978" s="5"/>
      <c r="V978" s="5"/>
    </row>
    <row r="979" spans="1:22" x14ac:dyDescent="0.25">
      <c r="A979" s="158" t="s">
        <v>470</v>
      </c>
      <c r="B979" s="158" t="s">
        <v>102</v>
      </c>
      <c r="C979" s="158" t="s">
        <v>51</v>
      </c>
      <c r="D979" s="158" t="s">
        <v>52</v>
      </c>
      <c r="E979" s="157">
        <v>72</v>
      </c>
      <c r="F979" s="158" t="s">
        <v>525</v>
      </c>
      <c r="G979" s="159">
        <v>721971.36</v>
      </c>
      <c r="H979" s="159">
        <v>0</v>
      </c>
      <c r="I979" s="159">
        <v>228026.16</v>
      </c>
      <c r="J979" s="159">
        <v>31.6</v>
      </c>
      <c r="K979" t="str">
        <f>VLOOKUP($C979,Lists!$C$3:$M$118,7,FALSE)</f>
        <v>Squash</v>
      </c>
      <c r="S979" s="4"/>
      <c r="T979" s="4"/>
      <c r="U979" s="5"/>
      <c r="V979" s="5"/>
    </row>
    <row r="980" spans="1:22" x14ac:dyDescent="0.25">
      <c r="A980" s="158" t="s">
        <v>470</v>
      </c>
      <c r="B980" s="158" t="s">
        <v>102</v>
      </c>
      <c r="C980" s="158" t="s">
        <v>104</v>
      </c>
      <c r="D980" s="158" t="s">
        <v>105</v>
      </c>
      <c r="E980" s="157">
        <v>72</v>
      </c>
      <c r="F980" s="158" t="s">
        <v>525</v>
      </c>
      <c r="G980" s="159">
        <v>237481.92</v>
      </c>
      <c r="H980" s="159">
        <v>0</v>
      </c>
      <c r="I980" s="159">
        <v>102170.16</v>
      </c>
      <c r="J980" s="159">
        <v>43</v>
      </c>
      <c r="K980" t="str">
        <f>VLOOKUP($C980,Lists!$C$3:$M$118,7,FALSE)</f>
        <v>SOBO_RGB</v>
      </c>
      <c r="S980" s="4"/>
      <c r="T980" s="4"/>
      <c r="U980" s="5"/>
      <c r="V980" s="5"/>
    </row>
    <row r="981" spans="1:22" x14ac:dyDescent="0.25">
      <c r="A981" s="158" t="s">
        <v>598</v>
      </c>
      <c r="B981" s="158" t="s">
        <v>599</v>
      </c>
      <c r="C981" s="158" t="s">
        <v>12</v>
      </c>
      <c r="D981" s="158" t="s">
        <v>13</v>
      </c>
      <c r="E981" s="157">
        <v>72</v>
      </c>
      <c r="F981" s="158" t="s">
        <v>525</v>
      </c>
      <c r="G981" s="159">
        <v>472265.28</v>
      </c>
      <c r="H981" s="159">
        <v>0</v>
      </c>
      <c r="I981" s="159">
        <v>211319.28</v>
      </c>
      <c r="J981" s="159">
        <v>44.7</v>
      </c>
      <c r="K981" t="str">
        <f>VLOOKUP($C981,Lists!$C$3:$M$118,7,FALSE)</f>
        <v>Beers</v>
      </c>
      <c r="S981" s="4"/>
      <c r="T981" s="4"/>
      <c r="U981" s="5"/>
      <c r="V981" s="5"/>
    </row>
    <row r="982" spans="1:22" x14ac:dyDescent="0.25">
      <c r="A982" s="158" t="s">
        <v>598</v>
      </c>
      <c r="B982" s="158" t="s">
        <v>599</v>
      </c>
      <c r="C982" s="158" t="s">
        <v>14</v>
      </c>
      <c r="D982" s="158" t="s">
        <v>15</v>
      </c>
      <c r="E982" s="157">
        <v>72</v>
      </c>
      <c r="F982" s="158" t="s">
        <v>525</v>
      </c>
      <c r="G982" s="159">
        <v>566717.76</v>
      </c>
      <c r="H982" s="159">
        <v>0</v>
      </c>
      <c r="I982" s="159">
        <v>285170.40000000002</v>
      </c>
      <c r="J982" s="159">
        <v>50.3</v>
      </c>
      <c r="K982" t="str">
        <f>VLOOKUP($C982,Lists!$C$3:$M$118,7,FALSE)</f>
        <v>Beers</v>
      </c>
      <c r="S982" s="4"/>
      <c r="T982" s="4"/>
      <c r="U982" s="5"/>
      <c r="V982" s="5"/>
    </row>
    <row r="983" spans="1:22" x14ac:dyDescent="0.25">
      <c r="A983" s="158" t="s">
        <v>598</v>
      </c>
      <c r="B983" s="158" t="s">
        <v>599</v>
      </c>
      <c r="C983" s="158" t="s">
        <v>28</v>
      </c>
      <c r="D983" s="158" t="s">
        <v>530</v>
      </c>
      <c r="E983" s="157">
        <v>144</v>
      </c>
      <c r="F983" s="158" t="s">
        <v>525</v>
      </c>
      <c r="G983" s="159">
        <v>414315.36</v>
      </c>
      <c r="H983" s="159">
        <v>0</v>
      </c>
      <c r="I983" s="159">
        <v>212852.16</v>
      </c>
      <c r="J983" s="159">
        <v>51.4</v>
      </c>
      <c r="K983" t="str">
        <f>VLOOKUP($C983,Lists!$C$3:$M$118,7,FALSE)</f>
        <v>COKE_PET</v>
      </c>
      <c r="S983" s="4"/>
      <c r="T983" s="4"/>
      <c r="U983" s="5"/>
      <c r="V983" s="5"/>
    </row>
    <row r="984" spans="1:22" x14ac:dyDescent="0.25">
      <c r="A984" s="158" t="s">
        <v>598</v>
      </c>
      <c r="B984" s="158" t="s">
        <v>599</v>
      </c>
      <c r="C984" s="158" t="s">
        <v>58</v>
      </c>
      <c r="D984" s="158" t="s">
        <v>537</v>
      </c>
      <c r="E984" s="157">
        <v>144</v>
      </c>
      <c r="F984" s="158" t="s">
        <v>525</v>
      </c>
      <c r="G984" s="159">
        <v>355127.03999999998</v>
      </c>
      <c r="H984" s="159">
        <v>0</v>
      </c>
      <c r="I984" s="159">
        <v>199742.4</v>
      </c>
      <c r="J984" s="159">
        <v>56.2</v>
      </c>
      <c r="K984" t="str">
        <f>VLOOKUP($C984,Lists!$C$3:$M$118,7,FALSE)</f>
        <v>SOBO_PET</v>
      </c>
      <c r="S984" s="4"/>
      <c r="T984" s="4"/>
      <c r="U984" s="5"/>
      <c r="V984" s="5"/>
    </row>
    <row r="985" spans="1:22" x14ac:dyDescent="0.25">
      <c r="A985" s="158" t="s">
        <v>598</v>
      </c>
      <c r="B985" s="158" t="s">
        <v>599</v>
      </c>
      <c r="C985" s="158" t="s">
        <v>78</v>
      </c>
      <c r="D985" s="158" t="s">
        <v>526</v>
      </c>
      <c r="E985" s="157">
        <v>144</v>
      </c>
      <c r="F985" s="158" t="s">
        <v>525</v>
      </c>
      <c r="G985" s="159">
        <v>355127.03999999998</v>
      </c>
      <c r="H985" s="159">
        <v>0</v>
      </c>
      <c r="I985" s="159">
        <v>196937.28</v>
      </c>
      <c r="J985" s="159">
        <v>55.5</v>
      </c>
      <c r="K985" t="str">
        <f>VLOOKUP($C985,Lists!$C$3:$M$118,7,FALSE)</f>
        <v>SOBO_PET</v>
      </c>
      <c r="S985" s="4"/>
      <c r="T985" s="4"/>
      <c r="U985" s="5"/>
      <c r="V985" s="5"/>
    </row>
    <row r="986" spans="1:22" x14ac:dyDescent="0.25">
      <c r="A986" s="158" t="s">
        <v>598</v>
      </c>
      <c r="B986" s="158" t="s">
        <v>599</v>
      </c>
      <c r="C986" s="158" t="s">
        <v>67</v>
      </c>
      <c r="D986" s="158" t="s">
        <v>533</v>
      </c>
      <c r="E986" s="157">
        <v>144</v>
      </c>
      <c r="F986" s="158" t="s">
        <v>525</v>
      </c>
      <c r="G986" s="159">
        <v>414315.36</v>
      </c>
      <c r="H986" s="159">
        <v>0</v>
      </c>
      <c r="I986" s="159">
        <v>207779.04</v>
      </c>
      <c r="J986" s="159">
        <v>50.1</v>
      </c>
      <c r="K986" t="str">
        <f>VLOOKUP($C986,Lists!$C$3:$M$118,7,FALSE)</f>
        <v>COKE_PET</v>
      </c>
      <c r="S986" s="4"/>
      <c r="T986" s="4"/>
      <c r="U986" s="5"/>
      <c r="V986" s="5"/>
    </row>
    <row r="987" spans="1:22" x14ac:dyDescent="0.25">
      <c r="A987" s="158" t="s">
        <v>598</v>
      </c>
      <c r="B987" s="158" t="s">
        <v>599</v>
      </c>
      <c r="C987" s="158" t="s">
        <v>29</v>
      </c>
      <c r="D987" s="158" t="s">
        <v>30</v>
      </c>
      <c r="E987" s="157">
        <v>85</v>
      </c>
      <c r="F987" s="158" t="s">
        <v>525</v>
      </c>
      <c r="G987" s="159">
        <v>3151025.65</v>
      </c>
      <c r="H987" s="159">
        <v>0</v>
      </c>
      <c r="I987" s="159">
        <v>941025.65</v>
      </c>
      <c r="J987" s="159">
        <v>29.9</v>
      </c>
      <c r="K987" t="str">
        <f>VLOOKUP($C987,Lists!$C$3:$M$118,7,FALSE)</f>
        <v>Spirits</v>
      </c>
      <c r="S987" s="4"/>
      <c r="T987" s="4"/>
      <c r="U987" s="5"/>
      <c r="V987" s="5"/>
    </row>
    <row r="988" spans="1:22" x14ac:dyDescent="0.25">
      <c r="A988" s="158" t="s">
        <v>598</v>
      </c>
      <c r="B988" s="158" t="s">
        <v>599</v>
      </c>
      <c r="C988" s="158" t="s">
        <v>31</v>
      </c>
      <c r="D988" s="158" t="s">
        <v>32</v>
      </c>
      <c r="E988" s="157">
        <v>20</v>
      </c>
      <c r="F988" s="158" t="s">
        <v>525</v>
      </c>
      <c r="G988" s="159">
        <v>696024.8</v>
      </c>
      <c r="H988" s="159">
        <v>0</v>
      </c>
      <c r="I988" s="159">
        <v>216024.8</v>
      </c>
      <c r="J988" s="159">
        <v>31</v>
      </c>
      <c r="K988" t="str">
        <f>VLOOKUP($C988,Lists!$C$3:$M$118,7,FALSE)</f>
        <v>Spirits</v>
      </c>
      <c r="S988" s="4"/>
      <c r="T988" s="4"/>
      <c r="U988" s="5"/>
      <c r="V988" s="5"/>
    </row>
    <row r="989" spans="1:22" x14ac:dyDescent="0.25">
      <c r="A989" s="158" t="s">
        <v>598</v>
      </c>
      <c r="B989" s="158" t="s">
        <v>599</v>
      </c>
      <c r="C989" s="158" t="s">
        <v>33</v>
      </c>
      <c r="D989" s="158" t="s">
        <v>34</v>
      </c>
      <c r="E989" s="157">
        <v>40</v>
      </c>
      <c r="F989" s="158" t="s">
        <v>525</v>
      </c>
      <c r="G989" s="159">
        <v>2269646.4</v>
      </c>
      <c r="H989" s="159">
        <v>0</v>
      </c>
      <c r="I989" s="159">
        <v>469646.4</v>
      </c>
      <c r="J989" s="159">
        <v>20.7</v>
      </c>
      <c r="K989" t="str">
        <f>VLOOKUP($C989,Lists!$C$3:$M$118,7,FALSE)</f>
        <v>Spirits</v>
      </c>
      <c r="S989" s="4"/>
      <c r="T989" s="4"/>
      <c r="U989" s="5"/>
      <c r="V989" s="5"/>
    </row>
    <row r="990" spans="1:22" x14ac:dyDescent="0.25">
      <c r="A990" s="158" t="s">
        <v>598</v>
      </c>
      <c r="B990" s="158" t="s">
        <v>599</v>
      </c>
      <c r="C990" s="158" t="s">
        <v>88</v>
      </c>
      <c r="D990" s="158" t="s">
        <v>527</v>
      </c>
      <c r="E990" s="157">
        <v>432</v>
      </c>
      <c r="F990" s="158" t="s">
        <v>525</v>
      </c>
      <c r="G990" s="159">
        <v>1242946.08</v>
      </c>
      <c r="H990" s="159">
        <v>0</v>
      </c>
      <c r="I990" s="159">
        <v>738931.68</v>
      </c>
      <c r="J990" s="159">
        <v>59.5</v>
      </c>
      <c r="K990" t="str">
        <f>VLOOKUP($C990,Lists!$C$3:$M$118,7,FALSE)</f>
        <v>SOBO_PET</v>
      </c>
      <c r="S990" s="4"/>
      <c r="T990" s="4"/>
      <c r="U990" s="5"/>
      <c r="V990" s="5"/>
    </row>
    <row r="991" spans="1:22" x14ac:dyDescent="0.25">
      <c r="A991" s="158" t="s">
        <v>598</v>
      </c>
      <c r="B991" s="158" t="s">
        <v>599</v>
      </c>
      <c r="C991" s="158" t="s">
        <v>51</v>
      </c>
      <c r="D991" s="158" t="s">
        <v>52</v>
      </c>
      <c r="E991" s="157">
        <v>360</v>
      </c>
      <c r="F991" s="158" t="s">
        <v>525</v>
      </c>
      <c r="G991" s="159">
        <v>3609856.8</v>
      </c>
      <c r="H991" s="159">
        <v>0</v>
      </c>
      <c r="I991" s="159">
        <v>1140130.8</v>
      </c>
      <c r="J991" s="159">
        <v>31.6</v>
      </c>
      <c r="K991" t="str">
        <f>VLOOKUP($C991,Lists!$C$3:$M$118,7,FALSE)</f>
        <v>Squash</v>
      </c>
      <c r="S991" s="4"/>
      <c r="T991" s="4"/>
      <c r="U991" s="5"/>
      <c r="V991" s="5"/>
    </row>
    <row r="992" spans="1:22" x14ac:dyDescent="0.25">
      <c r="A992" s="158" t="s">
        <v>598</v>
      </c>
      <c r="B992" s="158" t="s">
        <v>599</v>
      </c>
      <c r="C992" s="158" t="s">
        <v>26</v>
      </c>
      <c r="D992" s="158" t="s">
        <v>27</v>
      </c>
      <c r="E992" s="157">
        <v>720</v>
      </c>
      <c r="F992" s="158" t="s">
        <v>525</v>
      </c>
      <c r="G992" s="159">
        <v>1571328</v>
      </c>
      <c r="H992" s="159">
        <v>0</v>
      </c>
      <c r="I992" s="159">
        <v>692755.2</v>
      </c>
      <c r="J992" s="159">
        <v>44.1</v>
      </c>
      <c r="K992" t="str">
        <f>VLOOKUP($C992,Lists!$C$3:$M$118,7,FALSE)</f>
        <v>Water</v>
      </c>
      <c r="S992" s="4"/>
      <c r="T992" s="4"/>
      <c r="U992" s="5"/>
      <c r="V992" s="5"/>
    </row>
    <row r="993" spans="1:22" x14ac:dyDescent="0.25">
      <c r="A993" s="158" t="s">
        <v>471</v>
      </c>
      <c r="B993" s="158" t="s">
        <v>103</v>
      </c>
      <c r="C993" s="158" t="s">
        <v>41</v>
      </c>
      <c r="D993" s="158" t="s">
        <v>42</v>
      </c>
      <c r="E993" s="157">
        <v>72</v>
      </c>
      <c r="F993" s="158" t="s">
        <v>525</v>
      </c>
      <c r="G993" s="159">
        <v>556223.04</v>
      </c>
      <c r="H993" s="159">
        <v>0</v>
      </c>
      <c r="I993" s="159">
        <v>233303.04000000001</v>
      </c>
      <c r="J993" s="159">
        <v>41.9</v>
      </c>
      <c r="K993" t="str">
        <f>VLOOKUP($C993,Lists!$C$3:$M$118,7,FALSE)</f>
        <v>Alcomix</v>
      </c>
      <c r="S993" s="4"/>
      <c r="T993" s="4"/>
      <c r="U993" s="5"/>
      <c r="V993" s="5"/>
    </row>
    <row r="994" spans="1:22" x14ac:dyDescent="0.25">
      <c r="A994" s="158" t="s">
        <v>471</v>
      </c>
      <c r="B994" s="158" t="s">
        <v>103</v>
      </c>
      <c r="C994" s="158" t="s">
        <v>10</v>
      </c>
      <c r="D994" s="158" t="s">
        <v>11</v>
      </c>
      <c r="E994" s="157">
        <v>497</v>
      </c>
      <c r="F994" s="158" t="s">
        <v>525</v>
      </c>
      <c r="G994" s="159">
        <v>3839484.04</v>
      </c>
      <c r="H994" s="159">
        <v>0</v>
      </c>
      <c r="I994" s="159">
        <v>1610439.04</v>
      </c>
      <c r="J994" s="159">
        <v>41.9</v>
      </c>
      <c r="K994" t="str">
        <f>VLOOKUP($C994,Lists!$C$3:$M$118,7,FALSE)</f>
        <v>Alcomix</v>
      </c>
      <c r="S994" s="4"/>
      <c r="T994" s="4"/>
      <c r="U994" s="5"/>
      <c r="V994" s="5"/>
    </row>
    <row r="995" spans="1:22" x14ac:dyDescent="0.25">
      <c r="A995" s="158" t="s">
        <v>471</v>
      </c>
      <c r="B995" s="158" t="s">
        <v>103</v>
      </c>
      <c r="C995" s="158" t="s">
        <v>12</v>
      </c>
      <c r="D995" s="158" t="s">
        <v>13</v>
      </c>
      <c r="E995" s="157">
        <v>5232</v>
      </c>
      <c r="F995" s="158" t="s">
        <v>525</v>
      </c>
      <c r="G995" s="159">
        <v>33682412.640000001</v>
      </c>
      <c r="H995" s="159">
        <v>0</v>
      </c>
      <c r="I995" s="159">
        <v>14720336.630000001</v>
      </c>
      <c r="J995" s="159">
        <v>43.7</v>
      </c>
      <c r="K995" t="str">
        <f>VLOOKUP($C995,Lists!$C$3:$M$118,7,FALSE)</f>
        <v>Beers</v>
      </c>
      <c r="S995" s="4"/>
      <c r="T995" s="4"/>
      <c r="U995" s="5"/>
      <c r="V995" s="5"/>
    </row>
    <row r="996" spans="1:22" x14ac:dyDescent="0.25">
      <c r="A996" s="158" t="s">
        <v>471</v>
      </c>
      <c r="B996" s="158" t="s">
        <v>103</v>
      </c>
      <c r="C996" s="158" t="s">
        <v>14</v>
      </c>
      <c r="D996" s="158" t="s">
        <v>15</v>
      </c>
      <c r="E996" s="157">
        <v>2544</v>
      </c>
      <c r="F996" s="158" t="s">
        <v>525</v>
      </c>
      <c r="G996" s="159">
        <v>19653214.079999998</v>
      </c>
      <c r="H996" s="159">
        <v>0</v>
      </c>
      <c r="I996" s="159">
        <v>9705207.3599999994</v>
      </c>
      <c r="J996" s="159">
        <v>49.4</v>
      </c>
      <c r="K996" t="str">
        <f>VLOOKUP($C996,Lists!$C$3:$M$118,7,FALSE)</f>
        <v>Beers</v>
      </c>
      <c r="S996" s="4"/>
      <c r="T996" s="4"/>
      <c r="U996" s="5"/>
      <c r="V996" s="5"/>
    </row>
    <row r="997" spans="1:22" x14ac:dyDescent="0.25">
      <c r="A997" s="158" t="s">
        <v>471</v>
      </c>
      <c r="B997" s="158" t="s">
        <v>103</v>
      </c>
      <c r="C997" s="158" t="s">
        <v>54</v>
      </c>
      <c r="D997" s="158" t="s">
        <v>55</v>
      </c>
      <c r="E997" s="157">
        <v>300</v>
      </c>
      <c r="F997" s="158" t="s">
        <v>525</v>
      </c>
      <c r="G997" s="159">
        <v>2317596</v>
      </c>
      <c r="H997" s="159">
        <v>0</v>
      </c>
      <c r="I997" s="159">
        <v>1216671</v>
      </c>
      <c r="J997" s="159">
        <v>52.5</v>
      </c>
      <c r="K997" t="str">
        <f>VLOOKUP($C997,Lists!$C$3:$M$118,7,FALSE)</f>
        <v>Beers</v>
      </c>
      <c r="S997" s="4"/>
      <c r="T997" s="4"/>
      <c r="U997" s="5"/>
      <c r="V997" s="5"/>
    </row>
    <row r="998" spans="1:22" x14ac:dyDescent="0.25">
      <c r="A998" s="158" t="s">
        <v>471</v>
      </c>
      <c r="B998" s="158" t="s">
        <v>103</v>
      </c>
      <c r="C998" s="158" t="s">
        <v>16</v>
      </c>
      <c r="D998" s="158" t="s">
        <v>17</v>
      </c>
      <c r="E998" s="157">
        <v>4032</v>
      </c>
      <c r="F998" s="158" t="s">
        <v>525</v>
      </c>
      <c r="G998" s="159">
        <v>31148490.239999998</v>
      </c>
      <c r="H998" s="159">
        <v>0</v>
      </c>
      <c r="I998" s="159">
        <v>15381838.08</v>
      </c>
      <c r="J998" s="159">
        <v>49.4</v>
      </c>
      <c r="K998" t="str">
        <f>VLOOKUP($C998,Lists!$C$3:$M$118,7,FALSE)</f>
        <v>Beers</v>
      </c>
      <c r="S998" s="4"/>
      <c r="T998" s="4"/>
      <c r="U998" s="5"/>
      <c r="V998" s="5"/>
    </row>
    <row r="999" spans="1:22" x14ac:dyDescent="0.25">
      <c r="A999" s="158" t="s">
        <v>471</v>
      </c>
      <c r="B999" s="158" t="s">
        <v>103</v>
      </c>
      <c r="C999" s="158" t="s">
        <v>56</v>
      </c>
      <c r="D999" s="158" t="s">
        <v>57</v>
      </c>
      <c r="E999" s="157">
        <v>550</v>
      </c>
      <c r="F999" s="158" t="s">
        <v>525</v>
      </c>
      <c r="G999" s="159">
        <v>4248926</v>
      </c>
      <c r="H999" s="159">
        <v>0</v>
      </c>
      <c r="I999" s="159">
        <v>2230563.5</v>
      </c>
      <c r="J999" s="159">
        <v>52.5</v>
      </c>
      <c r="K999" t="str">
        <f>VLOOKUP($C999,Lists!$C$3:$M$118,7,FALSE)</f>
        <v>Beers</v>
      </c>
      <c r="S999" s="4"/>
      <c r="T999" s="4"/>
      <c r="U999" s="5"/>
      <c r="V999" s="5"/>
    </row>
    <row r="1000" spans="1:22" x14ac:dyDescent="0.25">
      <c r="A1000" s="158" t="s">
        <v>471</v>
      </c>
      <c r="B1000" s="158" t="s">
        <v>103</v>
      </c>
      <c r="C1000" s="158" t="s">
        <v>18</v>
      </c>
      <c r="D1000" s="158" t="s">
        <v>19</v>
      </c>
      <c r="E1000" s="157">
        <v>360</v>
      </c>
      <c r="F1000" s="158" t="s">
        <v>525</v>
      </c>
      <c r="G1000" s="159">
        <v>3708154.8</v>
      </c>
      <c r="H1000" s="159">
        <v>0</v>
      </c>
      <c r="I1000" s="159">
        <v>1922734.8</v>
      </c>
      <c r="J1000" s="159">
        <v>51.9</v>
      </c>
      <c r="K1000" t="str">
        <f>VLOOKUP($C1000,Lists!$C$3:$M$118,7,FALSE)</f>
        <v>Beers</v>
      </c>
      <c r="S1000" s="4"/>
      <c r="T1000" s="4"/>
      <c r="U1000" s="5"/>
      <c r="V1000" s="5"/>
    </row>
    <row r="1001" spans="1:22" x14ac:dyDescent="0.25">
      <c r="A1001" s="158" t="s">
        <v>471</v>
      </c>
      <c r="B1001" s="158" t="s">
        <v>103</v>
      </c>
      <c r="C1001" s="158" t="s">
        <v>20</v>
      </c>
      <c r="D1001" s="158" t="s">
        <v>21</v>
      </c>
      <c r="E1001" s="157">
        <v>5544</v>
      </c>
      <c r="F1001" s="158" t="s">
        <v>525</v>
      </c>
      <c r="G1001" s="159">
        <v>21943318.32</v>
      </c>
      <c r="H1001" s="159">
        <v>0</v>
      </c>
      <c r="I1001" s="159">
        <v>9221501.4800000004</v>
      </c>
      <c r="J1001" s="159">
        <v>42</v>
      </c>
      <c r="K1001" t="str">
        <f>VLOOKUP($C1001,Lists!$C$3:$M$118,7,FALSE)</f>
        <v>COKE_RGB</v>
      </c>
      <c r="S1001" s="4"/>
      <c r="T1001" s="4"/>
      <c r="U1001" s="5"/>
      <c r="V1001" s="5"/>
    </row>
    <row r="1002" spans="1:22" x14ac:dyDescent="0.25">
      <c r="A1002" s="158" t="s">
        <v>471</v>
      </c>
      <c r="B1002" s="158" t="s">
        <v>103</v>
      </c>
      <c r="C1002" s="158" t="s">
        <v>28</v>
      </c>
      <c r="D1002" s="158" t="s">
        <v>530</v>
      </c>
      <c r="E1002" s="157">
        <v>432</v>
      </c>
      <c r="F1002" s="158" t="s">
        <v>525</v>
      </c>
      <c r="G1002" s="159">
        <v>1219492.8</v>
      </c>
      <c r="H1002" s="159">
        <v>0</v>
      </c>
      <c r="I1002" s="159">
        <v>615103.19999999995</v>
      </c>
      <c r="J1002" s="159">
        <v>50.4</v>
      </c>
      <c r="K1002" t="str">
        <f>VLOOKUP($C1002,Lists!$C$3:$M$118,7,FALSE)</f>
        <v>COKE_PET</v>
      </c>
      <c r="S1002" s="4"/>
      <c r="T1002" s="4"/>
      <c r="U1002" s="5"/>
      <c r="V1002" s="5"/>
    </row>
    <row r="1003" spans="1:22" x14ac:dyDescent="0.25">
      <c r="A1003" s="158" t="s">
        <v>471</v>
      </c>
      <c r="B1003" s="158" t="s">
        <v>103</v>
      </c>
      <c r="C1003" s="158" t="s">
        <v>58</v>
      </c>
      <c r="D1003" s="158" t="s">
        <v>537</v>
      </c>
      <c r="E1003" s="157">
        <v>575</v>
      </c>
      <c r="F1003" s="158" t="s">
        <v>525</v>
      </c>
      <c r="G1003" s="159">
        <v>1391287.25</v>
      </c>
      <c r="H1003" s="159">
        <v>0</v>
      </c>
      <c r="I1003" s="159">
        <v>770827.74</v>
      </c>
      <c r="J1003" s="159">
        <v>55.4</v>
      </c>
      <c r="K1003" t="str">
        <f>VLOOKUP($C1003,Lists!$C$3:$M$118,7,FALSE)</f>
        <v>SOBO_PET</v>
      </c>
      <c r="S1003" s="4"/>
      <c r="T1003" s="4"/>
      <c r="U1003" s="5"/>
      <c r="V1003" s="5"/>
    </row>
    <row r="1004" spans="1:22" x14ac:dyDescent="0.25">
      <c r="A1004" s="158" t="s">
        <v>471</v>
      </c>
      <c r="B1004" s="158" t="s">
        <v>103</v>
      </c>
      <c r="C1004" s="158" t="s">
        <v>78</v>
      </c>
      <c r="D1004" s="158" t="s">
        <v>526</v>
      </c>
      <c r="E1004" s="157">
        <v>287</v>
      </c>
      <c r="F1004" s="158" t="s">
        <v>525</v>
      </c>
      <c r="G1004" s="159">
        <v>694433.81</v>
      </c>
      <c r="H1004" s="159">
        <v>0</v>
      </c>
      <c r="I1004" s="159">
        <v>379152.82</v>
      </c>
      <c r="J1004" s="159">
        <v>54.6</v>
      </c>
      <c r="K1004" t="str">
        <f>VLOOKUP($C1004,Lists!$C$3:$M$118,7,FALSE)</f>
        <v>SOBO_PET</v>
      </c>
      <c r="S1004" s="4"/>
      <c r="T1004" s="4"/>
      <c r="U1004" s="5"/>
      <c r="V1004" s="5"/>
    </row>
    <row r="1005" spans="1:22" x14ac:dyDescent="0.25">
      <c r="A1005" s="158" t="s">
        <v>471</v>
      </c>
      <c r="B1005" s="158" t="s">
        <v>103</v>
      </c>
      <c r="C1005" s="158" t="s">
        <v>43</v>
      </c>
      <c r="D1005" s="158" t="s">
        <v>44</v>
      </c>
      <c r="E1005" s="157">
        <v>144</v>
      </c>
      <c r="F1005" s="158" t="s">
        <v>525</v>
      </c>
      <c r="G1005" s="159">
        <v>1112446.08</v>
      </c>
      <c r="H1005" s="159">
        <v>0</v>
      </c>
      <c r="I1005" s="159">
        <v>549351.36</v>
      </c>
      <c r="J1005" s="159">
        <v>49.4</v>
      </c>
      <c r="K1005" t="str">
        <f>VLOOKUP($C1005,Lists!$C$3:$M$118,7,FALSE)</f>
        <v>Beers</v>
      </c>
      <c r="S1005" s="4"/>
      <c r="T1005" s="4"/>
      <c r="U1005" s="5"/>
      <c r="V1005" s="5"/>
    </row>
    <row r="1006" spans="1:22" x14ac:dyDescent="0.25">
      <c r="A1006" s="158" t="s">
        <v>471</v>
      </c>
      <c r="B1006" s="158" t="s">
        <v>103</v>
      </c>
      <c r="C1006" s="158" t="s">
        <v>59</v>
      </c>
      <c r="D1006" s="158" t="s">
        <v>60</v>
      </c>
      <c r="E1006" s="157">
        <v>504</v>
      </c>
      <c r="F1006" s="158" t="s">
        <v>525</v>
      </c>
      <c r="G1006" s="159">
        <v>1994847.12</v>
      </c>
      <c r="H1006" s="159">
        <v>0</v>
      </c>
      <c r="I1006" s="159">
        <v>812236.31</v>
      </c>
      <c r="J1006" s="159">
        <v>40.700000000000003</v>
      </c>
      <c r="K1006" t="str">
        <f>VLOOKUP($C1006,Lists!$C$3:$M$118,7,FALSE)</f>
        <v>COKE_RGB</v>
      </c>
      <c r="S1006" s="4"/>
      <c r="T1006" s="4"/>
      <c r="U1006" s="5"/>
      <c r="V1006" s="5"/>
    </row>
    <row r="1007" spans="1:22" x14ac:dyDescent="0.25">
      <c r="A1007" s="158" t="s">
        <v>471</v>
      </c>
      <c r="B1007" s="158" t="s">
        <v>103</v>
      </c>
      <c r="C1007" s="158" t="s">
        <v>22</v>
      </c>
      <c r="D1007" s="158" t="s">
        <v>23</v>
      </c>
      <c r="E1007" s="157">
        <v>1584</v>
      </c>
      <c r="F1007" s="158" t="s">
        <v>525</v>
      </c>
      <c r="G1007" s="159">
        <v>6269519.5199999996</v>
      </c>
      <c r="H1007" s="159">
        <v>0</v>
      </c>
      <c r="I1007" s="159">
        <v>2525783.04</v>
      </c>
      <c r="J1007" s="159">
        <v>40.299999999999997</v>
      </c>
      <c r="K1007" t="str">
        <f>VLOOKUP($C1007,Lists!$C$3:$M$118,7,FALSE)</f>
        <v>COKE_RGB</v>
      </c>
      <c r="S1007" s="4"/>
      <c r="T1007" s="4"/>
      <c r="U1007" s="5"/>
      <c r="V1007" s="5"/>
    </row>
    <row r="1008" spans="1:22" x14ac:dyDescent="0.25">
      <c r="A1008" s="158" t="s">
        <v>471</v>
      </c>
      <c r="B1008" s="158" t="s">
        <v>103</v>
      </c>
      <c r="C1008" s="158" t="s">
        <v>67</v>
      </c>
      <c r="D1008" s="158" t="s">
        <v>533</v>
      </c>
      <c r="E1008" s="157">
        <v>143</v>
      </c>
      <c r="F1008" s="158" t="s">
        <v>525</v>
      </c>
      <c r="G1008" s="159">
        <v>403674.7</v>
      </c>
      <c r="H1008" s="159">
        <v>0</v>
      </c>
      <c r="I1008" s="159">
        <v>198572.66</v>
      </c>
      <c r="J1008" s="159">
        <v>49.2</v>
      </c>
      <c r="K1008" t="str">
        <f>VLOOKUP($C1008,Lists!$C$3:$M$118,7,FALSE)</f>
        <v>COKE_PET</v>
      </c>
      <c r="S1008" s="4"/>
      <c r="T1008" s="4"/>
      <c r="U1008" s="5"/>
      <c r="V1008" s="5"/>
    </row>
    <row r="1009" spans="1:22" x14ac:dyDescent="0.25">
      <c r="A1009" s="158" t="s">
        <v>471</v>
      </c>
      <c r="B1009" s="158" t="s">
        <v>103</v>
      </c>
      <c r="C1009" s="158" t="s">
        <v>261</v>
      </c>
      <c r="D1009" s="158" t="s">
        <v>538</v>
      </c>
      <c r="E1009" s="157">
        <v>144</v>
      </c>
      <c r="F1009" s="158" t="s">
        <v>525</v>
      </c>
      <c r="G1009" s="159">
        <v>569956.31999999995</v>
      </c>
      <c r="H1009" s="159">
        <v>0</v>
      </c>
      <c r="I1009" s="159">
        <v>229616.64000000001</v>
      </c>
      <c r="J1009" s="159">
        <v>40.299999999999997</v>
      </c>
      <c r="K1009" t="str">
        <f>VLOOKUP($C1009,Lists!$C$3:$M$118,7,FALSE)</f>
        <v>COKE_RGB</v>
      </c>
      <c r="S1009" s="4"/>
      <c r="T1009" s="4"/>
      <c r="U1009" s="5"/>
      <c r="V1009" s="5"/>
    </row>
    <row r="1010" spans="1:22" x14ac:dyDescent="0.25">
      <c r="A1010" s="158" t="s">
        <v>471</v>
      </c>
      <c r="B1010" s="158" t="s">
        <v>103</v>
      </c>
      <c r="C1010" s="158" t="s">
        <v>24</v>
      </c>
      <c r="D1010" s="158" t="s">
        <v>25</v>
      </c>
      <c r="E1010" s="157">
        <v>648</v>
      </c>
      <c r="F1010" s="158" t="s">
        <v>525</v>
      </c>
      <c r="G1010" s="159">
        <v>4171674.96</v>
      </c>
      <c r="H1010" s="159">
        <v>0</v>
      </c>
      <c r="I1010" s="159">
        <v>2008566.72</v>
      </c>
      <c r="J1010" s="159">
        <v>48.1</v>
      </c>
      <c r="K1010" t="str">
        <f>VLOOKUP($C1010,Lists!$C$3:$M$118,7,FALSE)</f>
        <v>Beers</v>
      </c>
      <c r="S1010" s="4"/>
      <c r="T1010" s="4"/>
      <c r="U1010" s="5"/>
      <c r="V1010" s="5"/>
    </row>
    <row r="1011" spans="1:22" x14ac:dyDescent="0.25">
      <c r="A1011" s="158" t="s">
        <v>471</v>
      </c>
      <c r="B1011" s="158" t="s">
        <v>103</v>
      </c>
      <c r="C1011" s="158" t="s">
        <v>29</v>
      </c>
      <c r="D1011" s="158" t="s">
        <v>30</v>
      </c>
      <c r="E1011" s="157">
        <v>40</v>
      </c>
      <c r="F1011" s="158" t="s">
        <v>525</v>
      </c>
      <c r="G1011" s="159">
        <v>1455375.6</v>
      </c>
      <c r="H1011" s="159">
        <v>0</v>
      </c>
      <c r="I1011" s="159">
        <v>415375.6</v>
      </c>
      <c r="J1011" s="159">
        <v>28.5</v>
      </c>
      <c r="K1011" t="str">
        <f>VLOOKUP($C1011,Lists!$C$3:$M$118,7,FALSE)</f>
        <v>Spirits</v>
      </c>
      <c r="S1011" s="4"/>
      <c r="T1011" s="4"/>
      <c r="U1011" s="5"/>
      <c r="V1011" s="5"/>
    </row>
    <row r="1012" spans="1:22" x14ac:dyDescent="0.25">
      <c r="A1012" s="158" t="s">
        <v>471</v>
      </c>
      <c r="B1012" s="158" t="s">
        <v>103</v>
      </c>
      <c r="C1012" s="158" t="s">
        <v>33</v>
      </c>
      <c r="D1012" s="158" t="s">
        <v>34</v>
      </c>
      <c r="E1012" s="157">
        <v>10</v>
      </c>
      <c r="F1012" s="158" t="s">
        <v>525</v>
      </c>
      <c r="G1012" s="159">
        <v>556904</v>
      </c>
      <c r="H1012" s="159">
        <v>0</v>
      </c>
      <c r="I1012" s="159">
        <v>106904</v>
      </c>
      <c r="J1012" s="159">
        <v>19.2</v>
      </c>
      <c r="K1012" t="str">
        <f>VLOOKUP($C1012,Lists!$C$3:$M$118,7,FALSE)</f>
        <v>Spirits</v>
      </c>
      <c r="S1012" s="4"/>
      <c r="T1012" s="4"/>
      <c r="U1012" s="5"/>
      <c r="V1012" s="5"/>
    </row>
    <row r="1013" spans="1:22" x14ac:dyDescent="0.25">
      <c r="A1013" s="158" t="s">
        <v>471</v>
      </c>
      <c r="B1013" s="158" t="s">
        <v>103</v>
      </c>
      <c r="C1013" s="158" t="s">
        <v>37</v>
      </c>
      <c r="D1013" s="158" t="s">
        <v>38</v>
      </c>
      <c r="E1013" s="157">
        <v>1296</v>
      </c>
      <c r="F1013" s="158" t="s">
        <v>525</v>
      </c>
      <c r="G1013" s="159">
        <v>4274674.5599999996</v>
      </c>
      <c r="H1013" s="159">
        <v>0</v>
      </c>
      <c r="I1013" s="159">
        <v>2002540.31</v>
      </c>
      <c r="J1013" s="159">
        <v>46.8</v>
      </c>
      <c r="K1013" t="str">
        <f>VLOOKUP($C1013,Lists!$C$3:$M$118,7,FALSE)</f>
        <v>SOBO_RGB</v>
      </c>
      <c r="S1013" s="4"/>
      <c r="T1013" s="4"/>
      <c r="U1013" s="5"/>
      <c r="V1013" s="5"/>
    </row>
    <row r="1014" spans="1:22" x14ac:dyDescent="0.25">
      <c r="A1014" s="158" t="s">
        <v>471</v>
      </c>
      <c r="B1014" s="158" t="s">
        <v>103</v>
      </c>
      <c r="C1014" s="158" t="s">
        <v>39</v>
      </c>
      <c r="D1014" s="158" t="s">
        <v>40</v>
      </c>
      <c r="E1014" s="157">
        <v>1224</v>
      </c>
      <c r="F1014" s="158" t="s">
        <v>525</v>
      </c>
      <c r="G1014" s="159">
        <v>4037192.64</v>
      </c>
      <c r="H1014" s="159">
        <v>0</v>
      </c>
      <c r="I1014" s="159">
        <v>1874568.23</v>
      </c>
      <c r="J1014" s="159">
        <v>46.4</v>
      </c>
      <c r="K1014" t="str">
        <f>VLOOKUP($C1014,Lists!$C$3:$M$118,7,FALSE)</f>
        <v>SOBO_RGB</v>
      </c>
      <c r="S1014" s="4"/>
      <c r="T1014" s="4"/>
      <c r="U1014" s="5"/>
      <c r="V1014" s="5"/>
    </row>
    <row r="1015" spans="1:22" x14ac:dyDescent="0.25">
      <c r="A1015" s="158" t="s">
        <v>471</v>
      </c>
      <c r="B1015" s="158" t="s">
        <v>103</v>
      </c>
      <c r="C1015" s="158" t="s">
        <v>45</v>
      </c>
      <c r="D1015" s="158" t="s">
        <v>46</v>
      </c>
      <c r="E1015" s="157">
        <v>671</v>
      </c>
      <c r="F1015" s="158" t="s">
        <v>525</v>
      </c>
      <c r="G1015" s="159">
        <v>2655838.13</v>
      </c>
      <c r="H1015" s="159">
        <v>0</v>
      </c>
      <c r="I1015" s="159">
        <v>1308094.3700000001</v>
      </c>
      <c r="J1015" s="159">
        <v>49.3</v>
      </c>
      <c r="K1015" t="str">
        <f>VLOOKUP($C1015,Lists!$C$3:$M$118,7,FALSE)</f>
        <v>SOBO_RGB</v>
      </c>
      <c r="S1015" s="4"/>
      <c r="T1015" s="4"/>
      <c r="U1015" s="5"/>
      <c r="V1015" s="5"/>
    </row>
    <row r="1016" spans="1:22" x14ac:dyDescent="0.25">
      <c r="A1016" s="158" t="s">
        <v>471</v>
      </c>
      <c r="B1016" s="158" t="s">
        <v>103</v>
      </c>
      <c r="C1016" s="158" t="s">
        <v>47</v>
      </c>
      <c r="D1016" s="158" t="s">
        <v>48</v>
      </c>
      <c r="E1016" s="157">
        <v>576</v>
      </c>
      <c r="F1016" s="158" t="s">
        <v>525</v>
      </c>
      <c r="G1016" s="159">
        <v>2279825.2799999998</v>
      </c>
      <c r="H1016" s="159">
        <v>0</v>
      </c>
      <c r="I1016" s="159">
        <v>994942.08</v>
      </c>
      <c r="J1016" s="159">
        <v>43.6</v>
      </c>
      <c r="K1016" t="str">
        <f>VLOOKUP($C1016,Lists!$C$3:$M$118,7,FALSE)</f>
        <v>COKE_RGB</v>
      </c>
      <c r="S1016" s="4"/>
      <c r="T1016" s="4"/>
      <c r="U1016" s="5"/>
      <c r="V1016" s="5"/>
    </row>
    <row r="1017" spans="1:22" x14ac:dyDescent="0.25">
      <c r="A1017" s="158" t="s">
        <v>471</v>
      </c>
      <c r="B1017" s="158" t="s">
        <v>103</v>
      </c>
      <c r="C1017" s="158" t="s">
        <v>68</v>
      </c>
      <c r="D1017" s="158" t="s">
        <v>534</v>
      </c>
      <c r="E1017" s="157">
        <v>144</v>
      </c>
      <c r="F1017" s="158" t="s">
        <v>525</v>
      </c>
      <c r="G1017" s="159">
        <v>406497.6</v>
      </c>
      <c r="H1017" s="159">
        <v>0</v>
      </c>
      <c r="I1017" s="159">
        <v>198080.64000000001</v>
      </c>
      <c r="J1017" s="159">
        <v>48.7</v>
      </c>
      <c r="K1017" t="str">
        <f>VLOOKUP($C1017,Lists!$C$3:$M$118,7,FALSE)</f>
        <v>COKE_PET</v>
      </c>
      <c r="S1017" s="4"/>
      <c r="T1017" s="4"/>
      <c r="U1017" s="5"/>
      <c r="V1017" s="5"/>
    </row>
    <row r="1018" spans="1:22" x14ac:dyDescent="0.25">
      <c r="A1018" s="158" t="s">
        <v>471</v>
      </c>
      <c r="B1018" s="158" t="s">
        <v>103</v>
      </c>
      <c r="C1018" s="158" t="s">
        <v>49</v>
      </c>
      <c r="D1018" s="158" t="s">
        <v>50</v>
      </c>
      <c r="E1018" s="157">
        <v>55</v>
      </c>
      <c r="F1018" s="158" t="s">
        <v>525</v>
      </c>
      <c r="G1018" s="159">
        <v>551505.9</v>
      </c>
      <c r="H1018" s="159">
        <v>0</v>
      </c>
      <c r="I1018" s="159">
        <v>175654.6</v>
      </c>
      <c r="J1018" s="159">
        <v>31.8</v>
      </c>
      <c r="K1018" t="str">
        <f>VLOOKUP($C1018,Lists!$C$3:$M$118,7,FALSE)</f>
        <v>Squash</v>
      </c>
      <c r="S1018" s="4"/>
      <c r="T1018" s="4"/>
      <c r="U1018" s="5"/>
      <c r="V1018" s="5"/>
    </row>
    <row r="1019" spans="1:22" x14ac:dyDescent="0.25">
      <c r="A1019" s="158" t="s">
        <v>471</v>
      </c>
      <c r="B1019" s="158" t="s">
        <v>103</v>
      </c>
      <c r="C1019" s="158" t="s">
        <v>51</v>
      </c>
      <c r="D1019" s="158" t="s">
        <v>52</v>
      </c>
      <c r="E1019" s="157">
        <v>56</v>
      </c>
      <c r="F1019" s="158" t="s">
        <v>525</v>
      </c>
      <c r="G1019" s="159">
        <v>561533.28</v>
      </c>
      <c r="H1019" s="159">
        <v>0</v>
      </c>
      <c r="I1019" s="159">
        <v>177353.68</v>
      </c>
      <c r="J1019" s="159">
        <v>31.6</v>
      </c>
      <c r="K1019" t="str">
        <f>VLOOKUP($C1019,Lists!$C$3:$M$118,7,FALSE)</f>
        <v>Squash</v>
      </c>
      <c r="S1019" s="4"/>
      <c r="T1019" s="4"/>
      <c r="U1019" s="5"/>
      <c r="V1019" s="5"/>
    </row>
    <row r="1020" spans="1:22" x14ac:dyDescent="0.25">
      <c r="A1020" s="158" t="s">
        <v>471</v>
      </c>
      <c r="B1020" s="158" t="s">
        <v>103</v>
      </c>
      <c r="C1020" s="158" t="s">
        <v>26</v>
      </c>
      <c r="D1020" s="158" t="s">
        <v>27</v>
      </c>
      <c r="E1020" s="157">
        <v>144</v>
      </c>
      <c r="F1020" s="158" t="s">
        <v>525</v>
      </c>
      <c r="G1020" s="159">
        <v>314265.59999999998</v>
      </c>
      <c r="H1020" s="159">
        <v>0</v>
      </c>
      <c r="I1020" s="159">
        <v>138551.04000000001</v>
      </c>
      <c r="J1020" s="159">
        <v>44.1</v>
      </c>
      <c r="K1020" t="str">
        <f>VLOOKUP($C1020,Lists!$C$3:$M$118,7,FALSE)</f>
        <v>Water</v>
      </c>
      <c r="S1020" s="4"/>
      <c r="T1020" s="4"/>
      <c r="U1020" s="5"/>
      <c r="V1020" s="5"/>
    </row>
    <row r="1021" spans="1:22" x14ac:dyDescent="0.25">
      <c r="A1021" s="158" t="s">
        <v>472</v>
      </c>
      <c r="B1021" s="158" t="s">
        <v>473</v>
      </c>
      <c r="C1021" s="158" t="s">
        <v>41</v>
      </c>
      <c r="D1021" s="158" t="s">
        <v>42</v>
      </c>
      <c r="E1021" s="157">
        <v>72</v>
      </c>
      <c r="F1021" s="158" t="s">
        <v>525</v>
      </c>
      <c r="G1021" s="159">
        <v>556223.04</v>
      </c>
      <c r="H1021" s="159">
        <v>0</v>
      </c>
      <c r="I1021" s="159">
        <v>233303.04000000001</v>
      </c>
      <c r="J1021" s="159">
        <v>41.9</v>
      </c>
      <c r="K1021" t="str">
        <f>VLOOKUP($C1021,Lists!$C$3:$M$118,7,FALSE)</f>
        <v>Alcomix</v>
      </c>
      <c r="S1021" s="4"/>
      <c r="T1021" s="4"/>
      <c r="U1021" s="5"/>
      <c r="V1021" s="5"/>
    </row>
    <row r="1022" spans="1:22" x14ac:dyDescent="0.25">
      <c r="A1022" s="158" t="s">
        <v>472</v>
      </c>
      <c r="B1022" s="158" t="s">
        <v>473</v>
      </c>
      <c r="C1022" s="158" t="s">
        <v>10</v>
      </c>
      <c r="D1022" s="158" t="s">
        <v>11</v>
      </c>
      <c r="E1022" s="157">
        <v>286</v>
      </c>
      <c r="F1022" s="158" t="s">
        <v>525</v>
      </c>
      <c r="G1022" s="159">
        <v>2209441.52</v>
      </c>
      <c r="H1022" s="159">
        <v>0</v>
      </c>
      <c r="I1022" s="159">
        <v>926731.52</v>
      </c>
      <c r="J1022" s="159">
        <v>41.9</v>
      </c>
      <c r="K1022" t="str">
        <f>VLOOKUP($C1022,Lists!$C$3:$M$118,7,FALSE)</f>
        <v>Alcomix</v>
      </c>
      <c r="S1022" s="4"/>
      <c r="T1022" s="4"/>
      <c r="U1022" s="5"/>
      <c r="V1022" s="5"/>
    </row>
    <row r="1023" spans="1:22" x14ac:dyDescent="0.25">
      <c r="A1023" s="158" t="s">
        <v>472</v>
      </c>
      <c r="B1023" s="158" t="s">
        <v>473</v>
      </c>
      <c r="C1023" s="158" t="s">
        <v>12</v>
      </c>
      <c r="D1023" s="158" t="s">
        <v>13</v>
      </c>
      <c r="E1023" s="157">
        <v>5602</v>
      </c>
      <c r="F1023" s="158" t="s">
        <v>525</v>
      </c>
      <c r="G1023" s="159">
        <v>36064387.539999999</v>
      </c>
      <c r="H1023" s="159">
        <v>0</v>
      </c>
      <c r="I1023" s="159">
        <v>15761339.02</v>
      </c>
      <c r="J1023" s="159">
        <v>43.7</v>
      </c>
      <c r="K1023" t="str">
        <f>VLOOKUP($C1023,Lists!$C$3:$M$118,7,FALSE)</f>
        <v>Beers</v>
      </c>
      <c r="S1023" s="4"/>
      <c r="T1023" s="4"/>
      <c r="U1023" s="5"/>
      <c r="V1023" s="5"/>
    </row>
    <row r="1024" spans="1:22" x14ac:dyDescent="0.25">
      <c r="A1024" s="158" t="s">
        <v>472</v>
      </c>
      <c r="B1024" s="158" t="s">
        <v>473</v>
      </c>
      <c r="C1024" s="158" t="s">
        <v>14</v>
      </c>
      <c r="D1024" s="158" t="s">
        <v>15</v>
      </c>
      <c r="E1024" s="157">
        <v>1430</v>
      </c>
      <c r="F1024" s="158" t="s">
        <v>525</v>
      </c>
      <c r="G1024" s="159">
        <v>11047207.6</v>
      </c>
      <c r="H1024" s="159">
        <v>0</v>
      </c>
      <c r="I1024" s="159">
        <v>5455364.2000000002</v>
      </c>
      <c r="J1024" s="159">
        <v>49.4</v>
      </c>
      <c r="K1024" t="str">
        <f>VLOOKUP($C1024,Lists!$C$3:$M$118,7,FALSE)</f>
        <v>Beers</v>
      </c>
      <c r="S1024" s="4"/>
      <c r="T1024" s="4"/>
      <c r="U1024" s="5"/>
      <c r="V1024" s="5"/>
    </row>
    <row r="1025" spans="1:22" x14ac:dyDescent="0.25">
      <c r="A1025" s="158" t="s">
        <v>472</v>
      </c>
      <c r="B1025" s="158" t="s">
        <v>473</v>
      </c>
      <c r="C1025" s="158" t="s">
        <v>54</v>
      </c>
      <c r="D1025" s="158" t="s">
        <v>55</v>
      </c>
      <c r="E1025" s="157">
        <v>500</v>
      </c>
      <c r="F1025" s="158" t="s">
        <v>525</v>
      </c>
      <c r="G1025" s="159">
        <v>3862660</v>
      </c>
      <c r="H1025" s="159">
        <v>0</v>
      </c>
      <c r="I1025" s="159">
        <v>2027784.98</v>
      </c>
      <c r="J1025" s="159">
        <v>52.5</v>
      </c>
      <c r="K1025" t="str">
        <f>VLOOKUP($C1025,Lists!$C$3:$M$118,7,FALSE)</f>
        <v>Beers</v>
      </c>
      <c r="S1025" s="4"/>
      <c r="T1025" s="4"/>
      <c r="U1025" s="5"/>
      <c r="V1025" s="5"/>
    </row>
    <row r="1026" spans="1:22" x14ac:dyDescent="0.25">
      <c r="A1026" s="158" t="s">
        <v>472</v>
      </c>
      <c r="B1026" s="158" t="s">
        <v>473</v>
      </c>
      <c r="C1026" s="158" t="s">
        <v>16</v>
      </c>
      <c r="D1026" s="158" t="s">
        <v>17</v>
      </c>
      <c r="E1026" s="157">
        <v>3301</v>
      </c>
      <c r="F1026" s="158" t="s">
        <v>525</v>
      </c>
      <c r="G1026" s="159">
        <v>25501281.32</v>
      </c>
      <c r="H1026" s="159">
        <v>0</v>
      </c>
      <c r="I1026" s="159">
        <v>12593116.93</v>
      </c>
      <c r="J1026" s="159">
        <v>49.4</v>
      </c>
      <c r="K1026" t="str">
        <f>VLOOKUP($C1026,Lists!$C$3:$M$118,7,FALSE)</f>
        <v>Beers</v>
      </c>
      <c r="S1026" s="4"/>
      <c r="T1026" s="4"/>
      <c r="U1026" s="5"/>
      <c r="V1026" s="5"/>
    </row>
    <row r="1027" spans="1:22" x14ac:dyDescent="0.25">
      <c r="A1027" s="158" t="s">
        <v>472</v>
      </c>
      <c r="B1027" s="158" t="s">
        <v>473</v>
      </c>
      <c r="C1027" s="158" t="s">
        <v>56</v>
      </c>
      <c r="D1027" s="158" t="s">
        <v>57</v>
      </c>
      <c r="E1027" s="157">
        <v>250</v>
      </c>
      <c r="F1027" s="158" t="s">
        <v>525</v>
      </c>
      <c r="G1027" s="159">
        <v>1931330</v>
      </c>
      <c r="H1027" s="159">
        <v>0</v>
      </c>
      <c r="I1027" s="159">
        <v>1013892.5</v>
      </c>
      <c r="J1027" s="159">
        <v>52.5</v>
      </c>
      <c r="K1027" t="str">
        <f>VLOOKUP($C1027,Lists!$C$3:$M$118,7,FALSE)</f>
        <v>Beers</v>
      </c>
      <c r="S1027" s="4"/>
      <c r="T1027" s="4"/>
      <c r="U1027" s="5"/>
      <c r="V1027" s="5"/>
    </row>
    <row r="1028" spans="1:22" x14ac:dyDescent="0.25">
      <c r="A1028" s="158" t="s">
        <v>472</v>
      </c>
      <c r="B1028" s="158" t="s">
        <v>473</v>
      </c>
      <c r="C1028" s="158" t="s">
        <v>18</v>
      </c>
      <c r="D1028" s="158" t="s">
        <v>19</v>
      </c>
      <c r="E1028" s="157">
        <v>143</v>
      </c>
      <c r="F1028" s="158" t="s">
        <v>525</v>
      </c>
      <c r="G1028" s="159">
        <v>1472961.49</v>
      </c>
      <c r="H1028" s="159">
        <v>0</v>
      </c>
      <c r="I1028" s="159">
        <v>763752.99</v>
      </c>
      <c r="J1028" s="159">
        <v>51.9</v>
      </c>
      <c r="K1028" t="str">
        <f>VLOOKUP($C1028,Lists!$C$3:$M$118,7,FALSE)</f>
        <v>Beers</v>
      </c>
      <c r="S1028" s="4"/>
      <c r="T1028" s="4"/>
      <c r="U1028" s="5"/>
      <c r="V1028" s="5"/>
    </row>
    <row r="1029" spans="1:22" x14ac:dyDescent="0.25">
      <c r="A1029" s="158" t="s">
        <v>472</v>
      </c>
      <c r="B1029" s="158" t="s">
        <v>473</v>
      </c>
      <c r="C1029" s="158" t="s">
        <v>20</v>
      </c>
      <c r="D1029" s="158" t="s">
        <v>21</v>
      </c>
      <c r="E1029" s="157">
        <v>2869</v>
      </c>
      <c r="F1029" s="158" t="s">
        <v>525</v>
      </c>
      <c r="G1029" s="159">
        <v>11355588.07</v>
      </c>
      <c r="H1029" s="159">
        <v>0</v>
      </c>
      <c r="I1029" s="159">
        <v>4772093.7699999996</v>
      </c>
      <c r="J1029" s="159">
        <v>42</v>
      </c>
      <c r="K1029" t="str">
        <f>VLOOKUP($C1029,Lists!$C$3:$M$118,7,FALSE)</f>
        <v>COKE_RGB</v>
      </c>
      <c r="S1029" s="4"/>
      <c r="T1029" s="4"/>
      <c r="U1029" s="5"/>
      <c r="V1029" s="5"/>
    </row>
    <row r="1030" spans="1:22" x14ac:dyDescent="0.25">
      <c r="A1030" s="158" t="s">
        <v>472</v>
      </c>
      <c r="B1030" s="158" t="s">
        <v>473</v>
      </c>
      <c r="C1030" s="158" t="s">
        <v>28</v>
      </c>
      <c r="D1030" s="158" t="s">
        <v>530</v>
      </c>
      <c r="E1030" s="157">
        <v>143</v>
      </c>
      <c r="F1030" s="158" t="s">
        <v>525</v>
      </c>
      <c r="G1030" s="159">
        <v>403674.7</v>
      </c>
      <c r="H1030" s="159">
        <v>0</v>
      </c>
      <c r="I1030" s="159">
        <v>203610.55</v>
      </c>
      <c r="J1030" s="159">
        <v>50.4</v>
      </c>
      <c r="K1030" t="str">
        <f>VLOOKUP($C1030,Lists!$C$3:$M$118,7,FALSE)</f>
        <v>COKE_PET</v>
      </c>
      <c r="S1030" s="4"/>
      <c r="T1030" s="4"/>
      <c r="U1030" s="5"/>
      <c r="V1030" s="5"/>
    </row>
    <row r="1031" spans="1:22" x14ac:dyDescent="0.25">
      <c r="A1031" s="158" t="s">
        <v>472</v>
      </c>
      <c r="B1031" s="158" t="s">
        <v>473</v>
      </c>
      <c r="C1031" s="158" t="s">
        <v>58</v>
      </c>
      <c r="D1031" s="158" t="s">
        <v>537</v>
      </c>
      <c r="E1031" s="157">
        <v>144</v>
      </c>
      <c r="F1031" s="158" t="s">
        <v>525</v>
      </c>
      <c r="G1031" s="159">
        <v>348426.72</v>
      </c>
      <c r="H1031" s="159">
        <v>0</v>
      </c>
      <c r="I1031" s="159">
        <v>193042.08</v>
      </c>
      <c r="J1031" s="159">
        <v>55.4</v>
      </c>
      <c r="K1031" t="str">
        <f>VLOOKUP($C1031,Lists!$C$3:$M$118,7,FALSE)</f>
        <v>SOBO_PET</v>
      </c>
      <c r="S1031" s="4"/>
      <c r="T1031" s="4"/>
      <c r="U1031" s="5"/>
      <c r="V1031" s="5"/>
    </row>
    <row r="1032" spans="1:22" x14ac:dyDescent="0.25">
      <c r="A1032" s="158" t="s">
        <v>472</v>
      </c>
      <c r="B1032" s="158" t="s">
        <v>473</v>
      </c>
      <c r="C1032" s="158" t="s">
        <v>43</v>
      </c>
      <c r="D1032" s="158" t="s">
        <v>44</v>
      </c>
      <c r="E1032" s="157">
        <v>287</v>
      </c>
      <c r="F1032" s="158" t="s">
        <v>525</v>
      </c>
      <c r="G1032" s="159">
        <v>2217166.84</v>
      </c>
      <c r="H1032" s="159">
        <v>0</v>
      </c>
      <c r="I1032" s="159">
        <v>1094887.78</v>
      </c>
      <c r="J1032" s="159">
        <v>49.4</v>
      </c>
      <c r="K1032" t="str">
        <f>VLOOKUP($C1032,Lists!$C$3:$M$118,7,FALSE)</f>
        <v>Beers</v>
      </c>
      <c r="S1032" s="4"/>
      <c r="T1032" s="4"/>
      <c r="U1032" s="5"/>
      <c r="V1032" s="5"/>
    </row>
    <row r="1033" spans="1:22" x14ac:dyDescent="0.25">
      <c r="A1033" s="158" t="s">
        <v>472</v>
      </c>
      <c r="B1033" s="158" t="s">
        <v>473</v>
      </c>
      <c r="C1033" s="158" t="s">
        <v>59</v>
      </c>
      <c r="D1033" s="158" t="s">
        <v>60</v>
      </c>
      <c r="E1033" s="157">
        <v>360</v>
      </c>
      <c r="F1033" s="158" t="s">
        <v>525</v>
      </c>
      <c r="G1033" s="159">
        <v>1424890.8</v>
      </c>
      <c r="H1033" s="159">
        <v>0</v>
      </c>
      <c r="I1033" s="159">
        <v>580168.80000000005</v>
      </c>
      <c r="J1033" s="159">
        <v>40.700000000000003</v>
      </c>
      <c r="K1033" t="str">
        <f>VLOOKUP($C1033,Lists!$C$3:$M$118,7,FALSE)</f>
        <v>COKE_RGB</v>
      </c>
      <c r="S1033" s="4"/>
      <c r="T1033" s="4"/>
      <c r="U1033" s="5"/>
      <c r="V1033" s="5"/>
    </row>
    <row r="1034" spans="1:22" x14ac:dyDescent="0.25">
      <c r="A1034" s="158" t="s">
        <v>472</v>
      </c>
      <c r="B1034" s="158" t="s">
        <v>473</v>
      </c>
      <c r="C1034" s="158" t="s">
        <v>22</v>
      </c>
      <c r="D1034" s="158" t="s">
        <v>23</v>
      </c>
      <c r="E1034" s="157">
        <v>1149</v>
      </c>
      <c r="F1034" s="158" t="s">
        <v>525</v>
      </c>
      <c r="G1034" s="159">
        <v>4547776.47</v>
      </c>
      <c r="H1034" s="159">
        <v>0</v>
      </c>
      <c r="I1034" s="159">
        <v>1832149.44</v>
      </c>
      <c r="J1034" s="159">
        <v>40.299999999999997</v>
      </c>
      <c r="K1034" t="str">
        <f>VLOOKUP($C1034,Lists!$C$3:$M$118,7,FALSE)</f>
        <v>COKE_RGB</v>
      </c>
      <c r="S1034" s="4"/>
      <c r="T1034" s="4"/>
      <c r="U1034" s="5"/>
      <c r="V1034" s="5"/>
    </row>
    <row r="1035" spans="1:22" x14ac:dyDescent="0.25">
      <c r="A1035" s="158" t="s">
        <v>472</v>
      </c>
      <c r="B1035" s="158" t="s">
        <v>473</v>
      </c>
      <c r="C1035" s="158" t="s">
        <v>261</v>
      </c>
      <c r="D1035" s="158" t="s">
        <v>538</v>
      </c>
      <c r="E1035" s="157">
        <v>144</v>
      </c>
      <c r="F1035" s="158" t="s">
        <v>525</v>
      </c>
      <c r="G1035" s="159">
        <v>569956.31999999995</v>
      </c>
      <c r="H1035" s="159">
        <v>0</v>
      </c>
      <c r="I1035" s="159">
        <v>229616.64000000001</v>
      </c>
      <c r="J1035" s="159">
        <v>40.299999999999997</v>
      </c>
      <c r="K1035" t="str">
        <f>VLOOKUP($C1035,Lists!$C$3:$M$118,7,FALSE)</f>
        <v>COKE_RGB</v>
      </c>
      <c r="S1035" s="4"/>
      <c r="T1035" s="4"/>
      <c r="U1035" s="5"/>
      <c r="V1035" s="5"/>
    </row>
    <row r="1036" spans="1:22" x14ac:dyDescent="0.25">
      <c r="A1036" s="158" t="s">
        <v>472</v>
      </c>
      <c r="B1036" s="158" t="s">
        <v>473</v>
      </c>
      <c r="C1036" s="158" t="s">
        <v>24</v>
      </c>
      <c r="D1036" s="158" t="s">
        <v>25</v>
      </c>
      <c r="E1036" s="157">
        <v>1292</v>
      </c>
      <c r="F1036" s="158" t="s">
        <v>525</v>
      </c>
      <c r="G1036" s="159">
        <v>8317598.8399999999</v>
      </c>
      <c r="H1036" s="159">
        <v>0</v>
      </c>
      <c r="I1036" s="159">
        <v>4004734.88</v>
      </c>
      <c r="J1036" s="159">
        <v>48.1</v>
      </c>
      <c r="K1036" t="str">
        <f>VLOOKUP($C1036,Lists!$C$3:$M$118,7,FALSE)</f>
        <v>Beers</v>
      </c>
      <c r="S1036" s="4"/>
      <c r="T1036" s="4"/>
      <c r="U1036" s="5"/>
      <c r="V1036" s="5"/>
    </row>
    <row r="1037" spans="1:22" x14ac:dyDescent="0.25">
      <c r="A1037" s="158" t="s">
        <v>472</v>
      </c>
      <c r="B1037" s="158" t="s">
        <v>473</v>
      </c>
      <c r="C1037" s="158" t="s">
        <v>29</v>
      </c>
      <c r="D1037" s="158" t="s">
        <v>30</v>
      </c>
      <c r="E1037" s="157">
        <v>130</v>
      </c>
      <c r="F1037" s="158" t="s">
        <v>525</v>
      </c>
      <c r="G1037" s="159">
        <v>4729970.7</v>
      </c>
      <c r="H1037" s="159">
        <v>0</v>
      </c>
      <c r="I1037" s="159">
        <v>1349970.7</v>
      </c>
      <c r="J1037" s="159">
        <v>28.5</v>
      </c>
      <c r="K1037" t="str">
        <f>VLOOKUP($C1037,Lists!$C$3:$M$118,7,FALSE)</f>
        <v>Spirits</v>
      </c>
      <c r="S1037" s="4"/>
      <c r="T1037" s="4"/>
      <c r="U1037" s="5"/>
      <c r="V1037" s="5"/>
    </row>
    <row r="1038" spans="1:22" x14ac:dyDescent="0.25">
      <c r="A1038" s="158" t="s">
        <v>472</v>
      </c>
      <c r="B1038" s="158" t="s">
        <v>473</v>
      </c>
      <c r="C1038" s="158" t="s">
        <v>31</v>
      </c>
      <c r="D1038" s="158" t="s">
        <v>32</v>
      </c>
      <c r="E1038" s="157">
        <v>5</v>
      </c>
      <c r="F1038" s="158" t="s">
        <v>525</v>
      </c>
      <c r="G1038" s="159">
        <v>170783.9</v>
      </c>
      <c r="H1038" s="159">
        <v>0</v>
      </c>
      <c r="I1038" s="159">
        <v>50783.9</v>
      </c>
      <c r="J1038" s="159">
        <v>29.7</v>
      </c>
      <c r="K1038" t="str">
        <f>VLOOKUP($C1038,Lists!$C$3:$M$118,7,FALSE)</f>
        <v>Spirits</v>
      </c>
      <c r="S1038" s="4"/>
      <c r="T1038" s="4"/>
      <c r="U1038" s="5"/>
      <c r="V1038" s="5"/>
    </row>
    <row r="1039" spans="1:22" x14ac:dyDescent="0.25">
      <c r="A1039" s="158" t="s">
        <v>472</v>
      </c>
      <c r="B1039" s="158" t="s">
        <v>473</v>
      </c>
      <c r="C1039" s="158" t="s">
        <v>33</v>
      </c>
      <c r="D1039" s="158" t="s">
        <v>34</v>
      </c>
      <c r="E1039" s="157">
        <v>15</v>
      </c>
      <c r="F1039" s="158" t="s">
        <v>525</v>
      </c>
      <c r="G1039" s="159">
        <v>835356</v>
      </c>
      <c r="H1039" s="159">
        <v>0</v>
      </c>
      <c r="I1039" s="159">
        <v>160356</v>
      </c>
      <c r="J1039" s="159">
        <v>19.2</v>
      </c>
      <c r="K1039" t="str">
        <f>VLOOKUP($C1039,Lists!$C$3:$M$118,7,FALSE)</f>
        <v>Spirits</v>
      </c>
      <c r="S1039" s="4"/>
      <c r="T1039" s="4"/>
      <c r="U1039" s="5"/>
      <c r="V1039" s="5"/>
    </row>
    <row r="1040" spans="1:22" x14ac:dyDescent="0.25">
      <c r="A1040" s="158" t="s">
        <v>472</v>
      </c>
      <c r="B1040" s="158" t="s">
        <v>473</v>
      </c>
      <c r="C1040" s="158" t="s">
        <v>37</v>
      </c>
      <c r="D1040" s="158" t="s">
        <v>38</v>
      </c>
      <c r="E1040" s="157">
        <v>717</v>
      </c>
      <c r="F1040" s="158" t="s">
        <v>525</v>
      </c>
      <c r="G1040" s="159">
        <v>2364924.12</v>
      </c>
      <c r="H1040" s="159">
        <v>0</v>
      </c>
      <c r="I1040" s="159">
        <v>1107886.8899999999</v>
      </c>
      <c r="J1040" s="159">
        <v>46.8</v>
      </c>
      <c r="K1040" t="str">
        <f>VLOOKUP($C1040,Lists!$C$3:$M$118,7,FALSE)</f>
        <v>SOBO_RGB</v>
      </c>
      <c r="S1040" s="4"/>
      <c r="T1040" s="4"/>
      <c r="U1040" s="5"/>
      <c r="V1040" s="5"/>
    </row>
    <row r="1041" spans="1:22" x14ac:dyDescent="0.25">
      <c r="A1041" s="158" t="s">
        <v>472</v>
      </c>
      <c r="B1041" s="158" t="s">
        <v>473</v>
      </c>
      <c r="C1041" s="158" t="s">
        <v>39</v>
      </c>
      <c r="D1041" s="158" t="s">
        <v>40</v>
      </c>
      <c r="E1041" s="157">
        <v>431</v>
      </c>
      <c r="F1041" s="158" t="s">
        <v>525</v>
      </c>
      <c r="G1041" s="159">
        <v>1421593.16</v>
      </c>
      <c r="H1041" s="159">
        <v>0</v>
      </c>
      <c r="I1041" s="159">
        <v>660080.81000000006</v>
      </c>
      <c r="J1041" s="159">
        <v>46.4</v>
      </c>
      <c r="K1041" t="str">
        <f>VLOOKUP($C1041,Lists!$C$3:$M$118,7,FALSE)</f>
        <v>SOBO_RGB</v>
      </c>
      <c r="S1041" s="4"/>
      <c r="T1041" s="4"/>
      <c r="U1041" s="5"/>
      <c r="V1041" s="5"/>
    </row>
    <row r="1042" spans="1:22" x14ac:dyDescent="0.25">
      <c r="A1042" s="158" t="s">
        <v>472</v>
      </c>
      <c r="B1042" s="158" t="s">
        <v>473</v>
      </c>
      <c r="C1042" s="158" t="s">
        <v>45</v>
      </c>
      <c r="D1042" s="158" t="s">
        <v>46</v>
      </c>
      <c r="E1042" s="157">
        <v>288</v>
      </c>
      <c r="F1042" s="158" t="s">
        <v>525</v>
      </c>
      <c r="G1042" s="159">
        <v>1139912.6399999999</v>
      </c>
      <c r="H1042" s="159">
        <v>0</v>
      </c>
      <c r="I1042" s="159">
        <v>561447.36</v>
      </c>
      <c r="J1042" s="159">
        <v>49.3</v>
      </c>
      <c r="K1042" t="str">
        <f>VLOOKUP($C1042,Lists!$C$3:$M$118,7,FALSE)</f>
        <v>SOBO_RGB</v>
      </c>
      <c r="S1042" s="4"/>
      <c r="T1042" s="4"/>
      <c r="U1042" s="5"/>
      <c r="V1042" s="5"/>
    </row>
    <row r="1043" spans="1:22" x14ac:dyDescent="0.25">
      <c r="A1043" s="158" t="s">
        <v>472</v>
      </c>
      <c r="B1043" s="158" t="s">
        <v>473</v>
      </c>
      <c r="C1043" s="158" t="s">
        <v>47</v>
      </c>
      <c r="D1043" s="158" t="s">
        <v>48</v>
      </c>
      <c r="E1043" s="157">
        <v>432</v>
      </c>
      <c r="F1043" s="158" t="s">
        <v>525</v>
      </c>
      <c r="G1043" s="159">
        <v>1709868.96</v>
      </c>
      <c r="H1043" s="159">
        <v>0</v>
      </c>
      <c r="I1043" s="159">
        <v>746206.56</v>
      </c>
      <c r="J1043" s="159">
        <v>43.6</v>
      </c>
      <c r="K1043" t="str">
        <f>VLOOKUP($C1043,Lists!$C$3:$M$118,7,FALSE)</f>
        <v>COKE_RGB</v>
      </c>
      <c r="S1043" s="4"/>
      <c r="T1043" s="4"/>
      <c r="U1043" s="5"/>
      <c r="V1043" s="5"/>
    </row>
    <row r="1044" spans="1:22" x14ac:dyDescent="0.25">
      <c r="A1044" s="158" t="s">
        <v>472</v>
      </c>
      <c r="B1044" s="158" t="s">
        <v>473</v>
      </c>
      <c r="C1044" s="158" t="s">
        <v>49</v>
      </c>
      <c r="D1044" s="158" t="s">
        <v>50</v>
      </c>
      <c r="E1044" s="157">
        <v>216</v>
      </c>
      <c r="F1044" s="158" t="s">
        <v>525</v>
      </c>
      <c r="G1044" s="159">
        <v>2165914.08</v>
      </c>
      <c r="H1044" s="159">
        <v>0</v>
      </c>
      <c r="I1044" s="159">
        <v>689843.52</v>
      </c>
      <c r="J1044" s="159">
        <v>31.8</v>
      </c>
      <c r="K1044" t="str">
        <f>VLOOKUP($C1044,Lists!$C$3:$M$118,7,FALSE)</f>
        <v>Squash</v>
      </c>
      <c r="S1044" s="4"/>
      <c r="T1044" s="4"/>
      <c r="U1044" s="5"/>
      <c r="V1044" s="5"/>
    </row>
    <row r="1045" spans="1:22" x14ac:dyDescent="0.25">
      <c r="A1045" s="158" t="s">
        <v>472</v>
      </c>
      <c r="B1045" s="158" t="s">
        <v>473</v>
      </c>
      <c r="C1045" s="158" t="s">
        <v>51</v>
      </c>
      <c r="D1045" s="158" t="s">
        <v>52</v>
      </c>
      <c r="E1045" s="157">
        <v>215</v>
      </c>
      <c r="F1045" s="158" t="s">
        <v>525</v>
      </c>
      <c r="G1045" s="159">
        <v>2155886.7000000002</v>
      </c>
      <c r="H1045" s="159">
        <v>0</v>
      </c>
      <c r="I1045" s="159">
        <v>680911.45</v>
      </c>
      <c r="J1045" s="159">
        <v>31.6</v>
      </c>
      <c r="K1045" t="str">
        <f>VLOOKUP($C1045,Lists!$C$3:$M$118,7,FALSE)</f>
        <v>Squash</v>
      </c>
      <c r="S1045" s="4"/>
      <c r="T1045" s="4"/>
      <c r="U1045" s="5"/>
      <c r="V1045" s="5"/>
    </row>
    <row r="1046" spans="1:22" x14ac:dyDescent="0.25">
      <c r="A1046" s="158" t="s">
        <v>600</v>
      </c>
      <c r="B1046" s="158" t="s">
        <v>601</v>
      </c>
      <c r="C1046" s="158" t="s">
        <v>12</v>
      </c>
      <c r="D1046" s="158" t="s">
        <v>13</v>
      </c>
      <c r="E1046" s="157">
        <v>-3</v>
      </c>
      <c r="F1046" s="158" t="s">
        <v>525</v>
      </c>
      <c r="G1046" s="159">
        <v>-19677.72</v>
      </c>
      <c r="H1046" s="159">
        <v>0</v>
      </c>
      <c r="I1046" s="159">
        <v>-8804.9699999999993</v>
      </c>
      <c r="J1046" s="159">
        <v>44.7</v>
      </c>
      <c r="K1046" t="str">
        <f>VLOOKUP($C1046,Lists!$C$3:$M$118,7,FALSE)</f>
        <v>Beers</v>
      </c>
      <c r="S1046" s="4"/>
      <c r="T1046" s="4"/>
      <c r="U1046" s="5"/>
      <c r="V1046" s="5"/>
    </row>
    <row r="1047" spans="1:22" x14ac:dyDescent="0.25">
      <c r="A1047" s="158" t="s">
        <v>600</v>
      </c>
      <c r="B1047" s="158" t="s">
        <v>601</v>
      </c>
      <c r="C1047" s="158" t="s">
        <v>16</v>
      </c>
      <c r="D1047" s="158" t="s">
        <v>17</v>
      </c>
      <c r="E1047" s="157">
        <v>-3</v>
      </c>
      <c r="F1047" s="158" t="s">
        <v>525</v>
      </c>
      <c r="G1047" s="159">
        <v>-23613.24</v>
      </c>
      <c r="H1047" s="159">
        <v>0</v>
      </c>
      <c r="I1047" s="159">
        <v>-11882.1</v>
      </c>
      <c r="J1047" s="159">
        <v>50.3</v>
      </c>
      <c r="K1047" t="str">
        <f>VLOOKUP($C1047,Lists!$C$3:$M$118,7,FALSE)</f>
        <v>Beers</v>
      </c>
      <c r="S1047" s="4"/>
      <c r="T1047" s="4"/>
      <c r="U1047" s="5"/>
      <c r="V1047" s="5"/>
    </row>
    <row r="1048" spans="1:22" x14ac:dyDescent="0.25">
      <c r="A1048" s="158" t="s">
        <v>600</v>
      </c>
      <c r="B1048" s="158" t="s">
        <v>601</v>
      </c>
      <c r="C1048" s="158" t="s">
        <v>20</v>
      </c>
      <c r="D1048" s="158" t="s">
        <v>21</v>
      </c>
      <c r="E1048" s="157">
        <v>1005</v>
      </c>
      <c r="F1048" s="158" t="s">
        <v>525</v>
      </c>
      <c r="G1048" s="159">
        <v>4052873.55</v>
      </c>
      <c r="H1048" s="159">
        <v>0</v>
      </c>
      <c r="I1048" s="159">
        <v>1746700.05</v>
      </c>
      <c r="J1048" s="159">
        <v>43.1</v>
      </c>
      <c r="K1048" t="str">
        <f>VLOOKUP($C1048,Lists!$C$3:$M$118,7,FALSE)</f>
        <v>COKE_RGB</v>
      </c>
      <c r="S1048" s="4"/>
      <c r="T1048" s="4"/>
      <c r="U1048" s="5"/>
      <c r="V1048" s="5"/>
    </row>
    <row r="1049" spans="1:22" x14ac:dyDescent="0.25">
      <c r="A1049" s="158" t="s">
        <v>600</v>
      </c>
      <c r="B1049" s="158" t="s">
        <v>601</v>
      </c>
      <c r="C1049" s="158" t="s">
        <v>28</v>
      </c>
      <c r="D1049" s="158" t="s">
        <v>530</v>
      </c>
      <c r="E1049" s="157">
        <v>2014</v>
      </c>
      <c r="F1049" s="158" t="s">
        <v>525</v>
      </c>
      <c r="G1049" s="159">
        <v>5794660.6600000001</v>
      </c>
      <c r="H1049" s="159">
        <v>0</v>
      </c>
      <c r="I1049" s="159">
        <v>2976973.95</v>
      </c>
      <c r="J1049" s="159">
        <v>51.4</v>
      </c>
      <c r="K1049" t="str">
        <f>VLOOKUP($C1049,Lists!$C$3:$M$118,7,FALSE)</f>
        <v>COKE_PET</v>
      </c>
      <c r="S1049" s="4"/>
      <c r="T1049" s="4"/>
      <c r="U1049" s="5"/>
      <c r="V1049" s="5"/>
    </row>
    <row r="1050" spans="1:22" x14ac:dyDescent="0.25">
      <c r="A1050" s="158" t="s">
        <v>600</v>
      </c>
      <c r="B1050" s="158" t="s">
        <v>601</v>
      </c>
      <c r="C1050" s="158" t="s">
        <v>58</v>
      </c>
      <c r="D1050" s="158" t="s">
        <v>537</v>
      </c>
      <c r="E1050" s="157">
        <v>720</v>
      </c>
      <c r="F1050" s="158" t="s">
        <v>525</v>
      </c>
      <c r="G1050" s="159">
        <v>1775635.2</v>
      </c>
      <c r="H1050" s="159">
        <v>0</v>
      </c>
      <c r="I1050" s="159">
        <v>998712</v>
      </c>
      <c r="J1050" s="159">
        <v>56.2</v>
      </c>
      <c r="K1050" t="str">
        <f>VLOOKUP($C1050,Lists!$C$3:$M$118,7,FALSE)</f>
        <v>SOBO_PET</v>
      </c>
      <c r="S1050" s="4"/>
      <c r="T1050" s="4"/>
      <c r="U1050" s="5"/>
      <c r="V1050" s="5"/>
    </row>
    <row r="1051" spans="1:22" x14ac:dyDescent="0.25">
      <c r="A1051" s="158" t="s">
        <v>600</v>
      </c>
      <c r="B1051" s="158" t="s">
        <v>601</v>
      </c>
      <c r="C1051" s="158" t="s">
        <v>59</v>
      </c>
      <c r="D1051" s="158" t="s">
        <v>60</v>
      </c>
      <c r="E1051" s="157">
        <v>72</v>
      </c>
      <c r="F1051" s="158" t="s">
        <v>525</v>
      </c>
      <c r="G1051" s="159">
        <v>290355.12</v>
      </c>
      <c r="H1051" s="159">
        <v>0</v>
      </c>
      <c r="I1051" s="159">
        <v>121410.72</v>
      </c>
      <c r="J1051" s="159">
        <v>41.8</v>
      </c>
      <c r="K1051" t="str">
        <f>VLOOKUP($C1051,Lists!$C$3:$M$118,7,FALSE)</f>
        <v>COKE_RGB</v>
      </c>
      <c r="S1051" s="4"/>
      <c r="T1051" s="4"/>
      <c r="U1051" s="5"/>
      <c r="V1051" s="5"/>
    </row>
    <row r="1052" spans="1:22" x14ac:dyDescent="0.25">
      <c r="A1052" s="158" t="s">
        <v>600</v>
      </c>
      <c r="B1052" s="158" t="s">
        <v>601</v>
      </c>
      <c r="C1052" s="158" t="s">
        <v>22</v>
      </c>
      <c r="D1052" s="158" t="s">
        <v>23</v>
      </c>
      <c r="E1052" s="157">
        <v>428</v>
      </c>
      <c r="F1052" s="158" t="s">
        <v>525</v>
      </c>
      <c r="G1052" s="159">
        <v>1725999.88</v>
      </c>
      <c r="H1052" s="159">
        <v>0</v>
      </c>
      <c r="I1052" s="159">
        <v>714434.72</v>
      </c>
      <c r="J1052" s="159">
        <v>41.4</v>
      </c>
      <c r="K1052" t="str">
        <f>VLOOKUP($C1052,Lists!$C$3:$M$118,7,FALSE)</f>
        <v>COKE_RGB</v>
      </c>
      <c r="S1052" s="4"/>
      <c r="T1052" s="4"/>
      <c r="U1052" s="5"/>
      <c r="V1052" s="5"/>
    </row>
    <row r="1053" spans="1:22" x14ac:dyDescent="0.25">
      <c r="A1053" s="158" t="s">
        <v>600</v>
      </c>
      <c r="B1053" s="158" t="s">
        <v>601</v>
      </c>
      <c r="C1053" s="158" t="s">
        <v>67</v>
      </c>
      <c r="D1053" s="158" t="s">
        <v>533</v>
      </c>
      <c r="E1053" s="157">
        <v>1150</v>
      </c>
      <c r="F1053" s="158" t="s">
        <v>525</v>
      </c>
      <c r="G1053" s="159">
        <v>3308768.5</v>
      </c>
      <c r="H1053" s="159">
        <v>0</v>
      </c>
      <c r="I1053" s="159">
        <v>1659346.5</v>
      </c>
      <c r="J1053" s="159">
        <v>50.1</v>
      </c>
      <c r="K1053" t="str">
        <f>VLOOKUP($C1053,Lists!$C$3:$M$118,7,FALSE)</f>
        <v>COKE_PET</v>
      </c>
      <c r="S1053" s="4"/>
      <c r="T1053" s="4"/>
      <c r="U1053" s="5"/>
      <c r="V1053" s="5"/>
    </row>
    <row r="1054" spans="1:22" x14ac:dyDescent="0.25">
      <c r="A1054" s="158" t="s">
        <v>600</v>
      </c>
      <c r="B1054" s="158" t="s">
        <v>601</v>
      </c>
      <c r="C1054" s="158" t="s">
        <v>37</v>
      </c>
      <c r="D1054" s="158" t="s">
        <v>38</v>
      </c>
      <c r="E1054" s="157">
        <v>202</v>
      </c>
      <c r="F1054" s="158" t="s">
        <v>525</v>
      </c>
      <c r="G1054" s="159">
        <v>678839.18</v>
      </c>
      <c r="H1054" s="159">
        <v>0</v>
      </c>
      <c r="I1054" s="159">
        <v>324694.8</v>
      </c>
      <c r="J1054" s="159">
        <v>47.8</v>
      </c>
      <c r="K1054" t="str">
        <f>VLOOKUP($C1054,Lists!$C$3:$M$118,7,FALSE)</f>
        <v>SOBO_RGB</v>
      </c>
      <c r="S1054" s="4"/>
      <c r="T1054" s="4"/>
      <c r="U1054" s="5"/>
      <c r="V1054" s="5"/>
    </row>
    <row r="1055" spans="1:22" x14ac:dyDescent="0.25">
      <c r="A1055" s="158" t="s">
        <v>600</v>
      </c>
      <c r="B1055" s="158" t="s">
        <v>601</v>
      </c>
      <c r="C1055" s="158" t="s">
        <v>39</v>
      </c>
      <c r="D1055" s="158" t="s">
        <v>40</v>
      </c>
      <c r="E1055" s="157">
        <v>71</v>
      </c>
      <c r="F1055" s="158" t="s">
        <v>525</v>
      </c>
      <c r="G1055" s="159">
        <v>238601.89</v>
      </c>
      <c r="H1055" s="159">
        <v>0</v>
      </c>
      <c r="I1055" s="159">
        <v>113155.54</v>
      </c>
      <c r="J1055" s="159">
        <v>47.4</v>
      </c>
      <c r="K1055" t="str">
        <f>VLOOKUP($C1055,Lists!$C$3:$M$118,7,FALSE)</f>
        <v>SOBO_RGB</v>
      </c>
      <c r="S1055" s="4"/>
      <c r="T1055" s="4"/>
      <c r="U1055" s="5"/>
      <c r="V1055" s="5"/>
    </row>
    <row r="1056" spans="1:22" x14ac:dyDescent="0.25">
      <c r="A1056" s="158" t="s">
        <v>600</v>
      </c>
      <c r="B1056" s="158" t="s">
        <v>601</v>
      </c>
      <c r="C1056" s="158" t="s">
        <v>88</v>
      </c>
      <c r="D1056" s="158" t="s">
        <v>527</v>
      </c>
      <c r="E1056" s="157">
        <v>0</v>
      </c>
      <c r="F1056" s="158" t="s">
        <v>525</v>
      </c>
      <c r="G1056" s="159">
        <v>0</v>
      </c>
      <c r="H1056" s="159">
        <v>0</v>
      </c>
      <c r="I1056" s="159">
        <v>0</v>
      </c>
      <c r="J1056" s="159">
        <v>0</v>
      </c>
      <c r="K1056" t="str">
        <f>VLOOKUP($C1056,Lists!$C$3:$M$118,7,FALSE)</f>
        <v>SOBO_PET</v>
      </c>
      <c r="S1056" s="4"/>
      <c r="T1056" s="4"/>
      <c r="U1056" s="5"/>
      <c r="V1056" s="5"/>
    </row>
    <row r="1057" spans="1:22" x14ac:dyDescent="0.25">
      <c r="A1057" s="158" t="s">
        <v>600</v>
      </c>
      <c r="B1057" s="158" t="s">
        <v>601</v>
      </c>
      <c r="C1057" s="158" t="s">
        <v>45</v>
      </c>
      <c r="D1057" s="158" t="s">
        <v>46</v>
      </c>
      <c r="E1057" s="157">
        <v>144</v>
      </c>
      <c r="F1057" s="158" t="s">
        <v>525</v>
      </c>
      <c r="G1057" s="159">
        <v>580710.24</v>
      </c>
      <c r="H1057" s="159">
        <v>0</v>
      </c>
      <c r="I1057" s="159">
        <v>291477.59999999998</v>
      </c>
      <c r="J1057" s="159">
        <v>50.2</v>
      </c>
      <c r="K1057" t="str">
        <f>VLOOKUP($C1057,Lists!$C$3:$M$118,7,FALSE)</f>
        <v>SOBO_RGB</v>
      </c>
      <c r="S1057" s="4"/>
      <c r="T1057" s="4"/>
      <c r="U1057" s="5"/>
      <c r="V1057" s="5"/>
    </row>
    <row r="1058" spans="1:22" x14ac:dyDescent="0.25">
      <c r="A1058" s="158" t="s">
        <v>600</v>
      </c>
      <c r="B1058" s="158" t="s">
        <v>601</v>
      </c>
      <c r="C1058" s="158" t="s">
        <v>47</v>
      </c>
      <c r="D1058" s="158" t="s">
        <v>48</v>
      </c>
      <c r="E1058" s="157">
        <v>430</v>
      </c>
      <c r="F1058" s="158" t="s">
        <v>525</v>
      </c>
      <c r="G1058" s="159">
        <v>1734065.3</v>
      </c>
      <c r="H1058" s="159">
        <v>0</v>
      </c>
      <c r="I1058" s="159">
        <v>774864.28</v>
      </c>
      <c r="J1058" s="159">
        <v>44.7</v>
      </c>
      <c r="K1058" t="str">
        <f>VLOOKUP($C1058,Lists!$C$3:$M$118,7,FALSE)</f>
        <v>COKE_RGB</v>
      </c>
      <c r="S1058" s="4"/>
      <c r="T1058" s="4"/>
      <c r="U1058" s="5"/>
      <c r="V1058" s="5"/>
    </row>
    <row r="1059" spans="1:22" x14ac:dyDescent="0.25">
      <c r="A1059" s="158" t="s">
        <v>600</v>
      </c>
      <c r="B1059" s="158" t="s">
        <v>601</v>
      </c>
      <c r="C1059" s="158" t="s">
        <v>68</v>
      </c>
      <c r="D1059" s="158" t="s">
        <v>534</v>
      </c>
      <c r="E1059" s="157">
        <v>719</v>
      </c>
      <c r="F1059" s="158" t="s">
        <v>525</v>
      </c>
      <c r="G1059" s="159">
        <v>2068699.61</v>
      </c>
      <c r="H1059" s="159">
        <v>0</v>
      </c>
      <c r="I1059" s="159">
        <v>1028062.14</v>
      </c>
      <c r="J1059" s="159">
        <v>49.7</v>
      </c>
      <c r="K1059" t="str">
        <f>VLOOKUP($C1059,Lists!$C$3:$M$118,7,FALSE)</f>
        <v>COKE_PET</v>
      </c>
      <c r="S1059" s="4"/>
      <c r="T1059" s="4"/>
      <c r="U1059" s="5"/>
      <c r="V1059" s="5"/>
    </row>
    <row r="1060" spans="1:22" x14ac:dyDescent="0.25">
      <c r="A1060" s="158" t="s">
        <v>600</v>
      </c>
      <c r="B1060" s="158" t="s">
        <v>601</v>
      </c>
      <c r="C1060" s="158" t="s">
        <v>65</v>
      </c>
      <c r="D1060" s="158" t="s">
        <v>66</v>
      </c>
      <c r="E1060" s="157">
        <v>142</v>
      </c>
      <c r="F1060" s="158" t="s">
        <v>525</v>
      </c>
      <c r="G1060" s="159">
        <v>711919.84</v>
      </c>
      <c r="H1060" s="159">
        <v>0</v>
      </c>
      <c r="I1060" s="159">
        <v>138941.32</v>
      </c>
      <c r="J1060" s="159">
        <v>19.5</v>
      </c>
      <c r="K1060" t="str">
        <f>VLOOKUP($C1060,Lists!$C$3:$M$118,7,FALSE)</f>
        <v>Squash</v>
      </c>
      <c r="S1060" s="4"/>
      <c r="T1060" s="4"/>
      <c r="U1060" s="5"/>
      <c r="V1060" s="5"/>
    </row>
    <row r="1061" spans="1:22" x14ac:dyDescent="0.25">
      <c r="A1061" s="158" t="s">
        <v>600</v>
      </c>
      <c r="B1061" s="158" t="s">
        <v>601</v>
      </c>
      <c r="C1061" s="158" t="s">
        <v>49</v>
      </c>
      <c r="D1061" s="158" t="s">
        <v>50</v>
      </c>
      <c r="E1061" s="157">
        <v>936</v>
      </c>
      <c r="F1061" s="158" t="s">
        <v>525</v>
      </c>
      <c r="G1061" s="159">
        <v>9385627.6799999997</v>
      </c>
      <c r="H1061" s="159">
        <v>0</v>
      </c>
      <c r="I1061" s="159">
        <v>2989321.92</v>
      </c>
      <c r="J1061" s="159">
        <v>31.8</v>
      </c>
      <c r="K1061" t="str">
        <f>VLOOKUP($C1061,Lists!$C$3:$M$118,7,FALSE)</f>
        <v>Squash</v>
      </c>
      <c r="S1061" s="4"/>
      <c r="T1061" s="4"/>
      <c r="U1061" s="5"/>
      <c r="V1061" s="5"/>
    </row>
    <row r="1062" spans="1:22" x14ac:dyDescent="0.25">
      <c r="A1062" s="158" t="s">
        <v>600</v>
      </c>
      <c r="B1062" s="158" t="s">
        <v>601</v>
      </c>
      <c r="C1062" s="158" t="s">
        <v>362</v>
      </c>
      <c r="D1062" s="158" t="s">
        <v>363</v>
      </c>
      <c r="E1062" s="157">
        <v>-1</v>
      </c>
      <c r="F1062" s="158" t="s">
        <v>525</v>
      </c>
      <c r="G1062" s="159">
        <v>-5013.5200000000004</v>
      </c>
      <c r="H1062" s="159">
        <v>0</v>
      </c>
      <c r="I1062" s="159">
        <v>-978.46</v>
      </c>
      <c r="J1062" s="159">
        <v>19.5</v>
      </c>
      <c r="K1062" t="str">
        <f>VLOOKUP($C1062,Lists!$C$3:$M$118,7,FALSE)</f>
        <v>Squash</v>
      </c>
      <c r="S1062" s="4"/>
      <c r="T1062" s="4"/>
      <c r="U1062" s="5"/>
      <c r="V1062" s="5"/>
    </row>
    <row r="1063" spans="1:22" x14ac:dyDescent="0.25">
      <c r="A1063" s="158" t="s">
        <v>600</v>
      </c>
      <c r="B1063" s="158" t="s">
        <v>601</v>
      </c>
      <c r="C1063" s="158" t="s">
        <v>51</v>
      </c>
      <c r="D1063" s="158" t="s">
        <v>52</v>
      </c>
      <c r="E1063" s="157">
        <v>3878</v>
      </c>
      <c r="F1063" s="158" t="s">
        <v>525</v>
      </c>
      <c r="G1063" s="159">
        <v>38886179.640000001</v>
      </c>
      <c r="H1063" s="159">
        <v>0</v>
      </c>
      <c r="I1063" s="159">
        <v>12281742.34</v>
      </c>
      <c r="J1063" s="159">
        <v>31.6</v>
      </c>
      <c r="K1063" t="str">
        <f>VLOOKUP($C1063,Lists!$C$3:$M$118,7,FALSE)</f>
        <v>Squash</v>
      </c>
      <c r="S1063" s="4"/>
      <c r="T1063" s="4"/>
      <c r="U1063" s="5"/>
      <c r="V1063" s="5"/>
    </row>
    <row r="1064" spans="1:22" x14ac:dyDescent="0.25">
      <c r="A1064" s="158" t="s">
        <v>600</v>
      </c>
      <c r="B1064" s="158" t="s">
        <v>601</v>
      </c>
      <c r="C1064" s="158" t="s">
        <v>26</v>
      </c>
      <c r="D1064" s="158" t="s">
        <v>27</v>
      </c>
      <c r="E1064" s="157">
        <v>1296</v>
      </c>
      <c r="F1064" s="158" t="s">
        <v>525</v>
      </c>
      <c r="G1064" s="159">
        <v>2828390.3999999999</v>
      </c>
      <c r="H1064" s="159">
        <v>0</v>
      </c>
      <c r="I1064" s="159">
        <v>1246959.3600000001</v>
      </c>
      <c r="J1064" s="159">
        <v>44.1</v>
      </c>
      <c r="K1064" t="str">
        <f>VLOOKUP($C1064,Lists!$C$3:$M$118,7,FALSE)</f>
        <v>Water</v>
      </c>
      <c r="S1064" s="4"/>
      <c r="T1064" s="4"/>
      <c r="U1064" s="5"/>
      <c r="V1064" s="5"/>
    </row>
    <row r="1065" spans="1:22" x14ac:dyDescent="0.25">
      <c r="A1065" s="158" t="s">
        <v>602</v>
      </c>
      <c r="B1065" s="158" t="s">
        <v>603</v>
      </c>
      <c r="C1065" s="158" t="s">
        <v>10</v>
      </c>
      <c r="D1065" s="158" t="s">
        <v>11</v>
      </c>
      <c r="E1065" s="157">
        <v>-1</v>
      </c>
      <c r="F1065" s="158" t="s">
        <v>525</v>
      </c>
      <c r="G1065" s="159">
        <v>-7871.08</v>
      </c>
      <c r="H1065" s="159">
        <v>0</v>
      </c>
      <c r="I1065" s="159">
        <v>-3386.08</v>
      </c>
      <c r="J1065" s="159">
        <v>43</v>
      </c>
      <c r="K1065" t="str">
        <f>VLOOKUP($C1065,Lists!$C$3:$M$118,7,FALSE)</f>
        <v>Alcomix</v>
      </c>
      <c r="S1065" s="4"/>
      <c r="T1065" s="4"/>
      <c r="U1065" s="5"/>
      <c r="V1065" s="5"/>
    </row>
    <row r="1066" spans="1:22" x14ac:dyDescent="0.25">
      <c r="A1066" s="158" t="s">
        <v>602</v>
      </c>
      <c r="B1066" s="158" t="s">
        <v>603</v>
      </c>
      <c r="C1066" s="158" t="s">
        <v>12</v>
      </c>
      <c r="D1066" s="158" t="s">
        <v>13</v>
      </c>
      <c r="E1066" s="157">
        <v>1631</v>
      </c>
      <c r="F1066" s="158" t="s">
        <v>525</v>
      </c>
      <c r="G1066" s="159">
        <v>10698120.439999999</v>
      </c>
      <c r="H1066" s="159">
        <v>0</v>
      </c>
      <c r="I1066" s="159">
        <v>4786968.68</v>
      </c>
      <c r="J1066" s="159">
        <v>44.7</v>
      </c>
      <c r="K1066" t="str">
        <f>VLOOKUP($C1066,Lists!$C$3:$M$118,7,FALSE)</f>
        <v>Beers</v>
      </c>
      <c r="S1066" s="4"/>
      <c r="T1066" s="4"/>
      <c r="U1066" s="5"/>
      <c r="V1066" s="5"/>
    </row>
    <row r="1067" spans="1:22" x14ac:dyDescent="0.25">
      <c r="A1067" s="158" t="s">
        <v>602</v>
      </c>
      <c r="B1067" s="158" t="s">
        <v>603</v>
      </c>
      <c r="C1067" s="158" t="s">
        <v>14</v>
      </c>
      <c r="D1067" s="158" t="s">
        <v>15</v>
      </c>
      <c r="E1067" s="157">
        <v>264</v>
      </c>
      <c r="F1067" s="158" t="s">
        <v>525</v>
      </c>
      <c r="G1067" s="159">
        <v>2077965.12</v>
      </c>
      <c r="H1067" s="159">
        <v>0</v>
      </c>
      <c r="I1067" s="159">
        <v>1045624.8</v>
      </c>
      <c r="J1067" s="159">
        <v>50.3</v>
      </c>
      <c r="K1067" t="str">
        <f>VLOOKUP($C1067,Lists!$C$3:$M$118,7,FALSE)</f>
        <v>Beers</v>
      </c>
      <c r="S1067" s="4"/>
      <c r="T1067" s="4"/>
      <c r="U1067" s="5"/>
      <c r="V1067" s="5"/>
    </row>
    <row r="1068" spans="1:22" x14ac:dyDescent="0.25">
      <c r="A1068" s="158" t="s">
        <v>602</v>
      </c>
      <c r="B1068" s="158" t="s">
        <v>603</v>
      </c>
      <c r="C1068" s="158" t="s">
        <v>54</v>
      </c>
      <c r="D1068" s="158" t="s">
        <v>55</v>
      </c>
      <c r="E1068" s="157">
        <v>-1</v>
      </c>
      <c r="F1068" s="158" t="s">
        <v>525</v>
      </c>
      <c r="G1068" s="159">
        <v>-7871.08</v>
      </c>
      <c r="H1068" s="159">
        <v>0</v>
      </c>
      <c r="I1068" s="159">
        <v>-4201.33</v>
      </c>
      <c r="J1068" s="159">
        <v>53.4</v>
      </c>
      <c r="K1068" t="str">
        <f>VLOOKUP($C1068,Lists!$C$3:$M$118,7,FALSE)</f>
        <v>Beers</v>
      </c>
      <c r="S1068" s="4"/>
      <c r="T1068" s="4"/>
      <c r="U1068" s="5"/>
      <c r="V1068" s="5"/>
    </row>
    <row r="1069" spans="1:22" x14ac:dyDescent="0.25">
      <c r="A1069" s="158" t="s">
        <v>602</v>
      </c>
      <c r="B1069" s="158" t="s">
        <v>603</v>
      </c>
      <c r="C1069" s="158" t="s">
        <v>16</v>
      </c>
      <c r="D1069" s="158" t="s">
        <v>17</v>
      </c>
      <c r="E1069" s="157">
        <v>191</v>
      </c>
      <c r="F1069" s="158" t="s">
        <v>525</v>
      </c>
      <c r="G1069" s="159">
        <v>1503376.28</v>
      </c>
      <c r="H1069" s="159">
        <v>0</v>
      </c>
      <c r="I1069" s="159">
        <v>756493.7</v>
      </c>
      <c r="J1069" s="159">
        <v>50.3</v>
      </c>
      <c r="K1069" t="str">
        <f>VLOOKUP($C1069,Lists!$C$3:$M$118,7,FALSE)</f>
        <v>Beers</v>
      </c>
      <c r="S1069" s="4"/>
      <c r="T1069" s="4"/>
      <c r="U1069" s="5"/>
      <c r="V1069" s="5"/>
    </row>
    <row r="1070" spans="1:22" x14ac:dyDescent="0.25">
      <c r="A1070" s="158" t="s">
        <v>602</v>
      </c>
      <c r="B1070" s="158" t="s">
        <v>603</v>
      </c>
      <c r="C1070" s="158" t="s">
        <v>56</v>
      </c>
      <c r="D1070" s="158" t="s">
        <v>57</v>
      </c>
      <c r="E1070" s="157">
        <v>98</v>
      </c>
      <c r="F1070" s="158" t="s">
        <v>525</v>
      </c>
      <c r="G1070" s="159">
        <v>771365.84</v>
      </c>
      <c r="H1070" s="159">
        <v>0</v>
      </c>
      <c r="I1070" s="159">
        <v>411730.34</v>
      </c>
      <c r="J1070" s="159">
        <v>53.4</v>
      </c>
      <c r="K1070" t="str">
        <f>VLOOKUP($C1070,Lists!$C$3:$M$118,7,FALSE)</f>
        <v>Beers</v>
      </c>
      <c r="S1070" s="4"/>
      <c r="T1070" s="4"/>
      <c r="U1070" s="5"/>
      <c r="V1070" s="5"/>
    </row>
    <row r="1071" spans="1:22" x14ac:dyDescent="0.25">
      <c r="A1071" s="158" t="s">
        <v>602</v>
      </c>
      <c r="B1071" s="158" t="s">
        <v>603</v>
      </c>
      <c r="C1071" s="158" t="s">
        <v>18</v>
      </c>
      <c r="D1071" s="158" t="s">
        <v>19</v>
      </c>
      <c r="E1071" s="157">
        <v>-1</v>
      </c>
      <c r="F1071" s="158" t="s">
        <v>525</v>
      </c>
      <c r="G1071" s="159">
        <v>-10494.77</v>
      </c>
      <c r="H1071" s="159">
        <v>0</v>
      </c>
      <c r="I1071" s="159">
        <v>-5535.27</v>
      </c>
      <c r="J1071" s="159">
        <v>52.7</v>
      </c>
      <c r="K1071" t="str">
        <f>VLOOKUP($C1071,Lists!$C$3:$M$118,7,FALSE)</f>
        <v>Beers</v>
      </c>
      <c r="S1071" s="4"/>
      <c r="T1071" s="4"/>
      <c r="U1071" s="5"/>
      <c r="V1071" s="5"/>
    </row>
    <row r="1072" spans="1:22" x14ac:dyDescent="0.25">
      <c r="A1072" s="158" t="s">
        <v>602</v>
      </c>
      <c r="B1072" s="158" t="s">
        <v>603</v>
      </c>
      <c r="C1072" s="158" t="s">
        <v>20</v>
      </c>
      <c r="D1072" s="158" t="s">
        <v>21</v>
      </c>
      <c r="E1072" s="157">
        <v>773</v>
      </c>
      <c r="F1072" s="158" t="s">
        <v>525</v>
      </c>
      <c r="G1072" s="159">
        <v>3117284.83</v>
      </c>
      <c r="H1072" s="159">
        <v>0</v>
      </c>
      <c r="I1072" s="159">
        <v>1343481.73</v>
      </c>
      <c r="J1072" s="159">
        <v>43.1</v>
      </c>
      <c r="K1072" t="str">
        <f>VLOOKUP($C1072,Lists!$C$3:$M$118,7,FALSE)</f>
        <v>COKE_RGB</v>
      </c>
      <c r="S1072" s="4"/>
      <c r="T1072" s="4"/>
      <c r="U1072" s="5"/>
      <c r="V1072" s="5"/>
    </row>
    <row r="1073" spans="1:22" x14ac:dyDescent="0.25">
      <c r="A1073" s="158" t="s">
        <v>602</v>
      </c>
      <c r="B1073" s="158" t="s">
        <v>603</v>
      </c>
      <c r="C1073" s="158" t="s">
        <v>58</v>
      </c>
      <c r="D1073" s="158" t="s">
        <v>537</v>
      </c>
      <c r="E1073" s="157">
        <v>-1</v>
      </c>
      <c r="F1073" s="158" t="s">
        <v>525</v>
      </c>
      <c r="G1073" s="159">
        <v>-2466.16</v>
      </c>
      <c r="H1073" s="159">
        <v>0</v>
      </c>
      <c r="I1073" s="159">
        <v>-1387.1</v>
      </c>
      <c r="J1073" s="159">
        <v>56.2</v>
      </c>
      <c r="K1073" t="str">
        <f>VLOOKUP($C1073,Lists!$C$3:$M$118,7,FALSE)</f>
        <v>SOBO_PET</v>
      </c>
      <c r="S1073" s="4"/>
      <c r="T1073" s="4"/>
      <c r="U1073" s="5"/>
      <c r="V1073" s="5"/>
    </row>
    <row r="1074" spans="1:22" x14ac:dyDescent="0.25">
      <c r="A1074" s="158" t="s">
        <v>602</v>
      </c>
      <c r="B1074" s="158" t="s">
        <v>603</v>
      </c>
      <c r="C1074" s="158" t="s">
        <v>78</v>
      </c>
      <c r="D1074" s="158" t="s">
        <v>526</v>
      </c>
      <c r="E1074" s="157">
        <v>-72</v>
      </c>
      <c r="F1074" s="158" t="s">
        <v>525</v>
      </c>
      <c r="G1074" s="159">
        <v>-177563.51999999999</v>
      </c>
      <c r="H1074" s="159">
        <v>0</v>
      </c>
      <c r="I1074" s="159">
        <v>-98468.64</v>
      </c>
      <c r="J1074" s="159">
        <v>55.5</v>
      </c>
      <c r="K1074" t="str">
        <f>VLOOKUP($C1074,Lists!$C$3:$M$118,7,FALSE)</f>
        <v>SOBO_PET</v>
      </c>
      <c r="S1074" s="4"/>
      <c r="T1074" s="4"/>
      <c r="U1074" s="5"/>
      <c r="V1074" s="5"/>
    </row>
    <row r="1075" spans="1:22" x14ac:dyDescent="0.25">
      <c r="A1075" s="158" t="s">
        <v>602</v>
      </c>
      <c r="B1075" s="158" t="s">
        <v>603</v>
      </c>
      <c r="C1075" s="158" t="s">
        <v>43</v>
      </c>
      <c r="D1075" s="158" t="s">
        <v>44</v>
      </c>
      <c r="E1075" s="157">
        <v>-1</v>
      </c>
      <c r="F1075" s="158" t="s">
        <v>525</v>
      </c>
      <c r="G1075" s="159">
        <v>-7871.08</v>
      </c>
      <c r="H1075" s="159">
        <v>0</v>
      </c>
      <c r="I1075" s="159">
        <v>-3960.7</v>
      </c>
      <c r="J1075" s="159">
        <v>50.3</v>
      </c>
      <c r="K1075" t="str">
        <f>VLOOKUP($C1075,Lists!$C$3:$M$118,7,FALSE)</f>
        <v>Beers</v>
      </c>
      <c r="S1075" s="4"/>
      <c r="T1075" s="4"/>
      <c r="U1075" s="5"/>
      <c r="V1075" s="5"/>
    </row>
    <row r="1076" spans="1:22" x14ac:dyDescent="0.25">
      <c r="A1076" s="158" t="s">
        <v>602</v>
      </c>
      <c r="B1076" s="158" t="s">
        <v>603</v>
      </c>
      <c r="C1076" s="158" t="s">
        <v>59</v>
      </c>
      <c r="D1076" s="158" t="s">
        <v>60</v>
      </c>
      <c r="E1076" s="157">
        <v>72</v>
      </c>
      <c r="F1076" s="158" t="s">
        <v>525</v>
      </c>
      <c r="G1076" s="159">
        <v>290355.12</v>
      </c>
      <c r="H1076" s="159">
        <v>0</v>
      </c>
      <c r="I1076" s="159">
        <v>121410.72</v>
      </c>
      <c r="J1076" s="159">
        <v>41.8</v>
      </c>
      <c r="K1076" t="str">
        <f>VLOOKUP($C1076,Lists!$C$3:$M$118,7,FALSE)</f>
        <v>COKE_RGB</v>
      </c>
      <c r="S1076" s="4"/>
      <c r="T1076" s="4"/>
      <c r="U1076" s="5"/>
      <c r="V1076" s="5"/>
    </row>
    <row r="1077" spans="1:22" x14ac:dyDescent="0.25">
      <c r="A1077" s="158" t="s">
        <v>602</v>
      </c>
      <c r="B1077" s="158" t="s">
        <v>603</v>
      </c>
      <c r="C1077" s="158" t="s">
        <v>22</v>
      </c>
      <c r="D1077" s="158" t="s">
        <v>23</v>
      </c>
      <c r="E1077" s="157">
        <v>133</v>
      </c>
      <c r="F1077" s="158" t="s">
        <v>525</v>
      </c>
      <c r="G1077" s="159">
        <v>536350.43000000005</v>
      </c>
      <c r="H1077" s="159">
        <v>0</v>
      </c>
      <c r="I1077" s="159">
        <v>222008.92</v>
      </c>
      <c r="J1077" s="159">
        <v>41.4</v>
      </c>
      <c r="K1077" t="str">
        <f>VLOOKUP($C1077,Lists!$C$3:$M$118,7,FALSE)</f>
        <v>COKE_RGB</v>
      </c>
      <c r="S1077" s="4"/>
      <c r="T1077" s="4"/>
      <c r="U1077" s="5"/>
      <c r="V1077" s="5"/>
    </row>
    <row r="1078" spans="1:22" x14ac:dyDescent="0.25">
      <c r="A1078" s="158" t="s">
        <v>602</v>
      </c>
      <c r="B1078" s="158" t="s">
        <v>603</v>
      </c>
      <c r="C1078" s="158" t="s">
        <v>261</v>
      </c>
      <c r="D1078" s="158" t="s">
        <v>538</v>
      </c>
      <c r="E1078" s="157">
        <v>-73</v>
      </c>
      <c r="F1078" s="158" t="s">
        <v>525</v>
      </c>
      <c r="G1078" s="159">
        <v>-294387.83</v>
      </c>
      <c r="H1078" s="159">
        <v>0</v>
      </c>
      <c r="I1078" s="159">
        <v>-121854.52</v>
      </c>
      <c r="J1078" s="159">
        <v>41.4</v>
      </c>
      <c r="K1078" t="str">
        <f>VLOOKUP($C1078,Lists!$C$3:$M$118,7,FALSE)</f>
        <v>COKE_RGB</v>
      </c>
      <c r="S1078" s="4"/>
      <c r="T1078" s="4"/>
      <c r="U1078" s="5"/>
      <c r="V1078" s="5"/>
    </row>
    <row r="1079" spans="1:22" x14ac:dyDescent="0.25">
      <c r="A1079" s="158" t="s">
        <v>602</v>
      </c>
      <c r="B1079" s="158" t="s">
        <v>603</v>
      </c>
      <c r="C1079" s="158" t="s">
        <v>24</v>
      </c>
      <c r="D1079" s="158" t="s">
        <v>25</v>
      </c>
      <c r="E1079" s="157">
        <v>281</v>
      </c>
      <c r="F1079" s="158" t="s">
        <v>525</v>
      </c>
      <c r="G1079" s="159">
        <v>1843146.44</v>
      </c>
      <c r="H1079" s="159">
        <v>0</v>
      </c>
      <c r="I1079" s="159">
        <v>905131.91</v>
      </c>
      <c r="J1079" s="159">
        <v>49.1</v>
      </c>
      <c r="K1079" t="str">
        <f>VLOOKUP($C1079,Lists!$C$3:$M$118,7,FALSE)</f>
        <v>Beers</v>
      </c>
      <c r="S1079" s="4"/>
      <c r="T1079" s="4"/>
      <c r="U1079" s="5"/>
      <c r="V1079" s="5"/>
    </row>
    <row r="1080" spans="1:22" x14ac:dyDescent="0.25">
      <c r="A1080" s="158" t="s">
        <v>602</v>
      </c>
      <c r="B1080" s="158" t="s">
        <v>603</v>
      </c>
      <c r="C1080" s="158" t="s">
        <v>29</v>
      </c>
      <c r="D1080" s="158" t="s">
        <v>30</v>
      </c>
      <c r="E1080" s="157">
        <v>99</v>
      </c>
      <c r="F1080" s="158" t="s">
        <v>525</v>
      </c>
      <c r="G1080" s="159">
        <v>3670018.11</v>
      </c>
      <c r="H1080" s="159">
        <v>0</v>
      </c>
      <c r="I1080" s="159">
        <v>1096018.1100000001</v>
      </c>
      <c r="J1080" s="159">
        <v>29.9</v>
      </c>
      <c r="K1080" t="str">
        <f>VLOOKUP($C1080,Lists!$C$3:$M$118,7,FALSE)</f>
        <v>Spirits</v>
      </c>
      <c r="S1080" s="4"/>
      <c r="T1080" s="4"/>
      <c r="U1080" s="5"/>
      <c r="V1080" s="5"/>
    </row>
    <row r="1081" spans="1:22" x14ac:dyDescent="0.25">
      <c r="A1081" s="158" t="s">
        <v>602</v>
      </c>
      <c r="B1081" s="158" t="s">
        <v>603</v>
      </c>
      <c r="C1081" s="158" t="s">
        <v>33</v>
      </c>
      <c r="D1081" s="158" t="s">
        <v>34</v>
      </c>
      <c r="E1081" s="157">
        <v>49</v>
      </c>
      <c r="F1081" s="158" t="s">
        <v>525</v>
      </c>
      <c r="G1081" s="159">
        <v>2780316.84</v>
      </c>
      <c r="H1081" s="159">
        <v>0</v>
      </c>
      <c r="I1081" s="159">
        <v>575316.84</v>
      </c>
      <c r="J1081" s="159">
        <v>20.7</v>
      </c>
      <c r="K1081" t="str">
        <f>VLOOKUP($C1081,Lists!$C$3:$M$118,7,FALSE)</f>
        <v>Spirits</v>
      </c>
      <c r="S1081" s="4"/>
      <c r="T1081" s="4"/>
      <c r="U1081" s="5"/>
      <c r="V1081" s="5"/>
    </row>
    <row r="1082" spans="1:22" x14ac:dyDescent="0.25">
      <c r="A1082" s="158" t="s">
        <v>602</v>
      </c>
      <c r="B1082" s="158" t="s">
        <v>603</v>
      </c>
      <c r="C1082" s="158" t="s">
        <v>37</v>
      </c>
      <c r="D1082" s="158" t="s">
        <v>38</v>
      </c>
      <c r="E1082" s="157">
        <v>212</v>
      </c>
      <c r="F1082" s="158" t="s">
        <v>525</v>
      </c>
      <c r="G1082" s="159">
        <v>712445.08</v>
      </c>
      <c r="H1082" s="159">
        <v>0</v>
      </c>
      <c r="I1082" s="159">
        <v>340768.8</v>
      </c>
      <c r="J1082" s="159">
        <v>47.8</v>
      </c>
      <c r="K1082" t="str">
        <f>VLOOKUP($C1082,Lists!$C$3:$M$118,7,FALSE)</f>
        <v>SOBO_RGB</v>
      </c>
      <c r="S1082" s="4"/>
      <c r="T1082" s="4"/>
      <c r="U1082" s="5"/>
      <c r="V1082" s="5"/>
    </row>
    <row r="1083" spans="1:22" x14ac:dyDescent="0.25">
      <c r="A1083" s="158" t="s">
        <v>602</v>
      </c>
      <c r="B1083" s="158" t="s">
        <v>603</v>
      </c>
      <c r="C1083" s="158" t="s">
        <v>39</v>
      </c>
      <c r="D1083" s="158" t="s">
        <v>40</v>
      </c>
      <c r="E1083" s="157">
        <v>280</v>
      </c>
      <c r="F1083" s="158" t="s">
        <v>525</v>
      </c>
      <c r="G1083" s="159">
        <v>940965.2</v>
      </c>
      <c r="H1083" s="159">
        <v>0</v>
      </c>
      <c r="I1083" s="159">
        <v>446247.2</v>
      </c>
      <c r="J1083" s="159">
        <v>47.4</v>
      </c>
      <c r="K1083" t="str">
        <f>VLOOKUP($C1083,Lists!$C$3:$M$118,7,FALSE)</f>
        <v>SOBO_RGB</v>
      </c>
      <c r="S1083" s="4"/>
      <c r="T1083" s="4"/>
      <c r="U1083" s="5"/>
      <c r="V1083" s="5"/>
    </row>
    <row r="1084" spans="1:22" x14ac:dyDescent="0.25">
      <c r="A1084" s="158" t="s">
        <v>602</v>
      </c>
      <c r="B1084" s="158" t="s">
        <v>603</v>
      </c>
      <c r="C1084" s="158" t="s">
        <v>45</v>
      </c>
      <c r="D1084" s="158" t="s">
        <v>46</v>
      </c>
      <c r="E1084" s="157">
        <v>72</v>
      </c>
      <c r="F1084" s="158" t="s">
        <v>525</v>
      </c>
      <c r="G1084" s="159">
        <v>290355.12</v>
      </c>
      <c r="H1084" s="159">
        <v>0</v>
      </c>
      <c r="I1084" s="159">
        <v>145738.79999999999</v>
      </c>
      <c r="J1084" s="159">
        <v>50.2</v>
      </c>
      <c r="K1084" t="str">
        <f>VLOOKUP($C1084,Lists!$C$3:$M$118,7,FALSE)</f>
        <v>SOBO_RGB</v>
      </c>
      <c r="S1084" s="4"/>
      <c r="T1084" s="4"/>
      <c r="U1084" s="5"/>
      <c r="V1084" s="5"/>
    </row>
    <row r="1085" spans="1:22" x14ac:dyDescent="0.25">
      <c r="A1085" s="158" t="s">
        <v>602</v>
      </c>
      <c r="B1085" s="158" t="s">
        <v>603</v>
      </c>
      <c r="C1085" s="158" t="s">
        <v>47</v>
      </c>
      <c r="D1085" s="158" t="s">
        <v>48</v>
      </c>
      <c r="E1085" s="157">
        <v>-1</v>
      </c>
      <c r="F1085" s="158" t="s">
        <v>525</v>
      </c>
      <c r="G1085" s="159">
        <v>-4032.71</v>
      </c>
      <c r="H1085" s="159">
        <v>0</v>
      </c>
      <c r="I1085" s="159">
        <v>-1802.01</v>
      </c>
      <c r="J1085" s="159">
        <v>44.7</v>
      </c>
      <c r="K1085" t="str">
        <f>VLOOKUP($C1085,Lists!$C$3:$M$118,7,FALSE)</f>
        <v>COKE_RGB</v>
      </c>
      <c r="S1085" s="4"/>
      <c r="T1085" s="4"/>
      <c r="U1085" s="5"/>
      <c r="V1085" s="5"/>
    </row>
    <row r="1086" spans="1:22" x14ac:dyDescent="0.25">
      <c r="A1086" s="158" t="s">
        <v>604</v>
      </c>
      <c r="B1086" s="158" t="s">
        <v>605</v>
      </c>
      <c r="C1086" s="158" t="s">
        <v>10</v>
      </c>
      <c r="D1086" s="158" t="s">
        <v>11</v>
      </c>
      <c r="E1086" s="157">
        <v>72</v>
      </c>
      <c r="F1086" s="158" t="s">
        <v>525</v>
      </c>
      <c r="G1086" s="159">
        <v>566717.76</v>
      </c>
      <c r="H1086" s="159">
        <v>0</v>
      </c>
      <c r="I1086" s="159">
        <v>243797.76000000001</v>
      </c>
      <c r="J1086" s="159">
        <v>43</v>
      </c>
      <c r="K1086" t="str">
        <f>VLOOKUP($C1086,Lists!$C$3:$M$118,7,FALSE)</f>
        <v>Alcomix</v>
      </c>
      <c r="S1086" s="4"/>
      <c r="T1086" s="4"/>
      <c r="U1086" s="5"/>
      <c r="V1086" s="5"/>
    </row>
    <row r="1087" spans="1:22" x14ac:dyDescent="0.25">
      <c r="A1087" s="158" t="s">
        <v>604</v>
      </c>
      <c r="B1087" s="158" t="s">
        <v>605</v>
      </c>
      <c r="C1087" s="158" t="s">
        <v>16</v>
      </c>
      <c r="D1087" s="158" t="s">
        <v>17</v>
      </c>
      <c r="E1087" s="157">
        <v>72</v>
      </c>
      <c r="F1087" s="158" t="s">
        <v>525</v>
      </c>
      <c r="G1087" s="159">
        <v>566717.76</v>
      </c>
      <c r="H1087" s="159">
        <v>0</v>
      </c>
      <c r="I1087" s="159">
        <v>285170.40000000002</v>
      </c>
      <c r="J1087" s="159">
        <v>50.3</v>
      </c>
      <c r="K1087" t="str">
        <f>VLOOKUP($C1087,Lists!$C$3:$M$118,7,FALSE)</f>
        <v>Beers</v>
      </c>
      <c r="S1087" s="4"/>
      <c r="T1087" s="4"/>
      <c r="U1087" s="5"/>
      <c r="V1087" s="5"/>
    </row>
    <row r="1088" spans="1:22" x14ac:dyDescent="0.25">
      <c r="A1088" s="158" t="s">
        <v>604</v>
      </c>
      <c r="B1088" s="158" t="s">
        <v>605</v>
      </c>
      <c r="C1088" s="158" t="s">
        <v>18</v>
      </c>
      <c r="D1088" s="158" t="s">
        <v>19</v>
      </c>
      <c r="E1088" s="157">
        <v>72</v>
      </c>
      <c r="F1088" s="158" t="s">
        <v>525</v>
      </c>
      <c r="G1088" s="159">
        <v>755623.44</v>
      </c>
      <c r="H1088" s="159">
        <v>0</v>
      </c>
      <c r="I1088" s="159">
        <v>398539.44</v>
      </c>
      <c r="J1088" s="159">
        <v>52.7</v>
      </c>
      <c r="K1088" t="str">
        <f>VLOOKUP($C1088,Lists!$C$3:$M$118,7,FALSE)</f>
        <v>Beers</v>
      </c>
      <c r="S1088" s="4"/>
      <c r="T1088" s="4"/>
      <c r="U1088" s="5"/>
      <c r="V1088" s="5"/>
    </row>
    <row r="1089" spans="1:22" x14ac:dyDescent="0.25">
      <c r="A1089" s="158" t="s">
        <v>604</v>
      </c>
      <c r="B1089" s="158" t="s">
        <v>605</v>
      </c>
      <c r="C1089" s="158" t="s">
        <v>29</v>
      </c>
      <c r="D1089" s="158" t="s">
        <v>30</v>
      </c>
      <c r="E1089" s="157">
        <v>26.25</v>
      </c>
      <c r="F1089" s="158" t="s">
        <v>525</v>
      </c>
      <c r="G1089" s="159">
        <v>973110.86</v>
      </c>
      <c r="H1089" s="159">
        <v>0</v>
      </c>
      <c r="I1089" s="159">
        <v>290610.86</v>
      </c>
      <c r="J1089" s="159">
        <v>29.9</v>
      </c>
      <c r="K1089" t="str">
        <f>VLOOKUP($C1089,Lists!$C$3:$M$118,7,FALSE)</f>
        <v>Spirits</v>
      </c>
      <c r="S1089" s="4"/>
      <c r="T1089" s="4"/>
      <c r="U1089" s="5"/>
      <c r="V1089" s="5"/>
    </row>
    <row r="1090" spans="1:22" x14ac:dyDescent="0.25">
      <c r="A1090" s="158" t="s">
        <v>604</v>
      </c>
      <c r="B1090" s="158" t="s">
        <v>605</v>
      </c>
      <c r="C1090" s="158" t="s">
        <v>33</v>
      </c>
      <c r="D1090" s="158" t="s">
        <v>34</v>
      </c>
      <c r="E1090" s="157">
        <v>5.5</v>
      </c>
      <c r="F1090" s="158" t="s">
        <v>525</v>
      </c>
      <c r="G1090" s="159">
        <v>312076.38</v>
      </c>
      <c r="H1090" s="159">
        <v>0</v>
      </c>
      <c r="I1090" s="159">
        <v>64576.38</v>
      </c>
      <c r="J1090" s="159">
        <v>20.7</v>
      </c>
      <c r="K1090" t="str">
        <f>VLOOKUP($C1090,Lists!$C$3:$M$118,7,FALSE)</f>
        <v>Spirits</v>
      </c>
      <c r="S1090" s="4"/>
      <c r="T1090" s="4"/>
      <c r="U1090" s="5"/>
      <c r="V1090" s="5"/>
    </row>
    <row r="1091" spans="1:22" x14ac:dyDescent="0.25">
      <c r="A1091" s="158" t="s">
        <v>604</v>
      </c>
      <c r="B1091" s="158" t="s">
        <v>605</v>
      </c>
      <c r="C1091" s="158" t="s">
        <v>37</v>
      </c>
      <c r="D1091" s="158" t="s">
        <v>38</v>
      </c>
      <c r="E1091" s="157">
        <v>144</v>
      </c>
      <c r="F1091" s="158" t="s">
        <v>525</v>
      </c>
      <c r="G1091" s="159">
        <v>483924.96</v>
      </c>
      <c r="H1091" s="159">
        <v>0</v>
      </c>
      <c r="I1091" s="159">
        <v>231465.60000000001</v>
      </c>
      <c r="J1091" s="159">
        <v>47.8</v>
      </c>
      <c r="K1091" t="str">
        <f>VLOOKUP($C1091,Lists!$C$3:$M$118,7,FALSE)</f>
        <v>SOBO_RGB</v>
      </c>
      <c r="S1091" s="4"/>
      <c r="T1091" s="4"/>
      <c r="U1091" s="5"/>
      <c r="V1091" s="5"/>
    </row>
    <row r="1092" spans="1:22" x14ac:dyDescent="0.25">
      <c r="A1092" s="158" t="s">
        <v>604</v>
      </c>
      <c r="B1092" s="158" t="s">
        <v>605</v>
      </c>
      <c r="C1092" s="158" t="s">
        <v>39</v>
      </c>
      <c r="D1092" s="158" t="s">
        <v>40</v>
      </c>
      <c r="E1092" s="157">
        <v>216</v>
      </c>
      <c r="F1092" s="158" t="s">
        <v>525</v>
      </c>
      <c r="G1092" s="159">
        <v>725887.44</v>
      </c>
      <c r="H1092" s="159">
        <v>0</v>
      </c>
      <c r="I1092" s="159">
        <v>344247.84</v>
      </c>
      <c r="J1092" s="159">
        <v>47.4</v>
      </c>
      <c r="K1092" t="str">
        <f>VLOOKUP($C1092,Lists!$C$3:$M$118,7,FALSE)</f>
        <v>SOBO_RGB</v>
      </c>
      <c r="S1092" s="4"/>
      <c r="T1092" s="4"/>
      <c r="U1092" s="5"/>
      <c r="V1092" s="5"/>
    </row>
    <row r="1093" spans="1:22" x14ac:dyDescent="0.25">
      <c r="A1093" s="158" t="s">
        <v>604</v>
      </c>
      <c r="B1093" s="158" t="s">
        <v>605</v>
      </c>
      <c r="C1093" s="158" t="s">
        <v>49</v>
      </c>
      <c r="D1093" s="158" t="s">
        <v>50</v>
      </c>
      <c r="E1093" s="157">
        <v>72</v>
      </c>
      <c r="F1093" s="158" t="s">
        <v>525</v>
      </c>
      <c r="G1093" s="159">
        <v>721971.36</v>
      </c>
      <c r="H1093" s="159">
        <v>0</v>
      </c>
      <c r="I1093" s="159">
        <v>229947.84</v>
      </c>
      <c r="J1093" s="159">
        <v>31.8</v>
      </c>
      <c r="K1093" t="str">
        <f>VLOOKUP($C1093,Lists!$C$3:$M$118,7,FALSE)</f>
        <v>Squash</v>
      </c>
      <c r="S1093" s="4"/>
      <c r="T1093" s="4"/>
      <c r="U1093" s="5"/>
      <c r="V1093" s="5"/>
    </row>
    <row r="1094" spans="1:22" x14ac:dyDescent="0.25">
      <c r="A1094" s="158" t="s">
        <v>606</v>
      </c>
      <c r="B1094" s="158" t="s">
        <v>607</v>
      </c>
      <c r="C1094" s="158" t="s">
        <v>12</v>
      </c>
      <c r="D1094" s="158" t="s">
        <v>13</v>
      </c>
      <c r="E1094" s="157">
        <v>288</v>
      </c>
      <c r="F1094" s="158" t="s">
        <v>525</v>
      </c>
      <c r="G1094" s="159">
        <v>1889061.12</v>
      </c>
      <c r="H1094" s="159">
        <v>0</v>
      </c>
      <c r="I1094" s="159">
        <v>845277.12</v>
      </c>
      <c r="J1094" s="159">
        <v>44.7</v>
      </c>
      <c r="K1094" t="str">
        <f>VLOOKUP($C1094,Lists!$C$3:$M$118,7,FALSE)</f>
        <v>Beers</v>
      </c>
      <c r="S1094" s="4"/>
      <c r="T1094" s="4"/>
      <c r="U1094" s="5"/>
      <c r="V1094" s="5"/>
    </row>
    <row r="1095" spans="1:22" x14ac:dyDescent="0.25">
      <c r="A1095" s="158" t="s">
        <v>606</v>
      </c>
      <c r="B1095" s="158" t="s">
        <v>607</v>
      </c>
      <c r="C1095" s="158" t="s">
        <v>54</v>
      </c>
      <c r="D1095" s="158" t="s">
        <v>55</v>
      </c>
      <c r="E1095" s="157">
        <v>50</v>
      </c>
      <c r="F1095" s="158" t="s">
        <v>525</v>
      </c>
      <c r="G1095" s="159">
        <v>393554</v>
      </c>
      <c r="H1095" s="159">
        <v>0</v>
      </c>
      <c r="I1095" s="159">
        <v>210066.5</v>
      </c>
      <c r="J1095" s="159">
        <v>53.4</v>
      </c>
      <c r="K1095" t="str">
        <f>VLOOKUP($C1095,Lists!$C$3:$M$118,7,FALSE)</f>
        <v>Beers</v>
      </c>
      <c r="S1095" s="4"/>
      <c r="T1095" s="4"/>
      <c r="U1095" s="5"/>
      <c r="V1095" s="5"/>
    </row>
    <row r="1096" spans="1:22" x14ac:dyDescent="0.25">
      <c r="A1096" s="158" t="s">
        <v>606</v>
      </c>
      <c r="B1096" s="158" t="s">
        <v>607</v>
      </c>
      <c r="C1096" s="158" t="s">
        <v>16</v>
      </c>
      <c r="D1096" s="158" t="s">
        <v>17</v>
      </c>
      <c r="E1096" s="157">
        <v>288</v>
      </c>
      <c r="F1096" s="158" t="s">
        <v>525</v>
      </c>
      <c r="G1096" s="159">
        <v>2266871.04</v>
      </c>
      <c r="H1096" s="159">
        <v>0</v>
      </c>
      <c r="I1096" s="159">
        <v>1140681.6000000001</v>
      </c>
      <c r="J1096" s="159">
        <v>50.3</v>
      </c>
      <c r="K1096" t="str">
        <f>VLOOKUP($C1096,Lists!$C$3:$M$118,7,FALSE)</f>
        <v>Beers</v>
      </c>
      <c r="S1096" s="4"/>
      <c r="T1096" s="4"/>
      <c r="U1096" s="5"/>
      <c r="V1096" s="5"/>
    </row>
    <row r="1097" spans="1:22" x14ac:dyDescent="0.25">
      <c r="A1097" s="158" t="s">
        <v>606</v>
      </c>
      <c r="B1097" s="158" t="s">
        <v>607</v>
      </c>
      <c r="C1097" s="158" t="s">
        <v>18</v>
      </c>
      <c r="D1097" s="158" t="s">
        <v>19</v>
      </c>
      <c r="E1097" s="157">
        <v>72</v>
      </c>
      <c r="F1097" s="158" t="s">
        <v>525</v>
      </c>
      <c r="G1097" s="159">
        <v>755623.44</v>
      </c>
      <c r="H1097" s="159">
        <v>0</v>
      </c>
      <c r="I1097" s="159">
        <v>398539.44</v>
      </c>
      <c r="J1097" s="159">
        <v>52.7</v>
      </c>
      <c r="K1097" t="str">
        <f>VLOOKUP($C1097,Lists!$C$3:$M$118,7,FALSE)</f>
        <v>Beers</v>
      </c>
      <c r="S1097" s="4"/>
      <c r="T1097" s="4"/>
      <c r="U1097" s="5"/>
      <c r="V1097" s="5"/>
    </row>
    <row r="1098" spans="1:22" x14ac:dyDescent="0.25">
      <c r="A1098" s="158" t="s">
        <v>606</v>
      </c>
      <c r="B1098" s="158" t="s">
        <v>607</v>
      </c>
      <c r="C1098" s="158" t="s">
        <v>20</v>
      </c>
      <c r="D1098" s="158" t="s">
        <v>21</v>
      </c>
      <c r="E1098" s="157">
        <v>216</v>
      </c>
      <c r="F1098" s="158" t="s">
        <v>525</v>
      </c>
      <c r="G1098" s="159">
        <v>871065.36</v>
      </c>
      <c r="H1098" s="159">
        <v>0</v>
      </c>
      <c r="I1098" s="159">
        <v>375410.16</v>
      </c>
      <c r="J1098" s="159">
        <v>43.1</v>
      </c>
      <c r="K1098" t="str">
        <f>VLOOKUP($C1098,Lists!$C$3:$M$118,7,FALSE)</f>
        <v>COKE_RGB</v>
      </c>
      <c r="S1098" s="4"/>
      <c r="T1098" s="4"/>
      <c r="U1098" s="5"/>
      <c r="V1098" s="5"/>
    </row>
    <row r="1099" spans="1:22" x14ac:dyDescent="0.25">
      <c r="A1099" s="158" t="s">
        <v>606</v>
      </c>
      <c r="B1099" s="158" t="s">
        <v>607</v>
      </c>
      <c r="C1099" s="158" t="s">
        <v>24</v>
      </c>
      <c r="D1099" s="158" t="s">
        <v>25</v>
      </c>
      <c r="E1099" s="157">
        <v>144</v>
      </c>
      <c r="F1099" s="158" t="s">
        <v>525</v>
      </c>
      <c r="G1099" s="159">
        <v>944530.56</v>
      </c>
      <c r="H1099" s="159">
        <v>0</v>
      </c>
      <c r="I1099" s="159">
        <v>463839.84</v>
      </c>
      <c r="J1099" s="159">
        <v>49.1</v>
      </c>
      <c r="K1099" t="str">
        <f>VLOOKUP($C1099,Lists!$C$3:$M$118,7,FALSE)</f>
        <v>Beers</v>
      </c>
      <c r="S1099" s="4"/>
      <c r="T1099" s="4"/>
      <c r="U1099" s="5"/>
      <c r="V1099" s="5"/>
    </row>
    <row r="1100" spans="1:22" x14ac:dyDescent="0.25">
      <c r="A1100" s="158" t="s">
        <v>606</v>
      </c>
      <c r="B1100" s="158" t="s">
        <v>607</v>
      </c>
      <c r="C1100" s="158" t="s">
        <v>37</v>
      </c>
      <c r="D1100" s="158" t="s">
        <v>38</v>
      </c>
      <c r="E1100" s="157">
        <v>144</v>
      </c>
      <c r="F1100" s="158" t="s">
        <v>525</v>
      </c>
      <c r="G1100" s="159">
        <v>483924.96</v>
      </c>
      <c r="H1100" s="159">
        <v>0</v>
      </c>
      <c r="I1100" s="159">
        <v>231465.60000000001</v>
      </c>
      <c r="J1100" s="159">
        <v>47.8</v>
      </c>
      <c r="K1100" t="str">
        <f>VLOOKUP($C1100,Lists!$C$3:$M$118,7,FALSE)</f>
        <v>SOBO_RGB</v>
      </c>
      <c r="S1100" s="4"/>
      <c r="T1100" s="4"/>
      <c r="U1100" s="5"/>
      <c r="V1100" s="5"/>
    </row>
    <row r="1101" spans="1:22" x14ac:dyDescent="0.25">
      <c r="A1101" s="158" t="s">
        <v>606</v>
      </c>
      <c r="B1101" s="158" t="s">
        <v>607</v>
      </c>
      <c r="C1101" s="158" t="s">
        <v>45</v>
      </c>
      <c r="D1101" s="158" t="s">
        <v>46</v>
      </c>
      <c r="E1101" s="157">
        <v>72</v>
      </c>
      <c r="F1101" s="158" t="s">
        <v>525</v>
      </c>
      <c r="G1101" s="159">
        <v>290355.12</v>
      </c>
      <c r="H1101" s="159">
        <v>0</v>
      </c>
      <c r="I1101" s="159">
        <v>145738.79999999999</v>
      </c>
      <c r="J1101" s="159">
        <v>50.2</v>
      </c>
      <c r="K1101" t="str">
        <f>VLOOKUP($C1101,Lists!$C$3:$M$118,7,FALSE)</f>
        <v>SOBO_RGB</v>
      </c>
      <c r="S1101" s="4"/>
      <c r="T1101" s="4"/>
      <c r="U1101" s="5"/>
      <c r="V1101" s="5"/>
    </row>
    <row r="1102" spans="1:22" x14ac:dyDescent="0.25">
      <c r="A1102" s="158" t="s">
        <v>608</v>
      </c>
      <c r="B1102" s="158" t="s">
        <v>609</v>
      </c>
      <c r="C1102" s="158" t="s">
        <v>10</v>
      </c>
      <c r="D1102" s="158" t="s">
        <v>11</v>
      </c>
      <c r="E1102" s="157">
        <v>72</v>
      </c>
      <c r="F1102" s="158" t="s">
        <v>525</v>
      </c>
      <c r="G1102" s="159">
        <v>566717.76</v>
      </c>
      <c r="H1102" s="159">
        <v>0</v>
      </c>
      <c r="I1102" s="159">
        <v>243797.76000000001</v>
      </c>
      <c r="J1102" s="159">
        <v>43</v>
      </c>
      <c r="K1102" t="str">
        <f>VLOOKUP($C1102,Lists!$C$3:$M$118,7,FALSE)</f>
        <v>Alcomix</v>
      </c>
      <c r="S1102" s="4"/>
      <c r="T1102" s="4"/>
      <c r="U1102" s="5"/>
      <c r="V1102" s="5"/>
    </row>
    <row r="1103" spans="1:22" x14ac:dyDescent="0.25">
      <c r="A1103" s="158" t="s">
        <v>608</v>
      </c>
      <c r="B1103" s="158" t="s">
        <v>609</v>
      </c>
      <c r="C1103" s="158" t="s">
        <v>12</v>
      </c>
      <c r="D1103" s="158" t="s">
        <v>13</v>
      </c>
      <c r="E1103" s="157">
        <v>216</v>
      </c>
      <c r="F1103" s="158" t="s">
        <v>525</v>
      </c>
      <c r="G1103" s="159">
        <v>1416795.84</v>
      </c>
      <c r="H1103" s="159">
        <v>0</v>
      </c>
      <c r="I1103" s="159">
        <v>633957.84</v>
      </c>
      <c r="J1103" s="159">
        <v>44.7</v>
      </c>
      <c r="K1103" t="str">
        <f>VLOOKUP($C1103,Lists!$C$3:$M$118,7,FALSE)</f>
        <v>Beers</v>
      </c>
      <c r="S1103" s="4"/>
      <c r="T1103" s="4"/>
      <c r="U1103" s="5"/>
      <c r="V1103" s="5"/>
    </row>
    <row r="1104" spans="1:22" x14ac:dyDescent="0.25">
      <c r="A1104" s="158" t="s">
        <v>608</v>
      </c>
      <c r="B1104" s="158" t="s">
        <v>609</v>
      </c>
      <c r="C1104" s="158" t="s">
        <v>14</v>
      </c>
      <c r="D1104" s="158" t="s">
        <v>15</v>
      </c>
      <c r="E1104" s="157">
        <v>72</v>
      </c>
      <c r="F1104" s="158" t="s">
        <v>525</v>
      </c>
      <c r="G1104" s="159">
        <v>566717.76</v>
      </c>
      <c r="H1104" s="159">
        <v>0</v>
      </c>
      <c r="I1104" s="159">
        <v>285170.40000000002</v>
      </c>
      <c r="J1104" s="159">
        <v>50.3</v>
      </c>
      <c r="K1104" t="str">
        <f>VLOOKUP($C1104,Lists!$C$3:$M$118,7,FALSE)</f>
        <v>Beers</v>
      </c>
      <c r="S1104" s="4"/>
      <c r="T1104" s="4"/>
      <c r="U1104" s="5"/>
      <c r="V1104" s="5"/>
    </row>
    <row r="1105" spans="1:22" x14ac:dyDescent="0.25">
      <c r="A1105" s="158" t="s">
        <v>608</v>
      </c>
      <c r="B1105" s="158" t="s">
        <v>609</v>
      </c>
      <c r="C1105" s="158" t="s">
        <v>54</v>
      </c>
      <c r="D1105" s="158" t="s">
        <v>55</v>
      </c>
      <c r="E1105" s="157">
        <v>50</v>
      </c>
      <c r="F1105" s="158" t="s">
        <v>525</v>
      </c>
      <c r="G1105" s="159">
        <v>393554</v>
      </c>
      <c r="H1105" s="159">
        <v>0</v>
      </c>
      <c r="I1105" s="159">
        <v>210066.5</v>
      </c>
      <c r="J1105" s="159">
        <v>53.4</v>
      </c>
      <c r="K1105" t="str">
        <f>VLOOKUP($C1105,Lists!$C$3:$M$118,7,FALSE)</f>
        <v>Beers</v>
      </c>
      <c r="S1105" s="4"/>
      <c r="T1105" s="4"/>
      <c r="U1105" s="5"/>
      <c r="V1105" s="5"/>
    </row>
    <row r="1106" spans="1:22" x14ac:dyDescent="0.25">
      <c r="A1106" s="158" t="s">
        <v>608</v>
      </c>
      <c r="B1106" s="158" t="s">
        <v>609</v>
      </c>
      <c r="C1106" s="158" t="s">
        <v>16</v>
      </c>
      <c r="D1106" s="158" t="s">
        <v>17</v>
      </c>
      <c r="E1106" s="157">
        <v>72</v>
      </c>
      <c r="F1106" s="158" t="s">
        <v>525</v>
      </c>
      <c r="G1106" s="159">
        <v>566717.76</v>
      </c>
      <c r="H1106" s="159">
        <v>0</v>
      </c>
      <c r="I1106" s="159">
        <v>285170.40000000002</v>
      </c>
      <c r="J1106" s="159">
        <v>50.3</v>
      </c>
      <c r="K1106" t="str">
        <f>VLOOKUP($C1106,Lists!$C$3:$M$118,7,FALSE)</f>
        <v>Beers</v>
      </c>
      <c r="S1106" s="4"/>
      <c r="T1106" s="4"/>
      <c r="U1106" s="5"/>
      <c r="V1106" s="5"/>
    </row>
    <row r="1107" spans="1:22" x14ac:dyDescent="0.25">
      <c r="A1107" s="158" t="s">
        <v>608</v>
      </c>
      <c r="B1107" s="158" t="s">
        <v>609</v>
      </c>
      <c r="C1107" s="158" t="s">
        <v>20</v>
      </c>
      <c r="D1107" s="158" t="s">
        <v>21</v>
      </c>
      <c r="E1107" s="157">
        <v>144</v>
      </c>
      <c r="F1107" s="158" t="s">
        <v>525</v>
      </c>
      <c r="G1107" s="159">
        <v>580710.24</v>
      </c>
      <c r="H1107" s="159">
        <v>0</v>
      </c>
      <c r="I1107" s="159">
        <v>250273.44</v>
      </c>
      <c r="J1107" s="159">
        <v>43.1</v>
      </c>
      <c r="K1107" t="str">
        <f>VLOOKUP($C1107,Lists!$C$3:$M$118,7,FALSE)</f>
        <v>COKE_RGB</v>
      </c>
      <c r="S1107" s="4"/>
      <c r="T1107" s="4"/>
      <c r="U1107" s="5"/>
      <c r="V1107" s="5"/>
    </row>
    <row r="1108" spans="1:22" x14ac:dyDescent="0.25">
      <c r="A1108" s="158" t="s">
        <v>608</v>
      </c>
      <c r="B1108" s="158" t="s">
        <v>609</v>
      </c>
      <c r="C1108" s="158" t="s">
        <v>22</v>
      </c>
      <c r="D1108" s="158" t="s">
        <v>23</v>
      </c>
      <c r="E1108" s="157">
        <v>72</v>
      </c>
      <c r="F1108" s="158" t="s">
        <v>525</v>
      </c>
      <c r="G1108" s="159">
        <v>290355.12</v>
      </c>
      <c r="H1108" s="159">
        <v>0</v>
      </c>
      <c r="I1108" s="159">
        <v>120185.28</v>
      </c>
      <c r="J1108" s="159">
        <v>41.4</v>
      </c>
      <c r="K1108" t="str">
        <f>VLOOKUP($C1108,Lists!$C$3:$M$118,7,FALSE)</f>
        <v>COKE_RGB</v>
      </c>
      <c r="S1108" s="4"/>
      <c r="T1108" s="4"/>
      <c r="U1108" s="5"/>
      <c r="V1108" s="5"/>
    </row>
    <row r="1109" spans="1:22" x14ac:dyDescent="0.25">
      <c r="A1109" s="158" t="s">
        <v>608</v>
      </c>
      <c r="B1109" s="158" t="s">
        <v>609</v>
      </c>
      <c r="C1109" s="158" t="s">
        <v>39</v>
      </c>
      <c r="D1109" s="158" t="s">
        <v>40</v>
      </c>
      <c r="E1109" s="157">
        <v>72</v>
      </c>
      <c r="F1109" s="158" t="s">
        <v>525</v>
      </c>
      <c r="G1109" s="159">
        <v>241962.48</v>
      </c>
      <c r="H1109" s="159">
        <v>0</v>
      </c>
      <c r="I1109" s="159">
        <v>114749.28</v>
      </c>
      <c r="J1109" s="159">
        <v>47.4</v>
      </c>
      <c r="K1109" t="str">
        <f>VLOOKUP($C1109,Lists!$C$3:$M$118,7,FALSE)</f>
        <v>SOBO_RGB</v>
      </c>
      <c r="S1109" s="4"/>
      <c r="T1109" s="4"/>
      <c r="U1109" s="5"/>
      <c r="V1109" s="5"/>
    </row>
    <row r="1110" spans="1:22" x14ac:dyDescent="0.25">
      <c r="A1110" s="158" t="s">
        <v>610</v>
      </c>
      <c r="B1110" s="158" t="s">
        <v>611</v>
      </c>
      <c r="C1110" s="158" t="s">
        <v>12</v>
      </c>
      <c r="D1110" s="158" t="s">
        <v>13</v>
      </c>
      <c r="E1110" s="157">
        <v>648</v>
      </c>
      <c r="F1110" s="158" t="s">
        <v>525</v>
      </c>
      <c r="G1110" s="159">
        <v>4250387.5199999996</v>
      </c>
      <c r="H1110" s="159">
        <v>0</v>
      </c>
      <c r="I1110" s="159">
        <v>1901873.52</v>
      </c>
      <c r="J1110" s="159">
        <v>44.7</v>
      </c>
      <c r="K1110" t="str">
        <f>VLOOKUP($C1110,Lists!$C$3:$M$118,7,FALSE)</f>
        <v>Beers</v>
      </c>
      <c r="S1110" s="4"/>
      <c r="T1110" s="4"/>
      <c r="U1110" s="5"/>
      <c r="V1110" s="5"/>
    </row>
    <row r="1111" spans="1:22" x14ac:dyDescent="0.25">
      <c r="A1111" s="158" t="s">
        <v>610</v>
      </c>
      <c r="B1111" s="158" t="s">
        <v>611</v>
      </c>
      <c r="C1111" s="158" t="s">
        <v>14</v>
      </c>
      <c r="D1111" s="158" t="s">
        <v>15</v>
      </c>
      <c r="E1111" s="157">
        <v>72</v>
      </c>
      <c r="F1111" s="158" t="s">
        <v>525</v>
      </c>
      <c r="G1111" s="159">
        <v>566717.76</v>
      </c>
      <c r="H1111" s="159">
        <v>0</v>
      </c>
      <c r="I1111" s="159">
        <v>285170.40000000002</v>
      </c>
      <c r="J1111" s="159">
        <v>50.3</v>
      </c>
      <c r="K1111" t="str">
        <f>VLOOKUP($C1111,Lists!$C$3:$M$118,7,FALSE)</f>
        <v>Beers</v>
      </c>
      <c r="S1111" s="4"/>
      <c r="T1111" s="4"/>
      <c r="U1111" s="5"/>
      <c r="V1111" s="5"/>
    </row>
    <row r="1112" spans="1:22" x14ac:dyDescent="0.25">
      <c r="A1112" s="158" t="s">
        <v>610</v>
      </c>
      <c r="B1112" s="158" t="s">
        <v>611</v>
      </c>
      <c r="C1112" s="158" t="s">
        <v>16</v>
      </c>
      <c r="D1112" s="158" t="s">
        <v>17</v>
      </c>
      <c r="E1112" s="157">
        <v>72</v>
      </c>
      <c r="F1112" s="158" t="s">
        <v>525</v>
      </c>
      <c r="G1112" s="159">
        <v>566717.76</v>
      </c>
      <c r="H1112" s="159">
        <v>0</v>
      </c>
      <c r="I1112" s="159">
        <v>285170.40000000002</v>
      </c>
      <c r="J1112" s="159">
        <v>50.3</v>
      </c>
      <c r="K1112" t="str">
        <f>VLOOKUP($C1112,Lists!$C$3:$M$118,7,FALSE)</f>
        <v>Beers</v>
      </c>
      <c r="S1112" s="4"/>
      <c r="T1112" s="4"/>
      <c r="U1112" s="5"/>
      <c r="V1112" s="5"/>
    </row>
    <row r="1113" spans="1:22" x14ac:dyDescent="0.25">
      <c r="A1113" s="158" t="s">
        <v>610</v>
      </c>
      <c r="B1113" s="158" t="s">
        <v>611</v>
      </c>
      <c r="C1113" s="158" t="s">
        <v>20</v>
      </c>
      <c r="D1113" s="158" t="s">
        <v>21</v>
      </c>
      <c r="E1113" s="157">
        <v>144</v>
      </c>
      <c r="F1113" s="158" t="s">
        <v>525</v>
      </c>
      <c r="G1113" s="159">
        <v>580710.24</v>
      </c>
      <c r="H1113" s="159">
        <v>0</v>
      </c>
      <c r="I1113" s="159">
        <v>250273.44</v>
      </c>
      <c r="J1113" s="159">
        <v>43.1</v>
      </c>
      <c r="K1113" t="str">
        <f>VLOOKUP($C1113,Lists!$C$3:$M$118,7,FALSE)</f>
        <v>COKE_RGB</v>
      </c>
      <c r="S1113" s="4"/>
      <c r="T1113" s="4"/>
      <c r="U1113" s="5"/>
      <c r="V1113" s="5"/>
    </row>
    <row r="1114" spans="1:22" x14ac:dyDescent="0.25">
      <c r="A1114" s="158" t="s">
        <v>610</v>
      </c>
      <c r="B1114" s="158" t="s">
        <v>611</v>
      </c>
      <c r="C1114" s="158" t="s">
        <v>31</v>
      </c>
      <c r="D1114" s="158" t="s">
        <v>32</v>
      </c>
      <c r="E1114" s="157">
        <v>2</v>
      </c>
      <c r="F1114" s="158" t="s">
        <v>525</v>
      </c>
      <c r="G1114" s="159">
        <v>69602.48</v>
      </c>
      <c r="H1114" s="159">
        <v>0</v>
      </c>
      <c r="I1114" s="159">
        <v>21602.48</v>
      </c>
      <c r="J1114" s="159">
        <v>31</v>
      </c>
      <c r="K1114" t="str">
        <f>VLOOKUP($C1114,Lists!$C$3:$M$118,7,FALSE)</f>
        <v>Spirits</v>
      </c>
      <c r="S1114" s="4"/>
      <c r="T1114" s="4"/>
      <c r="U1114" s="5"/>
      <c r="V1114" s="5"/>
    </row>
    <row r="1115" spans="1:22" x14ac:dyDescent="0.25">
      <c r="A1115" s="158" t="s">
        <v>610</v>
      </c>
      <c r="B1115" s="158" t="s">
        <v>611</v>
      </c>
      <c r="C1115" s="158" t="s">
        <v>37</v>
      </c>
      <c r="D1115" s="158" t="s">
        <v>38</v>
      </c>
      <c r="E1115" s="157">
        <v>72</v>
      </c>
      <c r="F1115" s="158" t="s">
        <v>525</v>
      </c>
      <c r="G1115" s="159">
        <v>241962.48</v>
      </c>
      <c r="H1115" s="159">
        <v>0</v>
      </c>
      <c r="I1115" s="159">
        <v>115732.8</v>
      </c>
      <c r="J1115" s="159">
        <v>47.8</v>
      </c>
      <c r="K1115" t="str">
        <f>VLOOKUP($C1115,Lists!$C$3:$M$118,7,FALSE)</f>
        <v>SOBO_RGB</v>
      </c>
      <c r="S1115" s="4"/>
      <c r="T1115" s="4"/>
      <c r="U1115" s="5"/>
      <c r="V1115" s="5"/>
    </row>
    <row r="1116" spans="1:22" x14ac:dyDescent="0.25">
      <c r="A1116" s="158" t="s">
        <v>610</v>
      </c>
      <c r="B1116" s="158" t="s">
        <v>611</v>
      </c>
      <c r="C1116" s="158" t="s">
        <v>39</v>
      </c>
      <c r="D1116" s="158" t="s">
        <v>40</v>
      </c>
      <c r="E1116" s="157">
        <v>72</v>
      </c>
      <c r="F1116" s="158" t="s">
        <v>525</v>
      </c>
      <c r="G1116" s="159">
        <v>241962.48</v>
      </c>
      <c r="H1116" s="159">
        <v>0</v>
      </c>
      <c r="I1116" s="159">
        <v>114749.28</v>
      </c>
      <c r="J1116" s="159">
        <v>47.4</v>
      </c>
      <c r="K1116" t="str">
        <f>VLOOKUP($C1116,Lists!$C$3:$M$118,7,FALSE)</f>
        <v>SOBO_RGB</v>
      </c>
      <c r="S1116" s="4"/>
      <c r="T1116" s="4"/>
      <c r="U1116" s="5"/>
      <c r="V1116" s="5"/>
    </row>
    <row r="1117" spans="1:22" x14ac:dyDescent="0.25">
      <c r="A1117" s="158" t="s">
        <v>610</v>
      </c>
      <c r="B1117" s="158" t="s">
        <v>611</v>
      </c>
      <c r="C1117" s="158" t="s">
        <v>45</v>
      </c>
      <c r="D1117" s="158" t="s">
        <v>46</v>
      </c>
      <c r="E1117" s="157">
        <v>72</v>
      </c>
      <c r="F1117" s="158" t="s">
        <v>525</v>
      </c>
      <c r="G1117" s="159">
        <v>290355.12</v>
      </c>
      <c r="H1117" s="159">
        <v>0</v>
      </c>
      <c r="I1117" s="159">
        <v>145738.79999999999</v>
      </c>
      <c r="J1117" s="159">
        <v>50.2</v>
      </c>
      <c r="K1117" t="str">
        <f>VLOOKUP($C1117,Lists!$C$3:$M$118,7,FALSE)</f>
        <v>SOBO_RGB</v>
      </c>
      <c r="S1117" s="4"/>
      <c r="T1117" s="4"/>
      <c r="U1117" s="5"/>
      <c r="V1117" s="5"/>
    </row>
    <row r="1118" spans="1:22" x14ac:dyDescent="0.25">
      <c r="A1118" s="158" t="s">
        <v>612</v>
      </c>
      <c r="B1118" s="158" t="s">
        <v>613</v>
      </c>
      <c r="C1118" s="158" t="s">
        <v>12</v>
      </c>
      <c r="D1118" s="158" t="s">
        <v>13</v>
      </c>
      <c r="E1118" s="157">
        <v>216</v>
      </c>
      <c r="F1118" s="158" t="s">
        <v>525</v>
      </c>
      <c r="G1118" s="159">
        <v>1416795.84</v>
      </c>
      <c r="H1118" s="159">
        <v>0</v>
      </c>
      <c r="I1118" s="159">
        <v>633957.84</v>
      </c>
      <c r="J1118" s="159">
        <v>44.7</v>
      </c>
      <c r="K1118" t="str">
        <f>VLOOKUP($C1118,Lists!$C$3:$M$118,7,FALSE)</f>
        <v>Beers</v>
      </c>
      <c r="S1118" s="4"/>
      <c r="T1118" s="4"/>
      <c r="U1118" s="5"/>
      <c r="V1118" s="5"/>
    </row>
    <row r="1119" spans="1:22" x14ac:dyDescent="0.25">
      <c r="A1119" s="158" t="s">
        <v>612</v>
      </c>
      <c r="B1119" s="158" t="s">
        <v>613</v>
      </c>
      <c r="C1119" s="158" t="s">
        <v>14</v>
      </c>
      <c r="D1119" s="158" t="s">
        <v>15</v>
      </c>
      <c r="E1119" s="157">
        <v>72</v>
      </c>
      <c r="F1119" s="158" t="s">
        <v>525</v>
      </c>
      <c r="G1119" s="159">
        <v>566717.76</v>
      </c>
      <c r="H1119" s="159">
        <v>0</v>
      </c>
      <c r="I1119" s="159">
        <v>285170.40000000002</v>
      </c>
      <c r="J1119" s="159">
        <v>50.3</v>
      </c>
      <c r="K1119" t="str">
        <f>VLOOKUP($C1119,Lists!$C$3:$M$118,7,FALSE)</f>
        <v>Beers</v>
      </c>
      <c r="S1119" s="4"/>
      <c r="T1119" s="4"/>
      <c r="U1119" s="5"/>
      <c r="V1119" s="5"/>
    </row>
    <row r="1120" spans="1:22" x14ac:dyDescent="0.25">
      <c r="A1120" s="158" t="s">
        <v>612</v>
      </c>
      <c r="B1120" s="158" t="s">
        <v>613</v>
      </c>
      <c r="C1120" s="158" t="s">
        <v>16</v>
      </c>
      <c r="D1120" s="158" t="s">
        <v>17</v>
      </c>
      <c r="E1120" s="157">
        <v>288</v>
      </c>
      <c r="F1120" s="158" t="s">
        <v>525</v>
      </c>
      <c r="G1120" s="159">
        <v>2266871.04</v>
      </c>
      <c r="H1120" s="159">
        <v>0</v>
      </c>
      <c r="I1120" s="159">
        <v>1140681.6000000001</v>
      </c>
      <c r="J1120" s="159">
        <v>50.3</v>
      </c>
      <c r="K1120" t="str">
        <f>VLOOKUP($C1120,Lists!$C$3:$M$118,7,FALSE)</f>
        <v>Beers</v>
      </c>
      <c r="S1120" s="4"/>
      <c r="T1120" s="4"/>
      <c r="U1120" s="5"/>
      <c r="V1120" s="5"/>
    </row>
    <row r="1121" spans="1:22" x14ac:dyDescent="0.25">
      <c r="A1121" s="158" t="s">
        <v>612</v>
      </c>
      <c r="B1121" s="158" t="s">
        <v>613</v>
      </c>
      <c r="C1121" s="158" t="s">
        <v>20</v>
      </c>
      <c r="D1121" s="158" t="s">
        <v>21</v>
      </c>
      <c r="E1121" s="157">
        <v>72</v>
      </c>
      <c r="F1121" s="158" t="s">
        <v>525</v>
      </c>
      <c r="G1121" s="159">
        <v>290355.12</v>
      </c>
      <c r="H1121" s="159">
        <v>0</v>
      </c>
      <c r="I1121" s="159">
        <v>125136.72</v>
      </c>
      <c r="J1121" s="159">
        <v>43.1</v>
      </c>
      <c r="K1121" t="str">
        <f>VLOOKUP($C1121,Lists!$C$3:$M$118,7,FALSE)</f>
        <v>COKE_RGB</v>
      </c>
      <c r="S1121" s="4"/>
      <c r="T1121" s="4"/>
      <c r="U1121" s="5"/>
      <c r="V1121" s="5"/>
    </row>
    <row r="1122" spans="1:22" x14ac:dyDescent="0.25">
      <c r="A1122" s="158" t="s">
        <v>612</v>
      </c>
      <c r="B1122" s="158" t="s">
        <v>613</v>
      </c>
      <c r="C1122" s="158" t="s">
        <v>22</v>
      </c>
      <c r="D1122" s="158" t="s">
        <v>23</v>
      </c>
      <c r="E1122" s="157">
        <v>72</v>
      </c>
      <c r="F1122" s="158" t="s">
        <v>525</v>
      </c>
      <c r="G1122" s="159">
        <v>290355.12</v>
      </c>
      <c r="H1122" s="159">
        <v>0</v>
      </c>
      <c r="I1122" s="159">
        <v>120185.28</v>
      </c>
      <c r="J1122" s="159">
        <v>41.4</v>
      </c>
      <c r="K1122" t="str">
        <f>VLOOKUP($C1122,Lists!$C$3:$M$118,7,FALSE)</f>
        <v>COKE_RGB</v>
      </c>
      <c r="S1122" s="4"/>
      <c r="T1122" s="4"/>
      <c r="U1122" s="5"/>
      <c r="V1122" s="5"/>
    </row>
    <row r="1123" spans="1:22" x14ac:dyDescent="0.25">
      <c r="A1123" s="158" t="s">
        <v>612</v>
      </c>
      <c r="B1123" s="158" t="s">
        <v>613</v>
      </c>
      <c r="C1123" s="158" t="s">
        <v>45</v>
      </c>
      <c r="D1123" s="158" t="s">
        <v>46</v>
      </c>
      <c r="E1123" s="157">
        <v>72</v>
      </c>
      <c r="F1123" s="158" t="s">
        <v>525</v>
      </c>
      <c r="G1123" s="159">
        <v>290355.12</v>
      </c>
      <c r="H1123" s="159">
        <v>0</v>
      </c>
      <c r="I1123" s="159">
        <v>145738.79999999999</v>
      </c>
      <c r="J1123" s="159">
        <v>50.2</v>
      </c>
      <c r="K1123" t="str">
        <f>VLOOKUP($C1123,Lists!$C$3:$M$118,7,FALSE)</f>
        <v>SOBO_RGB</v>
      </c>
      <c r="S1123" s="4"/>
      <c r="T1123" s="4"/>
      <c r="U1123" s="5"/>
      <c r="V1123" s="5"/>
    </row>
    <row r="1124" spans="1:22" x14ac:dyDescent="0.25">
      <c r="A1124" s="158" t="s">
        <v>614</v>
      </c>
      <c r="B1124" s="158" t="s">
        <v>615</v>
      </c>
      <c r="C1124" s="158" t="s">
        <v>12</v>
      </c>
      <c r="D1124" s="158" t="s">
        <v>13</v>
      </c>
      <c r="E1124" s="157">
        <v>144</v>
      </c>
      <c r="F1124" s="158" t="s">
        <v>525</v>
      </c>
      <c r="G1124" s="159">
        <v>944530.56</v>
      </c>
      <c r="H1124" s="159">
        <v>0</v>
      </c>
      <c r="I1124" s="159">
        <v>422638.56</v>
      </c>
      <c r="J1124" s="159">
        <v>44.7</v>
      </c>
      <c r="K1124" t="str">
        <f>VLOOKUP($C1124,Lists!$C$3:$M$118,7,FALSE)</f>
        <v>Beers</v>
      </c>
      <c r="S1124" s="4"/>
      <c r="T1124" s="4"/>
      <c r="U1124" s="5"/>
      <c r="V1124" s="5"/>
    </row>
    <row r="1125" spans="1:22" x14ac:dyDescent="0.25">
      <c r="A1125" s="158" t="s">
        <v>614</v>
      </c>
      <c r="B1125" s="158" t="s">
        <v>615</v>
      </c>
      <c r="C1125" s="158" t="s">
        <v>14</v>
      </c>
      <c r="D1125" s="158" t="s">
        <v>15</v>
      </c>
      <c r="E1125" s="157">
        <v>72</v>
      </c>
      <c r="F1125" s="158" t="s">
        <v>525</v>
      </c>
      <c r="G1125" s="159">
        <v>566717.76</v>
      </c>
      <c r="H1125" s="159">
        <v>0</v>
      </c>
      <c r="I1125" s="159">
        <v>285170.40000000002</v>
      </c>
      <c r="J1125" s="159">
        <v>50.3</v>
      </c>
      <c r="K1125" t="str">
        <f>VLOOKUP($C1125,Lists!$C$3:$M$118,7,FALSE)</f>
        <v>Beers</v>
      </c>
      <c r="S1125" s="4"/>
      <c r="T1125" s="4"/>
      <c r="U1125" s="5"/>
      <c r="V1125" s="5"/>
    </row>
    <row r="1126" spans="1:22" x14ac:dyDescent="0.25">
      <c r="A1126" s="158" t="s">
        <v>614</v>
      </c>
      <c r="B1126" s="158" t="s">
        <v>615</v>
      </c>
      <c r="C1126" s="158" t="s">
        <v>16</v>
      </c>
      <c r="D1126" s="158" t="s">
        <v>17</v>
      </c>
      <c r="E1126" s="157">
        <v>360</v>
      </c>
      <c r="F1126" s="158" t="s">
        <v>525</v>
      </c>
      <c r="G1126" s="159">
        <v>2833588.8</v>
      </c>
      <c r="H1126" s="159">
        <v>0</v>
      </c>
      <c r="I1126" s="159">
        <v>1425852</v>
      </c>
      <c r="J1126" s="159">
        <v>50.3</v>
      </c>
      <c r="K1126" t="str">
        <f>VLOOKUP($C1126,Lists!$C$3:$M$118,7,FALSE)</f>
        <v>Beers</v>
      </c>
      <c r="S1126" s="4"/>
      <c r="T1126" s="4"/>
      <c r="U1126" s="5"/>
      <c r="V1126" s="5"/>
    </row>
    <row r="1127" spans="1:22" x14ac:dyDescent="0.25">
      <c r="A1127" s="158" t="s">
        <v>614</v>
      </c>
      <c r="B1127" s="158" t="s">
        <v>615</v>
      </c>
      <c r="C1127" s="158" t="s">
        <v>20</v>
      </c>
      <c r="D1127" s="158" t="s">
        <v>21</v>
      </c>
      <c r="E1127" s="157">
        <v>144</v>
      </c>
      <c r="F1127" s="158" t="s">
        <v>525</v>
      </c>
      <c r="G1127" s="159">
        <v>580710.24</v>
      </c>
      <c r="H1127" s="159">
        <v>0</v>
      </c>
      <c r="I1127" s="159">
        <v>250273.44</v>
      </c>
      <c r="J1127" s="159">
        <v>43.1</v>
      </c>
      <c r="K1127" t="str">
        <f>VLOOKUP($C1127,Lists!$C$3:$M$118,7,FALSE)</f>
        <v>COKE_RGB</v>
      </c>
      <c r="S1127" s="4"/>
      <c r="T1127" s="4"/>
      <c r="U1127" s="5"/>
      <c r="V1127" s="5"/>
    </row>
    <row r="1128" spans="1:22" x14ac:dyDescent="0.25">
      <c r="A1128" s="158" t="s">
        <v>614</v>
      </c>
      <c r="B1128" s="158" t="s">
        <v>615</v>
      </c>
      <c r="C1128" s="158" t="s">
        <v>59</v>
      </c>
      <c r="D1128" s="158" t="s">
        <v>60</v>
      </c>
      <c r="E1128" s="157">
        <v>72</v>
      </c>
      <c r="F1128" s="158" t="s">
        <v>525</v>
      </c>
      <c r="G1128" s="159">
        <v>290355.12</v>
      </c>
      <c r="H1128" s="159">
        <v>0</v>
      </c>
      <c r="I1128" s="159">
        <v>121410.72</v>
      </c>
      <c r="J1128" s="159">
        <v>41.8</v>
      </c>
      <c r="K1128" t="str">
        <f>VLOOKUP($C1128,Lists!$C$3:$M$118,7,FALSE)</f>
        <v>COKE_RGB</v>
      </c>
      <c r="S1128" s="4"/>
      <c r="T1128" s="4"/>
      <c r="U1128" s="5"/>
      <c r="V1128" s="5"/>
    </row>
    <row r="1129" spans="1:22" x14ac:dyDescent="0.25">
      <c r="A1129" s="158" t="s">
        <v>614</v>
      </c>
      <c r="B1129" s="158" t="s">
        <v>615</v>
      </c>
      <c r="C1129" s="158" t="s">
        <v>24</v>
      </c>
      <c r="D1129" s="158" t="s">
        <v>25</v>
      </c>
      <c r="E1129" s="157">
        <v>72</v>
      </c>
      <c r="F1129" s="158" t="s">
        <v>525</v>
      </c>
      <c r="G1129" s="159">
        <v>472265.28</v>
      </c>
      <c r="H1129" s="159">
        <v>0</v>
      </c>
      <c r="I1129" s="159">
        <v>231919.92</v>
      </c>
      <c r="J1129" s="159">
        <v>49.1</v>
      </c>
      <c r="K1129" t="str">
        <f>VLOOKUP($C1129,Lists!$C$3:$M$118,7,FALSE)</f>
        <v>Beers</v>
      </c>
      <c r="S1129" s="4"/>
      <c r="T1129" s="4"/>
      <c r="U1129" s="5"/>
      <c r="V1129" s="5"/>
    </row>
    <row r="1130" spans="1:22" x14ac:dyDescent="0.25">
      <c r="A1130" s="158" t="s">
        <v>614</v>
      </c>
      <c r="B1130" s="158" t="s">
        <v>615</v>
      </c>
      <c r="C1130" s="158" t="s">
        <v>47</v>
      </c>
      <c r="D1130" s="158" t="s">
        <v>48</v>
      </c>
      <c r="E1130" s="157">
        <v>72</v>
      </c>
      <c r="F1130" s="158" t="s">
        <v>525</v>
      </c>
      <c r="G1130" s="159">
        <v>290355.12</v>
      </c>
      <c r="H1130" s="159">
        <v>0</v>
      </c>
      <c r="I1130" s="159">
        <v>129744.72</v>
      </c>
      <c r="J1130" s="159">
        <v>44.7</v>
      </c>
      <c r="K1130" t="str">
        <f>VLOOKUP($C1130,Lists!$C$3:$M$118,7,FALSE)</f>
        <v>COKE_RGB</v>
      </c>
      <c r="S1130" s="4"/>
      <c r="T1130" s="4"/>
      <c r="U1130" s="5"/>
      <c r="V1130" s="5"/>
    </row>
    <row r="1131" spans="1:22" x14ac:dyDescent="0.25">
      <c r="A1131" s="158" t="s">
        <v>616</v>
      </c>
      <c r="B1131" s="158" t="s">
        <v>617</v>
      </c>
      <c r="C1131" s="158" t="s">
        <v>12</v>
      </c>
      <c r="D1131" s="158" t="s">
        <v>13</v>
      </c>
      <c r="E1131" s="157">
        <v>216</v>
      </c>
      <c r="F1131" s="158" t="s">
        <v>525</v>
      </c>
      <c r="G1131" s="159">
        <v>1416795.84</v>
      </c>
      <c r="H1131" s="159">
        <v>0</v>
      </c>
      <c r="I1131" s="159">
        <v>633957.84</v>
      </c>
      <c r="J1131" s="159">
        <v>44.7</v>
      </c>
      <c r="K1131" t="str">
        <f>VLOOKUP($C1131,Lists!$C$3:$M$118,7,FALSE)</f>
        <v>Beers</v>
      </c>
      <c r="S1131" s="4"/>
      <c r="T1131" s="4"/>
      <c r="U1131" s="5"/>
      <c r="V1131" s="5"/>
    </row>
    <row r="1132" spans="1:22" x14ac:dyDescent="0.25">
      <c r="A1132" s="158" t="s">
        <v>616</v>
      </c>
      <c r="B1132" s="158" t="s">
        <v>617</v>
      </c>
      <c r="C1132" s="158" t="s">
        <v>14</v>
      </c>
      <c r="D1132" s="158" t="s">
        <v>15</v>
      </c>
      <c r="E1132" s="157">
        <v>72</v>
      </c>
      <c r="F1132" s="158" t="s">
        <v>525</v>
      </c>
      <c r="G1132" s="159">
        <v>566717.76</v>
      </c>
      <c r="H1132" s="159">
        <v>0</v>
      </c>
      <c r="I1132" s="159">
        <v>285170.40000000002</v>
      </c>
      <c r="J1132" s="159">
        <v>50.3</v>
      </c>
      <c r="K1132" t="str">
        <f>VLOOKUP($C1132,Lists!$C$3:$M$118,7,FALSE)</f>
        <v>Beers</v>
      </c>
      <c r="S1132" s="4"/>
      <c r="T1132" s="4"/>
      <c r="U1132" s="5"/>
      <c r="V1132" s="5"/>
    </row>
    <row r="1133" spans="1:22" x14ac:dyDescent="0.25">
      <c r="A1133" s="158" t="s">
        <v>616</v>
      </c>
      <c r="B1133" s="158" t="s">
        <v>617</v>
      </c>
      <c r="C1133" s="158" t="s">
        <v>16</v>
      </c>
      <c r="D1133" s="158" t="s">
        <v>17</v>
      </c>
      <c r="E1133" s="157">
        <v>144</v>
      </c>
      <c r="F1133" s="158" t="s">
        <v>525</v>
      </c>
      <c r="G1133" s="159">
        <v>1133435.52</v>
      </c>
      <c r="H1133" s="159">
        <v>0</v>
      </c>
      <c r="I1133" s="159">
        <v>570340.80000000005</v>
      </c>
      <c r="J1133" s="159">
        <v>50.3</v>
      </c>
      <c r="K1133" t="str">
        <f>VLOOKUP($C1133,Lists!$C$3:$M$118,7,FALSE)</f>
        <v>Beers</v>
      </c>
      <c r="S1133" s="4"/>
      <c r="T1133" s="4"/>
      <c r="U1133" s="5"/>
      <c r="V1133" s="5"/>
    </row>
    <row r="1134" spans="1:22" x14ac:dyDescent="0.25">
      <c r="A1134" s="158" t="s">
        <v>616</v>
      </c>
      <c r="B1134" s="158" t="s">
        <v>617</v>
      </c>
      <c r="C1134" s="158" t="s">
        <v>18</v>
      </c>
      <c r="D1134" s="158" t="s">
        <v>19</v>
      </c>
      <c r="E1134" s="157">
        <v>72</v>
      </c>
      <c r="F1134" s="158" t="s">
        <v>525</v>
      </c>
      <c r="G1134" s="159">
        <v>755623.44</v>
      </c>
      <c r="H1134" s="159">
        <v>0</v>
      </c>
      <c r="I1134" s="159">
        <v>398539.44</v>
      </c>
      <c r="J1134" s="159">
        <v>52.7</v>
      </c>
      <c r="K1134" t="str">
        <f>VLOOKUP($C1134,Lists!$C$3:$M$118,7,FALSE)</f>
        <v>Beers</v>
      </c>
      <c r="S1134" s="4"/>
      <c r="T1134" s="4"/>
      <c r="U1134" s="5"/>
      <c r="V1134" s="5"/>
    </row>
    <row r="1135" spans="1:22" x14ac:dyDescent="0.25">
      <c r="A1135" s="158" t="s">
        <v>616</v>
      </c>
      <c r="B1135" s="158" t="s">
        <v>617</v>
      </c>
      <c r="C1135" s="158" t="s">
        <v>20</v>
      </c>
      <c r="D1135" s="158" t="s">
        <v>21</v>
      </c>
      <c r="E1135" s="157">
        <v>144</v>
      </c>
      <c r="F1135" s="158" t="s">
        <v>525</v>
      </c>
      <c r="G1135" s="159">
        <v>580710.24</v>
      </c>
      <c r="H1135" s="159">
        <v>0</v>
      </c>
      <c r="I1135" s="159">
        <v>250273.44</v>
      </c>
      <c r="J1135" s="159">
        <v>43.1</v>
      </c>
      <c r="K1135" t="str">
        <f>VLOOKUP($C1135,Lists!$C$3:$M$118,7,FALSE)</f>
        <v>COKE_RGB</v>
      </c>
      <c r="S1135" s="4"/>
      <c r="T1135" s="4"/>
      <c r="U1135" s="5"/>
      <c r="V1135" s="5"/>
    </row>
    <row r="1136" spans="1:22" x14ac:dyDescent="0.25">
      <c r="A1136" s="158" t="s">
        <v>616</v>
      </c>
      <c r="B1136" s="158" t="s">
        <v>617</v>
      </c>
      <c r="C1136" s="158" t="s">
        <v>24</v>
      </c>
      <c r="D1136" s="158" t="s">
        <v>25</v>
      </c>
      <c r="E1136" s="157">
        <v>72</v>
      </c>
      <c r="F1136" s="158" t="s">
        <v>525</v>
      </c>
      <c r="G1136" s="159">
        <v>472265.28</v>
      </c>
      <c r="H1136" s="159">
        <v>0</v>
      </c>
      <c r="I1136" s="159">
        <v>231919.92</v>
      </c>
      <c r="J1136" s="159">
        <v>49.1</v>
      </c>
      <c r="K1136" t="str">
        <f>VLOOKUP($C1136,Lists!$C$3:$M$118,7,FALSE)</f>
        <v>Beers</v>
      </c>
      <c r="S1136" s="4"/>
      <c r="T1136" s="4"/>
      <c r="U1136" s="5"/>
      <c r="V1136" s="5"/>
    </row>
    <row r="1137" spans="1:22" x14ac:dyDescent="0.25">
      <c r="A1137" s="158" t="s">
        <v>616</v>
      </c>
      <c r="B1137" s="158" t="s">
        <v>617</v>
      </c>
      <c r="C1137" s="158" t="s">
        <v>29</v>
      </c>
      <c r="D1137" s="158" t="s">
        <v>30</v>
      </c>
      <c r="E1137" s="157">
        <v>40</v>
      </c>
      <c r="F1137" s="158" t="s">
        <v>525</v>
      </c>
      <c r="G1137" s="159">
        <v>1482835.6</v>
      </c>
      <c r="H1137" s="159">
        <v>0</v>
      </c>
      <c r="I1137" s="159">
        <v>442835.6</v>
      </c>
      <c r="J1137" s="159">
        <v>29.9</v>
      </c>
      <c r="K1137" t="str">
        <f>VLOOKUP($C1137,Lists!$C$3:$M$118,7,FALSE)</f>
        <v>Spirits</v>
      </c>
      <c r="S1137" s="4"/>
      <c r="T1137" s="4"/>
      <c r="U1137" s="5"/>
      <c r="V1137" s="5"/>
    </row>
    <row r="1138" spans="1:22" x14ac:dyDescent="0.25">
      <c r="A1138" s="158" t="s">
        <v>616</v>
      </c>
      <c r="B1138" s="158" t="s">
        <v>617</v>
      </c>
      <c r="C1138" s="158" t="s">
        <v>33</v>
      </c>
      <c r="D1138" s="158" t="s">
        <v>34</v>
      </c>
      <c r="E1138" s="157">
        <v>10</v>
      </c>
      <c r="F1138" s="158" t="s">
        <v>525</v>
      </c>
      <c r="G1138" s="159">
        <v>567411.6</v>
      </c>
      <c r="H1138" s="159">
        <v>0</v>
      </c>
      <c r="I1138" s="159">
        <v>117411.6</v>
      </c>
      <c r="J1138" s="159">
        <v>20.7</v>
      </c>
      <c r="K1138" t="str">
        <f>VLOOKUP($C1138,Lists!$C$3:$M$118,7,FALSE)</f>
        <v>Spirits</v>
      </c>
      <c r="S1138" s="4"/>
      <c r="T1138" s="4"/>
      <c r="U1138" s="5"/>
      <c r="V1138" s="5"/>
    </row>
    <row r="1139" spans="1:22" x14ac:dyDescent="0.25">
      <c r="A1139" s="158" t="s">
        <v>616</v>
      </c>
      <c r="B1139" s="158" t="s">
        <v>617</v>
      </c>
      <c r="C1139" s="158" t="s">
        <v>51</v>
      </c>
      <c r="D1139" s="158" t="s">
        <v>52</v>
      </c>
      <c r="E1139" s="157">
        <v>72</v>
      </c>
      <c r="F1139" s="158" t="s">
        <v>525</v>
      </c>
      <c r="G1139" s="159">
        <v>721971.36</v>
      </c>
      <c r="H1139" s="159">
        <v>0</v>
      </c>
      <c r="I1139" s="159">
        <v>228026.16</v>
      </c>
      <c r="J1139" s="159">
        <v>31.6</v>
      </c>
      <c r="K1139" t="str">
        <f>VLOOKUP($C1139,Lists!$C$3:$M$118,7,FALSE)</f>
        <v>Squash</v>
      </c>
      <c r="S1139" s="4"/>
      <c r="T1139" s="4"/>
      <c r="U1139" s="5"/>
      <c r="V1139" s="5"/>
    </row>
    <row r="1140" spans="1:22" x14ac:dyDescent="0.25">
      <c r="A1140" s="158" t="s">
        <v>618</v>
      </c>
      <c r="B1140" s="158" t="s">
        <v>619</v>
      </c>
      <c r="C1140" s="158" t="s">
        <v>12</v>
      </c>
      <c r="D1140" s="158" t="s">
        <v>13</v>
      </c>
      <c r="E1140" s="157">
        <v>576</v>
      </c>
      <c r="F1140" s="158" t="s">
        <v>525</v>
      </c>
      <c r="G1140" s="159">
        <v>3778122.24</v>
      </c>
      <c r="H1140" s="159">
        <v>0</v>
      </c>
      <c r="I1140" s="159">
        <v>1690554.24</v>
      </c>
      <c r="J1140" s="159">
        <v>44.7</v>
      </c>
      <c r="K1140" t="str">
        <f>VLOOKUP($C1140,Lists!$C$3:$M$118,7,FALSE)</f>
        <v>Beers</v>
      </c>
      <c r="S1140" s="4"/>
      <c r="T1140" s="4"/>
      <c r="U1140" s="5"/>
      <c r="V1140" s="5"/>
    </row>
    <row r="1141" spans="1:22" x14ac:dyDescent="0.25">
      <c r="A1141" s="158" t="s">
        <v>618</v>
      </c>
      <c r="B1141" s="158" t="s">
        <v>619</v>
      </c>
      <c r="C1141" s="158" t="s">
        <v>14</v>
      </c>
      <c r="D1141" s="158" t="s">
        <v>15</v>
      </c>
      <c r="E1141" s="157">
        <v>144</v>
      </c>
      <c r="F1141" s="158" t="s">
        <v>525</v>
      </c>
      <c r="G1141" s="159">
        <v>1133435.52</v>
      </c>
      <c r="H1141" s="159">
        <v>0</v>
      </c>
      <c r="I1141" s="159">
        <v>570340.80000000005</v>
      </c>
      <c r="J1141" s="159">
        <v>50.3</v>
      </c>
      <c r="K1141" t="str">
        <f>VLOOKUP($C1141,Lists!$C$3:$M$118,7,FALSE)</f>
        <v>Beers</v>
      </c>
      <c r="S1141" s="4"/>
      <c r="T1141" s="4"/>
      <c r="U1141" s="5"/>
      <c r="V1141" s="5"/>
    </row>
    <row r="1142" spans="1:22" x14ac:dyDescent="0.25">
      <c r="A1142" s="158" t="s">
        <v>618</v>
      </c>
      <c r="B1142" s="158" t="s">
        <v>619</v>
      </c>
      <c r="C1142" s="158" t="s">
        <v>16</v>
      </c>
      <c r="D1142" s="158" t="s">
        <v>17</v>
      </c>
      <c r="E1142" s="157">
        <v>144</v>
      </c>
      <c r="F1142" s="158" t="s">
        <v>525</v>
      </c>
      <c r="G1142" s="159">
        <v>1133435.52</v>
      </c>
      <c r="H1142" s="159">
        <v>0</v>
      </c>
      <c r="I1142" s="159">
        <v>570340.80000000005</v>
      </c>
      <c r="J1142" s="159">
        <v>50.3</v>
      </c>
      <c r="K1142" t="str">
        <f>VLOOKUP($C1142,Lists!$C$3:$M$118,7,FALSE)</f>
        <v>Beers</v>
      </c>
      <c r="S1142" s="4"/>
      <c r="T1142" s="4"/>
      <c r="U1142" s="5"/>
      <c r="V1142" s="5"/>
    </row>
    <row r="1143" spans="1:22" x14ac:dyDescent="0.25">
      <c r="A1143" s="158" t="s">
        <v>618</v>
      </c>
      <c r="B1143" s="158" t="s">
        <v>619</v>
      </c>
      <c r="C1143" s="158" t="s">
        <v>20</v>
      </c>
      <c r="D1143" s="158" t="s">
        <v>21</v>
      </c>
      <c r="E1143" s="157">
        <v>144</v>
      </c>
      <c r="F1143" s="158" t="s">
        <v>525</v>
      </c>
      <c r="G1143" s="159">
        <v>580710.24</v>
      </c>
      <c r="H1143" s="159">
        <v>0</v>
      </c>
      <c r="I1143" s="159">
        <v>250273.44</v>
      </c>
      <c r="J1143" s="159">
        <v>43.1</v>
      </c>
      <c r="K1143" t="str">
        <f>VLOOKUP($C1143,Lists!$C$3:$M$118,7,FALSE)</f>
        <v>COKE_RGB</v>
      </c>
      <c r="S1143" s="4"/>
      <c r="T1143" s="4"/>
      <c r="U1143" s="5"/>
      <c r="V1143" s="5"/>
    </row>
    <row r="1144" spans="1:22" x14ac:dyDescent="0.25">
      <c r="A1144" s="158" t="s">
        <v>618</v>
      </c>
      <c r="B1144" s="158" t="s">
        <v>619</v>
      </c>
      <c r="C1144" s="158" t="s">
        <v>43</v>
      </c>
      <c r="D1144" s="158" t="s">
        <v>44</v>
      </c>
      <c r="E1144" s="157">
        <v>72</v>
      </c>
      <c r="F1144" s="158" t="s">
        <v>525</v>
      </c>
      <c r="G1144" s="159">
        <v>566717.76</v>
      </c>
      <c r="H1144" s="159">
        <v>0</v>
      </c>
      <c r="I1144" s="159">
        <v>285170.40000000002</v>
      </c>
      <c r="J1144" s="159">
        <v>50.3</v>
      </c>
      <c r="K1144" t="str">
        <f>VLOOKUP($C1144,Lists!$C$3:$M$118,7,FALSE)</f>
        <v>Beers</v>
      </c>
      <c r="S1144" s="4"/>
      <c r="T1144" s="4"/>
      <c r="U1144" s="5"/>
      <c r="V1144" s="5"/>
    </row>
    <row r="1145" spans="1:22" x14ac:dyDescent="0.25">
      <c r="A1145" s="158" t="s">
        <v>618</v>
      </c>
      <c r="B1145" s="158" t="s">
        <v>619</v>
      </c>
      <c r="C1145" s="158" t="s">
        <v>22</v>
      </c>
      <c r="D1145" s="158" t="s">
        <v>23</v>
      </c>
      <c r="E1145" s="157">
        <v>72</v>
      </c>
      <c r="F1145" s="158" t="s">
        <v>525</v>
      </c>
      <c r="G1145" s="159">
        <v>290355.12</v>
      </c>
      <c r="H1145" s="159">
        <v>0</v>
      </c>
      <c r="I1145" s="159">
        <v>120185.28</v>
      </c>
      <c r="J1145" s="159">
        <v>41.4</v>
      </c>
      <c r="K1145" t="str">
        <f>VLOOKUP($C1145,Lists!$C$3:$M$118,7,FALSE)</f>
        <v>COKE_RGB</v>
      </c>
      <c r="S1145" s="4"/>
      <c r="T1145" s="4"/>
      <c r="U1145" s="5"/>
      <c r="V1145" s="5"/>
    </row>
    <row r="1146" spans="1:22" x14ac:dyDescent="0.25">
      <c r="A1146" s="158" t="s">
        <v>620</v>
      </c>
      <c r="B1146" s="158" t="s">
        <v>621</v>
      </c>
      <c r="C1146" s="158" t="s">
        <v>12</v>
      </c>
      <c r="D1146" s="158" t="s">
        <v>13</v>
      </c>
      <c r="E1146" s="157">
        <v>360</v>
      </c>
      <c r="F1146" s="158" t="s">
        <v>525</v>
      </c>
      <c r="G1146" s="159">
        <v>2361326.4</v>
      </c>
      <c r="H1146" s="159">
        <v>0</v>
      </c>
      <c r="I1146" s="159">
        <v>1056596.3999999999</v>
      </c>
      <c r="J1146" s="159">
        <v>44.7</v>
      </c>
      <c r="K1146" t="str">
        <f>VLOOKUP($C1146,Lists!$C$3:$M$118,7,FALSE)</f>
        <v>Beers</v>
      </c>
      <c r="S1146" s="4"/>
      <c r="T1146" s="4"/>
      <c r="U1146" s="5"/>
      <c r="V1146" s="5"/>
    </row>
    <row r="1147" spans="1:22" x14ac:dyDescent="0.25">
      <c r="A1147" s="158" t="s">
        <v>620</v>
      </c>
      <c r="B1147" s="158" t="s">
        <v>621</v>
      </c>
      <c r="C1147" s="158" t="s">
        <v>14</v>
      </c>
      <c r="D1147" s="158" t="s">
        <v>15</v>
      </c>
      <c r="E1147" s="157">
        <v>216</v>
      </c>
      <c r="F1147" s="158" t="s">
        <v>525</v>
      </c>
      <c r="G1147" s="159">
        <v>1700153.28</v>
      </c>
      <c r="H1147" s="159">
        <v>0</v>
      </c>
      <c r="I1147" s="159">
        <v>855511.2</v>
      </c>
      <c r="J1147" s="159">
        <v>50.3</v>
      </c>
      <c r="K1147" t="str">
        <f>VLOOKUP($C1147,Lists!$C$3:$M$118,7,FALSE)</f>
        <v>Beers</v>
      </c>
      <c r="S1147" s="4"/>
      <c r="T1147" s="4"/>
      <c r="U1147" s="5"/>
      <c r="V1147" s="5"/>
    </row>
    <row r="1148" spans="1:22" x14ac:dyDescent="0.25">
      <c r="A1148" s="158" t="s">
        <v>620</v>
      </c>
      <c r="B1148" s="158" t="s">
        <v>621</v>
      </c>
      <c r="C1148" s="158" t="s">
        <v>54</v>
      </c>
      <c r="D1148" s="158" t="s">
        <v>55</v>
      </c>
      <c r="E1148" s="157">
        <v>50</v>
      </c>
      <c r="F1148" s="158" t="s">
        <v>525</v>
      </c>
      <c r="G1148" s="159">
        <v>393554</v>
      </c>
      <c r="H1148" s="159">
        <v>0</v>
      </c>
      <c r="I1148" s="159">
        <v>210066.5</v>
      </c>
      <c r="J1148" s="159">
        <v>53.4</v>
      </c>
      <c r="K1148" t="str">
        <f>VLOOKUP($C1148,Lists!$C$3:$M$118,7,FALSE)</f>
        <v>Beers</v>
      </c>
      <c r="S1148" s="4"/>
      <c r="T1148" s="4"/>
      <c r="U1148" s="5"/>
      <c r="V1148" s="5"/>
    </row>
    <row r="1149" spans="1:22" x14ac:dyDescent="0.25">
      <c r="A1149" s="158" t="s">
        <v>620</v>
      </c>
      <c r="B1149" s="158" t="s">
        <v>621</v>
      </c>
      <c r="C1149" s="158" t="s">
        <v>16</v>
      </c>
      <c r="D1149" s="158" t="s">
        <v>17</v>
      </c>
      <c r="E1149" s="157">
        <v>216</v>
      </c>
      <c r="F1149" s="158" t="s">
        <v>525</v>
      </c>
      <c r="G1149" s="159">
        <v>1700153.28</v>
      </c>
      <c r="H1149" s="159">
        <v>0</v>
      </c>
      <c r="I1149" s="159">
        <v>855511.2</v>
      </c>
      <c r="J1149" s="159">
        <v>50.3</v>
      </c>
      <c r="K1149" t="str">
        <f>VLOOKUP($C1149,Lists!$C$3:$M$118,7,FALSE)</f>
        <v>Beers</v>
      </c>
      <c r="S1149" s="4"/>
      <c r="T1149" s="4"/>
      <c r="U1149" s="5"/>
      <c r="V1149" s="5"/>
    </row>
    <row r="1150" spans="1:22" x14ac:dyDescent="0.25">
      <c r="A1150" s="158" t="s">
        <v>620</v>
      </c>
      <c r="B1150" s="158" t="s">
        <v>621</v>
      </c>
      <c r="C1150" s="158" t="s">
        <v>18</v>
      </c>
      <c r="D1150" s="158" t="s">
        <v>19</v>
      </c>
      <c r="E1150" s="157">
        <v>72</v>
      </c>
      <c r="F1150" s="158" t="s">
        <v>525</v>
      </c>
      <c r="G1150" s="159">
        <v>755623.44</v>
      </c>
      <c r="H1150" s="159">
        <v>0</v>
      </c>
      <c r="I1150" s="159">
        <v>398539.44</v>
      </c>
      <c r="J1150" s="159">
        <v>52.7</v>
      </c>
      <c r="K1150" t="str">
        <f>VLOOKUP($C1150,Lists!$C$3:$M$118,7,FALSE)</f>
        <v>Beers</v>
      </c>
      <c r="S1150" s="4"/>
      <c r="T1150" s="4"/>
      <c r="U1150" s="5"/>
      <c r="V1150" s="5"/>
    </row>
    <row r="1151" spans="1:22" x14ac:dyDescent="0.25">
      <c r="A1151" s="158" t="s">
        <v>620</v>
      </c>
      <c r="B1151" s="158" t="s">
        <v>621</v>
      </c>
      <c r="C1151" s="158" t="s">
        <v>20</v>
      </c>
      <c r="D1151" s="158" t="s">
        <v>21</v>
      </c>
      <c r="E1151" s="157">
        <v>216</v>
      </c>
      <c r="F1151" s="158" t="s">
        <v>525</v>
      </c>
      <c r="G1151" s="159">
        <v>871065.36</v>
      </c>
      <c r="H1151" s="159">
        <v>0</v>
      </c>
      <c r="I1151" s="159">
        <v>375410.16</v>
      </c>
      <c r="J1151" s="159">
        <v>43.1</v>
      </c>
      <c r="K1151" t="str">
        <f>VLOOKUP($C1151,Lists!$C$3:$M$118,7,FALSE)</f>
        <v>COKE_RGB</v>
      </c>
      <c r="S1151" s="4"/>
      <c r="T1151" s="4"/>
      <c r="U1151" s="5"/>
      <c r="V1151" s="5"/>
    </row>
    <row r="1152" spans="1:22" x14ac:dyDescent="0.25">
      <c r="A1152" s="158" t="s">
        <v>620</v>
      </c>
      <c r="B1152" s="158" t="s">
        <v>621</v>
      </c>
      <c r="C1152" s="158" t="s">
        <v>43</v>
      </c>
      <c r="D1152" s="158" t="s">
        <v>44</v>
      </c>
      <c r="E1152" s="157">
        <v>72</v>
      </c>
      <c r="F1152" s="158" t="s">
        <v>525</v>
      </c>
      <c r="G1152" s="159">
        <v>566717.76</v>
      </c>
      <c r="H1152" s="159">
        <v>0</v>
      </c>
      <c r="I1152" s="159">
        <v>285170.40000000002</v>
      </c>
      <c r="J1152" s="159">
        <v>50.3</v>
      </c>
      <c r="K1152" t="str">
        <f>VLOOKUP($C1152,Lists!$C$3:$M$118,7,FALSE)</f>
        <v>Beers</v>
      </c>
      <c r="S1152" s="4"/>
      <c r="T1152" s="4"/>
      <c r="U1152" s="5"/>
      <c r="V1152" s="5"/>
    </row>
    <row r="1153" spans="1:22" x14ac:dyDescent="0.25">
      <c r="A1153" s="158" t="s">
        <v>620</v>
      </c>
      <c r="B1153" s="158" t="s">
        <v>621</v>
      </c>
      <c r="C1153" s="158" t="s">
        <v>29</v>
      </c>
      <c r="D1153" s="158" t="s">
        <v>30</v>
      </c>
      <c r="E1153" s="157">
        <v>5</v>
      </c>
      <c r="F1153" s="158" t="s">
        <v>525</v>
      </c>
      <c r="G1153" s="159">
        <v>185354.45</v>
      </c>
      <c r="H1153" s="159">
        <v>0</v>
      </c>
      <c r="I1153" s="159">
        <v>55354.45</v>
      </c>
      <c r="J1153" s="159">
        <v>29.9</v>
      </c>
      <c r="K1153" t="str">
        <f>VLOOKUP($C1153,Lists!$C$3:$M$118,7,FALSE)</f>
        <v>Spirits</v>
      </c>
      <c r="S1153" s="4"/>
      <c r="T1153" s="4"/>
      <c r="U1153" s="5"/>
      <c r="V1153" s="5"/>
    </row>
    <row r="1154" spans="1:22" x14ac:dyDescent="0.25">
      <c r="A1154" s="158" t="s">
        <v>620</v>
      </c>
      <c r="B1154" s="158" t="s">
        <v>621</v>
      </c>
      <c r="C1154" s="158" t="s">
        <v>33</v>
      </c>
      <c r="D1154" s="158" t="s">
        <v>34</v>
      </c>
      <c r="E1154" s="157">
        <v>6</v>
      </c>
      <c r="F1154" s="158" t="s">
        <v>525</v>
      </c>
      <c r="G1154" s="159">
        <v>340446.96</v>
      </c>
      <c r="H1154" s="159">
        <v>0</v>
      </c>
      <c r="I1154" s="159">
        <v>70446.960000000006</v>
      </c>
      <c r="J1154" s="159">
        <v>20.7</v>
      </c>
      <c r="K1154" t="str">
        <f>VLOOKUP($C1154,Lists!$C$3:$M$118,7,FALSE)</f>
        <v>Spirits</v>
      </c>
      <c r="S1154" s="4"/>
      <c r="T1154" s="4"/>
      <c r="U1154" s="5"/>
      <c r="V1154" s="5"/>
    </row>
    <row r="1155" spans="1:22" x14ac:dyDescent="0.25">
      <c r="A1155" s="158" t="s">
        <v>620</v>
      </c>
      <c r="B1155" s="158" t="s">
        <v>621</v>
      </c>
      <c r="C1155" s="158" t="s">
        <v>39</v>
      </c>
      <c r="D1155" s="158" t="s">
        <v>40</v>
      </c>
      <c r="E1155" s="157">
        <v>72</v>
      </c>
      <c r="F1155" s="158" t="s">
        <v>525</v>
      </c>
      <c r="G1155" s="159">
        <v>241962.48</v>
      </c>
      <c r="H1155" s="159">
        <v>0</v>
      </c>
      <c r="I1155" s="159">
        <v>114749.28</v>
      </c>
      <c r="J1155" s="159">
        <v>47.4</v>
      </c>
      <c r="K1155" t="str">
        <f>VLOOKUP($C1155,Lists!$C$3:$M$118,7,FALSE)</f>
        <v>SOBO_RGB</v>
      </c>
      <c r="S1155" s="4"/>
      <c r="T1155" s="4"/>
      <c r="U1155" s="5"/>
      <c r="V1155" s="5"/>
    </row>
    <row r="1156" spans="1:22" x14ac:dyDescent="0.25">
      <c r="A1156" s="158" t="s">
        <v>620</v>
      </c>
      <c r="B1156" s="158" t="s">
        <v>621</v>
      </c>
      <c r="C1156" s="158" t="s">
        <v>45</v>
      </c>
      <c r="D1156" s="158" t="s">
        <v>46</v>
      </c>
      <c r="E1156" s="157">
        <v>72</v>
      </c>
      <c r="F1156" s="158" t="s">
        <v>525</v>
      </c>
      <c r="G1156" s="159">
        <v>290355.12</v>
      </c>
      <c r="H1156" s="159">
        <v>0</v>
      </c>
      <c r="I1156" s="159">
        <v>145738.79999999999</v>
      </c>
      <c r="J1156" s="159">
        <v>50.2</v>
      </c>
      <c r="K1156" t="str">
        <f>VLOOKUP($C1156,Lists!$C$3:$M$118,7,FALSE)</f>
        <v>SOBO_RGB</v>
      </c>
      <c r="S1156" s="4"/>
      <c r="T1156" s="4"/>
      <c r="U1156" s="5"/>
      <c r="V1156" s="5"/>
    </row>
    <row r="1157" spans="1:22" x14ac:dyDescent="0.25">
      <c r="A1157" s="158" t="s">
        <v>622</v>
      </c>
      <c r="B1157" s="158" t="s">
        <v>623</v>
      </c>
      <c r="C1157" s="158" t="s">
        <v>12</v>
      </c>
      <c r="D1157" s="158" t="s">
        <v>13</v>
      </c>
      <c r="E1157" s="157">
        <v>504</v>
      </c>
      <c r="F1157" s="158" t="s">
        <v>525</v>
      </c>
      <c r="G1157" s="159">
        <v>3305856.96</v>
      </c>
      <c r="H1157" s="159">
        <v>0</v>
      </c>
      <c r="I1157" s="159">
        <v>1479234.96</v>
      </c>
      <c r="J1157" s="159">
        <v>44.7</v>
      </c>
      <c r="K1157" t="str">
        <f>VLOOKUP($C1157,Lists!$C$3:$M$118,7,FALSE)</f>
        <v>Beers</v>
      </c>
      <c r="S1157" s="4"/>
      <c r="T1157" s="4"/>
      <c r="U1157" s="5"/>
      <c r="V1157" s="5"/>
    </row>
    <row r="1158" spans="1:22" x14ac:dyDescent="0.25">
      <c r="A1158" s="158" t="s">
        <v>622</v>
      </c>
      <c r="B1158" s="158" t="s">
        <v>623</v>
      </c>
      <c r="C1158" s="158" t="s">
        <v>14</v>
      </c>
      <c r="D1158" s="158" t="s">
        <v>15</v>
      </c>
      <c r="E1158" s="157">
        <v>288</v>
      </c>
      <c r="F1158" s="158" t="s">
        <v>525</v>
      </c>
      <c r="G1158" s="159">
        <v>2266871.04</v>
      </c>
      <c r="H1158" s="159">
        <v>0</v>
      </c>
      <c r="I1158" s="159">
        <v>1140681.6000000001</v>
      </c>
      <c r="J1158" s="159">
        <v>50.3</v>
      </c>
      <c r="K1158" t="str">
        <f>VLOOKUP($C1158,Lists!$C$3:$M$118,7,FALSE)</f>
        <v>Beers</v>
      </c>
      <c r="S1158" s="4"/>
      <c r="T1158" s="4"/>
      <c r="U1158" s="5"/>
      <c r="V1158" s="5"/>
    </row>
    <row r="1159" spans="1:22" x14ac:dyDescent="0.25">
      <c r="A1159" s="158" t="s">
        <v>622</v>
      </c>
      <c r="B1159" s="158" t="s">
        <v>623</v>
      </c>
      <c r="C1159" s="158" t="s">
        <v>16</v>
      </c>
      <c r="D1159" s="158" t="s">
        <v>17</v>
      </c>
      <c r="E1159" s="157">
        <v>648</v>
      </c>
      <c r="F1159" s="158" t="s">
        <v>525</v>
      </c>
      <c r="G1159" s="159">
        <v>5100459.84</v>
      </c>
      <c r="H1159" s="159">
        <v>0</v>
      </c>
      <c r="I1159" s="159">
        <v>2566533.6</v>
      </c>
      <c r="J1159" s="159">
        <v>50.3</v>
      </c>
      <c r="K1159" t="str">
        <f>VLOOKUP($C1159,Lists!$C$3:$M$118,7,FALSE)</f>
        <v>Beers</v>
      </c>
      <c r="S1159" s="4"/>
      <c r="T1159" s="4"/>
      <c r="U1159" s="5"/>
      <c r="V1159" s="5"/>
    </row>
    <row r="1160" spans="1:22" x14ac:dyDescent="0.25">
      <c r="A1160" s="158" t="s">
        <v>622</v>
      </c>
      <c r="B1160" s="158" t="s">
        <v>623</v>
      </c>
      <c r="C1160" s="158" t="s">
        <v>20</v>
      </c>
      <c r="D1160" s="158" t="s">
        <v>21</v>
      </c>
      <c r="E1160" s="157">
        <v>288</v>
      </c>
      <c r="F1160" s="158" t="s">
        <v>525</v>
      </c>
      <c r="G1160" s="159">
        <v>1161420.48</v>
      </c>
      <c r="H1160" s="159">
        <v>0</v>
      </c>
      <c r="I1160" s="159">
        <v>500546.88</v>
      </c>
      <c r="J1160" s="159">
        <v>43.1</v>
      </c>
      <c r="K1160" t="str">
        <f>VLOOKUP($C1160,Lists!$C$3:$M$118,7,FALSE)</f>
        <v>COKE_RGB</v>
      </c>
      <c r="S1160" s="4"/>
      <c r="T1160" s="4"/>
      <c r="U1160" s="5"/>
      <c r="V1160" s="5"/>
    </row>
    <row r="1161" spans="1:22" x14ac:dyDescent="0.25">
      <c r="A1161" s="158" t="s">
        <v>622</v>
      </c>
      <c r="B1161" s="158" t="s">
        <v>623</v>
      </c>
      <c r="C1161" s="158" t="s">
        <v>24</v>
      </c>
      <c r="D1161" s="158" t="s">
        <v>25</v>
      </c>
      <c r="E1161" s="157">
        <v>144</v>
      </c>
      <c r="F1161" s="158" t="s">
        <v>525</v>
      </c>
      <c r="G1161" s="159">
        <v>944530.56</v>
      </c>
      <c r="H1161" s="159">
        <v>0</v>
      </c>
      <c r="I1161" s="159">
        <v>463839.84</v>
      </c>
      <c r="J1161" s="159">
        <v>49.1</v>
      </c>
      <c r="K1161" t="str">
        <f>VLOOKUP($C1161,Lists!$C$3:$M$118,7,FALSE)</f>
        <v>Beers</v>
      </c>
      <c r="S1161" s="4"/>
      <c r="T1161" s="4"/>
      <c r="U1161" s="5"/>
      <c r="V1161" s="5"/>
    </row>
    <row r="1162" spans="1:22" x14ac:dyDescent="0.25">
      <c r="A1162" s="158" t="s">
        <v>622</v>
      </c>
      <c r="B1162" s="158" t="s">
        <v>623</v>
      </c>
      <c r="C1162" s="158" t="s">
        <v>29</v>
      </c>
      <c r="D1162" s="158" t="s">
        <v>30</v>
      </c>
      <c r="E1162" s="157">
        <v>6</v>
      </c>
      <c r="F1162" s="158" t="s">
        <v>525</v>
      </c>
      <c r="G1162" s="159">
        <v>222425.34</v>
      </c>
      <c r="H1162" s="159">
        <v>0</v>
      </c>
      <c r="I1162" s="159">
        <v>66425.34</v>
      </c>
      <c r="J1162" s="159">
        <v>29.9</v>
      </c>
      <c r="K1162" t="str">
        <f>VLOOKUP($C1162,Lists!$C$3:$M$118,7,FALSE)</f>
        <v>Spirits</v>
      </c>
      <c r="S1162" s="4"/>
      <c r="T1162" s="4"/>
      <c r="U1162" s="5"/>
      <c r="V1162" s="5"/>
    </row>
    <row r="1163" spans="1:22" x14ac:dyDescent="0.25">
      <c r="A1163" s="158" t="s">
        <v>622</v>
      </c>
      <c r="B1163" s="158" t="s">
        <v>623</v>
      </c>
      <c r="C1163" s="158" t="s">
        <v>31</v>
      </c>
      <c r="D1163" s="158" t="s">
        <v>32</v>
      </c>
      <c r="E1163" s="157">
        <v>10</v>
      </c>
      <c r="F1163" s="158" t="s">
        <v>525</v>
      </c>
      <c r="G1163" s="159">
        <v>348012.4</v>
      </c>
      <c r="H1163" s="159">
        <v>0</v>
      </c>
      <c r="I1163" s="159">
        <v>108012.4</v>
      </c>
      <c r="J1163" s="159">
        <v>31</v>
      </c>
      <c r="K1163" t="str">
        <f>VLOOKUP($C1163,Lists!$C$3:$M$118,7,FALSE)</f>
        <v>Spirits</v>
      </c>
      <c r="S1163" s="4"/>
      <c r="T1163" s="4"/>
      <c r="U1163" s="5"/>
      <c r="V1163" s="5"/>
    </row>
    <row r="1164" spans="1:22" x14ac:dyDescent="0.25">
      <c r="A1164" s="158" t="s">
        <v>622</v>
      </c>
      <c r="B1164" s="158" t="s">
        <v>623</v>
      </c>
      <c r="C1164" s="158" t="s">
        <v>39</v>
      </c>
      <c r="D1164" s="158" t="s">
        <v>40</v>
      </c>
      <c r="E1164" s="157">
        <v>72</v>
      </c>
      <c r="F1164" s="158" t="s">
        <v>525</v>
      </c>
      <c r="G1164" s="159">
        <v>241962.48</v>
      </c>
      <c r="H1164" s="159">
        <v>0</v>
      </c>
      <c r="I1164" s="159">
        <v>114749.28</v>
      </c>
      <c r="J1164" s="159">
        <v>47.4</v>
      </c>
      <c r="K1164" t="str">
        <f>VLOOKUP($C1164,Lists!$C$3:$M$118,7,FALSE)</f>
        <v>SOBO_RGB</v>
      </c>
      <c r="S1164" s="4"/>
      <c r="T1164" s="4"/>
      <c r="U1164" s="5"/>
      <c r="V1164" s="5"/>
    </row>
    <row r="1165" spans="1:22" x14ac:dyDescent="0.25">
      <c r="A1165" s="158" t="s">
        <v>622</v>
      </c>
      <c r="B1165" s="158" t="s">
        <v>623</v>
      </c>
      <c r="C1165" s="158" t="s">
        <v>47</v>
      </c>
      <c r="D1165" s="158" t="s">
        <v>48</v>
      </c>
      <c r="E1165" s="157">
        <v>72</v>
      </c>
      <c r="F1165" s="158" t="s">
        <v>525</v>
      </c>
      <c r="G1165" s="159">
        <v>290355.12</v>
      </c>
      <c r="H1165" s="159">
        <v>0</v>
      </c>
      <c r="I1165" s="159">
        <v>129744.72</v>
      </c>
      <c r="J1165" s="159">
        <v>44.7</v>
      </c>
      <c r="K1165" t="str">
        <f>VLOOKUP($C1165,Lists!$C$3:$M$118,7,FALSE)</f>
        <v>COKE_RGB</v>
      </c>
      <c r="S1165" s="4"/>
      <c r="T1165" s="4"/>
      <c r="U1165" s="5"/>
      <c r="V1165" s="5"/>
    </row>
    <row r="1166" spans="1:22" x14ac:dyDescent="0.25">
      <c r="A1166" s="158" t="s">
        <v>624</v>
      </c>
      <c r="B1166" s="158" t="s">
        <v>625</v>
      </c>
      <c r="C1166" s="158" t="s">
        <v>12</v>
      </c>
      <c r="D1166" s="158" t="s">
        <v>13</v>
      </c>
      <c r="E1166" s="157">
        <v>144</v>
      </c>
      <c r="F1166" s="158" t="s">
        <v>525</v>
      </c>
      <c r="G1166" s="159">
        <v>944530.56</v>
      </c>
      <c r="H1166" s="159">
        <v>0</v>
      </c>
      <c r="I1166" s="159">
        <v>422638.56</v>
      </c>
      <c r="J1166" s="159">
        <v>44.7</v>
      </c>
      <c r="K1166" t="str">
        <f>VLOOKUP($C1166,Lists!$C$3:$M$118,7,FALSE)</f>
        <v>Beers</v>
      </c>
      <c r="S1166" s="4"/>
      <c r="T1166" s="4"/>
      <c r="U1166" s="5"/>
      <c r="V1166" s="5"/>
    </row>
    <row r="1167" spans="1:22" x14ac:dyDescent="0.25">
      <c r="A1167" s="158" t="s">
        <v>624</v>
      </c>
      <c r="B1167" s="158" t="s">
        <v>625</v>
      </c>
      <c r="C1167" s="158" t="s">
        <v>16</v>
      </c>
      <c r="D1167" s="158" t="s">
        <v>17</v>
      </c>
      <c r="E1167" s="157">
        <v>72</v>
      </c>
      <c r="F1167" s="158" t="s">
        <v>525</v>
      </c>
      <c r="G1167" s="159">
        <v>566717.76</v>
      </c>
      <c r="H1167" s="159">
        <v>0</v>
      </c>
      <c r="I1167" s="159">
        <v>285170.40000000002</v>
      </c>
      <c r="J1167" s="159">
        <v>50.3</v>
      </c>
      <c r="K1167" t="str">
        <f>VLOOKUP($C1167,Lists!$C$3:$M$118,7,FALSE)</f>
        <v>Beers</v>
      </c>
      <c r="S1167" s="4"/>
      <c r="T1167" s="4"/>
      <c r="U1167" s="5"/>
      <c r="V1167" s="5"/>
    </row>
    <row r="1168" spans="1:22" x14ac:dyDescent="0.25">
      <c r="A1168" s="158" t="s">
        <v>624</v>
      </c>
      <c r="B1168" s="158" t="s">
        <v>625</v>
      </c>
      <c r="C1168" s="158" t="s">
        <v>18</v>
      </c>
      <c r="D1168" s="158" t="s">
        <v>19</v>
      </c>
      <c r="E1168" s="157">
        <v>72</v>
      </c>
      <c r="F1168" s="158" t="s">
        <v>525</v>
      </c>
      <c r="G1168" s="159">
        <v>755623.44</v>
      </c>
      <c r="H1168" s="159">
        <v>0</v>
      </c>
      <c r="I1168" s="159">
        <v>398539.44</v>
      </c>
      <c r="J1168" s="159">
        <v>52.7</v>
      </c>
      <c r="K1168" t="str">
        <f>VLOOKUP($C1168,Lists!$C$3:$M$118,7,FALSE)</f>
        <v>Beers</v>
      </c>
      <c r="S1168" s="4"/>
      <c r="T1168" s="4"/>
      <c r="U1168" s="5"/>
      <c r="V1168" s="5"/>
    </row>
    <row r="1169" spans="1:22" x14ac:dyDescent="0.25">
      <c r="A1169" s="158" t="s">
        <v>624</v>
      </c>
      <c r="B1169" s="158" t="s">
        <v>625</v>
      </c>
      <c r="C1169" s="158" t="s">
        <v>20</v>
      </c>
      <c r="D1169" s="158" t="s">
        <v>21</v>
      </c>
      <c r="E1169" s="157">
        <v>72</v>
      </c>
      <c r="F1169" s="158" t="s">
        <v>525</v>
      </c>
      <c r="G1169" s="159">
        <v>290355.12</v>
      </c>
      <c r="H1169" s="159">
        <v>0</v>
      </c>
      <c r="I1169" s="159">
        <v>125136.72</v>
      </c>
      <c r="J1169" s="159">
        <v>43.1</v>
      </c>
      <c r="K1169" t="str">
        <f>VLOOKUP($C1169,Lists!$C$3:$M$118,7,FALSE)</f>
        <v>COKE_RGB</v>
      </c>
      <c r="S1169" s="4"/>
      <c r="T1169" s="4"/>
      <c r="U1169" s="5"/>
      <c r="V1169" s="5"/>
    </row>
    <row r="1170" spans="1:22" x14ac:dyDescent="0.25">
      <c r="A1170" s="158" t="s">
        <v>624</v>
      </c>
      <c r="B1170" s="158" t="s">
        <v>625</v>
      </c>
      <c r="C1170" s="158" t="s">
        <v>33</v>
      </c>
      <c r="D1170" s="158" t="s">
        <v>34</v>
      </c>
      <c r="E1170" s="157">
        <v>10</v>
      </c>
      <c r="F1170" s="158" t="s">
        <v>525</v>
      </c>
      <c r="G1170" s="159">
        <v>567411.6</v>
      </c>
      <c r="H1170" s="159">
        <v>0</v>
      </c>
      <c r="I1170" s="159">
        <v>117411.6</v>
      </c>
      <c r="J1170" s="159">
        <v>20.7</v>
      </c>
      <c r="K1170" t="str">
        <f>VLOOKUP($C1170,Lists!$C$3:$M$118,7,FALSE)</f>
        <v>Spirits</v>
      </c>
      <c r="S1170" s="4"/>
      <c r="T1170" s="4"/>
      <c r="U1170" s="5"/>
      <c r="V1170" s="5"/>
    </row>
    <row r="1171" spans="1:22" x14ac:dyDescent="0.25">
      <c r="A1171" s="158" t="s">
        <v>624</v>
      </c>
      <c r="B1171" s="158" t="s">
        <v>625</v>
      </c>
      <c r="C1171" s="158" t="s">
        <v>45</v>
      </c>
      <c r="D1171" s="158" t="s">
        <v>46</v>
      </c>
      <c r="E1171" s="157">
        <v>72</v>
      </c>
      <c r="F1171" s="158" t="s">
        <v>525</v>
      </c>
      <c r="G1171" s="159">
        <v>290355.12</v>
      </c>
      <c r="H1171" s="159">
        <v>0</v>
      </c>
      <c r="I1171" s="159">
        <v>145738.79999999999</v>
      </c>
      <c r="J1171" s="159">
        <v>50.2</v>
      </c>
      <c r="K1171" t="str">
        <f>VLOOKUP($C1171,Lists!$C$3:$M$118,7,FALSE)</f>
        <v>SOBO_RGB</v>
      </c>
      <c r="S1171" s="4"/>
      <c r="T1171" s="4"/>
      <c r="U1171" s="5"/>
      <c r="V1171" s="5"/>
    </row>
    <row r="1172" spans="1:22" x14ac:dyDescent="0.25">
      <c r="A1172" s="158" t="s">
        <v>626</v>
      </c>
      <c r="B1172" s="158" t="s">
        <v>627</v>
      </c>
      <c r="C1172" s="158" t="s">
        <v>12</v>
      </c>
      <c r="D1172" s="158" t="s">
        <v>13</v>
      </c>
      <c r="E1172" s="157">
        <v>216</v>
      </c>
      <c r="F1172" s="158" t="s">
        <v>525</v>
      </c>
      <c r="G1172" s="159">
        <v>1416795.84</v>
      </c>
      <c r="H1172" s="159">
        <v>0</v>
      </c>
      <c r="I1172" s="159">
        <v>633957.84</v>
      </c>
      <c r="J1172" s="159">
        <v>44.7</v>
      </c>
      <c r="K1172" t="str">
        <f>VLOOKUP($C1172,Lists!$C$3:$M$118,7,FALSE)</f>
        <v>Beers</v>
      </c>
      <c r="S1172" s="4"/>
      <c r="T1172" s="4"/>
      <c r="U1172" s="5"/>
      <c r="V1172" s="5"/>
    </row>
    <row r="1173" spans="1:22" x14ac:dyDescent="0.25">
      <c r="A1173" s="158" t="s">
        <v>626</v>
      </c>
      <c r="B1173" s="158" t="s">
        <v>627</v>
      </c>
      <c r="C1173" s="158" t="s">
        <v>14</v>
      </c>
      <c r="D1173" s="158" t="s">
        <v>15</v>
      </c>
      <c r="E1173" s="157">
        <v>72</v>
      </c>
      <c r="F1173" s="158" t="s">
        <v>525</v>
      </c>
      <c r="G1173" s="159">
        <v>566717.76</v>
      </c>
      <c r="H1173" s="159">
        <v>0</v>
      </c>
      <c r="I1173" s="159">
        <v>285170.40000000002</v>
      </c>
      <c r="J1173" s="159">
        <v>50.3</v>
      </c>
      <c r="K1173" t="str">
        <f>VLOOKUP($C1173,Lists!$C$3:$M$118,7,FALSE)</f>
        <v>Beers</v>
      </c>
      <c r="S1173" s="4"/>
      <c r="T1173" s="4"/>
      <c r="U1173" s="5"/>
      <c r="V1173" s="5"/>
    </row>
    <row r="1174" spans="1:22" x14ac:dyDescent="0.25">
      <c r="A1174" s="158" t="s">
        <v>626</v>
      </c>
      <c r="B1174" s="158" t="s">
        <v>627</v>
      </c>
      <c r="C1174" s="158" t="s">
        <v>16</v>
      </c>
      <c r="D1174" s="158" t="s">
        <v>17</v>
      </c>
      <c r="E1174" s="157">
        <v>72</v>
      </c>
      <c r="F1174" s="158" t="s">
        <v>525</v>
      </c>
      <c r="G1174" s="159">
        <v>566717.76</v>
      </c>
      <c r="H1174" s="159">
        <v>0</v>
      </c>
      <c r="I1174" s="159">
        <v>285170.40000000002</v>
      </c>
      <c r="J1174" s="159">
        <v>50.3</v>
      </c>
      <c r="K1174" t="str">
        <f>VLOOKUP($C1174,Lists!$C$3:$M$118,7,FALSE)</f>
        <v>Beers</v>
      </c>
      <c r="S1174" s="4"/>
      <c r="T1174" s="4"/>
      <c r="U1174" s="5"/>
      <c r="V1174" s="5"/>
    </row>
    <row r="1175" spans="1:22" x14ac:dyDescent="0.25">
      <c r="A1175" s="158" t="s">
        <v>626</v>
      </c>
      <c r="B1175" s="158" t="s">
        <v>627</v>
      </c>
      <c r="C1175" s="158" t="s">
        <v>20</v>
      </c>
      <c r="D1175" s="158" t="s">
        <v>21</v>
      </c>
      <c r="E1175" s="157">
        <v>72</v>
      </c>
      <c r="F1175" s="158" t="s">
        <v>525</v>
      </c>
      <c r="G1175" s="159">
        <v>290355.12</v>
      </c>
      <c r="H1175" s="159">
        <v>0</v>
      </c>
      <c r="I1175" s="159">
        <v>125136.72</v>
      </c>
      <c r="J1175" s="159">
        <v>43.1</v>
      </c>
      <c r="K1175" t="str">
        <f>VLOOKUP($C1175,Lists!$C$3:$M$118,7,FALSE)</f>
        <v>COKE_RGB</v>
      </c>
      <c r="S1175" s="4"/>
      <c r="T1175" s="4"/>
      <c r="U1175" s="5"/>
      <c r="V1175" s="5"/>
    </row>
    <row r="1176" spans="1:22" x14ac:dyDescent="0.25">
      <c r="A1176" s="158" t="s">
        <v>626</v>
      </c>
      <c r="B1176" s="158" t="s">
        <v>627</v>
      </c>
      <c r="C1176" s="158" t="s">
        <v>22</v>
      </c>
      <c r="D1176" s="158" t="s">
        <v>23</v>
      </c>
      <c r="E1176" s="157">
        <v>72</v>
      </c>
      <c r="F1176" s="158" t="s">
        <v>525</v>
      </c>
      <c r="G1176" s="159">
        <v>290355.12</v>
      </c>
      <c r="H1176" s="159">
        <v>0</v>
      </c>
      <c r="I1176" s="159">
        <v>120185.28</v>
      </c>
      <c r="J1176" s="159">
        <v>41.4</v>
      </c>
      <c r="K1176" t="str">
        <f>VLOOKUP($C1176,Lists!$C$3:$M$118,7,FALSE)</f>
        <v>COKE_RGB</v>
      </c>
      <c r="S1176" s="4"/>
      <c r="T1176" s="4"/>
      <c r="U1176" s="5"/>
      <c r="V1176" s="5"/>
    </row>
    <row r="1177" spans="1:22" x14ac:dyDescent="0.25">
      <c r="A1177" s="158" t="s">
        <v>626</v>
      </c>
      <c r="B1177" s="158" t="s">
        <v>627</v>
      </c>
      <c r="C1177" s="158" t="s">
        <v>24</v>
      </c>
      <c r="D1177" s="158" t="s">
        <v>25</v>
      </c>
      <c r="E1177" s="157">
        <v>72</v>
      </c>
      <c r="F1177" s="158" t="s">
        <v>525</v>
      </c>
      <c r="G1177" s="159">
        <v>472265.28</v>
      </c>
      <c r="H1177" s="159">
        <v>0</v>
      </c>
      <c r="I1177" s="159">
        <v>231919.92</v>
      </c>
      <c r="J1177" s="159">
        <v>49.1</v>
      </c>
      <c r="K1177" t="str">
        <f>VLOOKUP($C1177,Lists!$C$3:$M$118,7,FALSE)</f>
        <v>Beers</v>
      </c>
      <c r="S1177" s="4"/>
      <c r="T1177" s="4"/>
      <c r="U1177" s="5"/>
      <c r="V1177" s="5"/>
    </row>
    <row r="1178" spans="1:22" x14ac:dyDescent="0.25">
      <c r="A1178" s="158" t="s">
        <v>626</v>
      </c>
      <c r="B1178" s="158" t="s">
        <v>627</v>
      </c>
      <c r="C1178" s="158" t="s">
        <v>29</v>
      </c>
      <c r="D1178" s="158" t="s">
        <v>30</v>
      </c>
      <c r="E1178" s="157">
        <v>4</v>
      </c>
      <c r="F1178" s="158" t="s">
        <v>525</v>
      </c>
      <c r="G1178" s="159">
        <v>148283.56</v>
      </c>
      <c r="H1178" s="159">
        <v>0</v>
      </c>
      <c r="I1178" s="159">
        <v>44283.56</v>
      </c>
      <c r="J1178" s="159">
        <v>29.9</v>
      </c>
      <c r="K1178" t="str">
        <f>VLOOKUP($C1178,Lists!$C$3:$M$118,7,FALSE)</f>
        <v>Spirits</v>
      </c>
      <c r="S1178" s="4"/>
      <c r="T1178" s="4"/>
      <c r="U1178" s="5"/>
      <c r="V1178" s="5"/>
    </row>
    <row r="1179" spans="1:22" x14ac:dyDescent="0.25">
      <c r="A1179" s="158" t="s">
        <v>626</v>
      </c>
      <c r="B1179" s="158" t="s">
        <v>627</v>
      </c>
      <c r="C1179" s="158" t="s">
        <v>33</v>
      </c>
      <c r="D1179" s="158" t="s">
        <v>34</v>
      </c>
      <c r="E1179" s="157">
        <v>4</v>
      </c>
      <c r="F1179" s="158" t="s">
        <v>525</v>
      </c>
      <c r="G1179" s="159">
        <v>226964.64</v>
      </c>
      <c r="H1179" s="159">
        <v>0</v>
      </c>
      <c r="I1179" s="159">
        <v>46964.639999999999</v>
      </c>
      <c r="J1179" s="159">
        <v>20.7</v>
      </c>
      <c r="K1179" t="str">
        <f>VLOOKUP($C1179,Lists!$C$3:$M$118,7,FALSE)</f>
        <v>Spirits</v>
      </c>
      <c r="S1179" s="4"/>
      <c r="T1179" s="4"/>
      <c r="U1179" s="5"/>
      <c r="V1179" s="5"/>
    </row>
    <row r="1180" spans="1:22" x14ac:dyDescent="0.25">
      <c r="A1180" s="158" t="s">
        <v>626</v>
      </c>
      <c r="B1180" s="158" t="s">
        <v>627</v>
      </c>
      <c r="C1180" s="158" t="s">
        <v>39</v>
      </c>
      <c r="D1180" s="158" t="s">
        <v>40</v>
      </c>
      <c r="E1180" s="157">
        <v>72</v>
      </c>
      <c r="F1180" s="158" t="s">
        <v>525</v>
      </c>
      <c r="G1180" s="159">
        <v>241962.48</v>
      </c>
      <c r="H1180" s="159">
        <v>0</v>
      </c>
      <c r="I1180" s="159">
        <v>114749.28</v>
      </c>
      <c r="J1180" s="159">
        <v>47.4</v>
      </c>
      <c r="K1180" t="str">
        <f>VLOOKUP($C1180,Lists!$C$3:$M$118,7,FALSE)</f>
        <v>SOBO_RGB</v>
      </c>
      <c r="S1180" s="4"/>
      <c r="T1180" s="4"/>
      <c r="U1180" s="5"/>
      <c r="V1180" s="5"/>
    </row>
    <row r="1181" spans="1:22" x14ac:dyDescent="0.25">
      <c r="A1181" s="158" t="s">
        <v>628</v>
      </c>
      <c r="B1181" s="158" t="s">
        <v>629</v>
      </c>
      <c r="C1181" s="158" t="s">
        <v>20</v>
      </c>
      <c r="D1181" s="158" t="s">
        <v>21</v>
      </c>
      <c r="E1181" s="157">
        <v>144</v>
      </c>
      <c r="F1181" s="158" t="s">
        <v>525</v>
      </c>
      <c r="G1181" s="159">
        <v>580710.24</v>
      </c>
      <c r="H1181" s="159">
        <v>0</v>
      </c>
      <c r="I1181" s="159">
        <v>250273.44</v>
      </c>
      <c r="J1181" s="159">
        <v>43.1</v>
      </c>
      <c r="K1181" t="str">
        <f>VLOOKUP($C1181,Lists!$C$3:$M$118,7,FALSE)</f>
        <v>COKE_RGB</v>
      </c>
      <c r="S1181" s="4"/>
      <c r="T1181" s="4"/>
      <c r="U1181" s="5"/>
      <c r="V1181" s="5"/>
    </row>
    <row r="1182" spans="1:22" x14ac:dyDescent="0.25">
      <c r="A1182" s="158" t="s">
        <v>628</v>
      </c>
      <c r="B1182" s="158" t="s">
        <v>629</v>
      </c>
      <c r="C1182" s="158" t="s">
        <v>45</v>
      </c>
      <c r="D1182" s="158" t="s">
        <v>46</v>
      </c>
      <c r="E1182" s="157">
        <v>72</v>
      </c>
      <c r="F1182" s="158" t="s">
        <v>525</v>
      </c>
      <c r="G1182" s="159">
        <v>290355.12</v>
      </c>
      <c r="H1182" s="159">
        <v>0</v>
      </c>
      <c r="I1182" s="159">
        <v>145738.79999999999</v>
      </c>
      <c r="J1182" s="159">
        <v>50.2</v>
      </c>
      <c r="K1182" t="str">
        <f>VLOOKUP($C1182,Lists!$C$3:$M$118,7,FALSE)</f>
        <v>SOBO_RGB</v>
      </c>
      <c r="S1182" s="4"/>
      <c r="T1182" s="4"/>
      <c r="U1182" s="5"/>
      <c r="V1182" s="5"/>
    </row>
    <row r="1183" spans="1:22" x14ac:dyDescent="0.25">
      <c r="A1183" s="158" t="s">
        <v>630</v>
      </c>
      <c r="B1183" s="158" t="s">
        <v>631</v>
      </c>
      <c r="C1183" s="158" t="s">
        <v>12</v>
      </c>
      <c r="D1183" s="158" t="s">
        <v>13</v>
      </c>
      <c r="E1183" s="157">
        <v>864</v>
      </c>
      <c r="F1183" s="158" t="s">
        <v>525</v>
      </c>
      <c r="G1183" s="159">
        <v>5667183.3600000003</v>
      </c>
      <c r="H1183" s="159">
        <v>0</v>
      </c>
      <c r="I1183" s="159">
        <v>2535831.36</v>
      </c>
      <c r="J1183" s="159">
        <v>44.7</v>
      </c>
      <c r="K1183" t="str">
        <f>VLOOKUP($C1183,Lists!$C$3:$M$118,7,FALSE)</f>
        <v>Beers</v>
      </c>
      <c r="S1183" s="4"/>
      <c r="T1183" s="4"/>
      <c r="U1183" s="5"/>
      <c r="V1183" s="5"/>
    </row>
    <row r="1184" spans="1:22" x14ac:dyDescent="0.25">
      <c r="A1184" s="158" t="s">
        <v>630</v>
      </c>
      <c r="B1184" s="158" t="s">
        <v>631</v>
      </c>
      <c r="C1184" s="158" t="s">
        <v>14</v>
      </c>
      <c r="D1184" s="158" t="s">
        <v>15</v>
      </c>
      <c r="E1184" s="157">
        <v>432</v>
      </c>
      <c r="F1184" s="158" t="s">
        <v>525</v>
      </c>
      <c r="G1184" s="159">
        <v>3400306.56</v>
      </c>
      <c r="H1184" s="159">
        <v>0</v>
      </c>
      <c r="I1184" s="159">
        <v>1711022.4</v>
      </c>
      <c r="J1184" s="159">
        <v>50.3</v>
      </c>
      <c r="K1184" t="str">
        <f>VLOOKUP($C1184,Lists!$C$3:$M$118,7,FALSE)</f>
        <v>Beers</v>
      </c>
      <c r="S1184" s="4"/>
      <c r="T1184" s="4"/>
      <c r="U1184" s="5"/>
      <c r="V1184" s="5"/>
    </row>
    <row r="1185" spans="1:22" x14ac:dyDescent="0.25">
      <c r="A1185" s="158" t="s">
        <v>630</v>
      </c>
      <c r="B1185" s="158" t="s">
        <v>631</v>
      </c>
      <c r="C1185" s="158" t="s">
        <v>16</v>
      </c>
      <c r="D1185" s="158" t="s">
        <v>17</v>
      </c>
      <c r="E1185" s="157">
        <v>360</v>
      </c>
      <c r="F1185" s="158" t="s">
        <v>525</v>
      </c>
      <c r="G1185" s="159">
        <v>2833588.8</v>
      </c>
      <c r="H1185" s="159">
        <v>0</v>
      </c>
      <c r="I1185" s="159">
        <v>1425852</v>
      </c>
      <c r="J1185" s="159">
        <v>50.3</v>
      </c>
      <c r="K1185" t="str">
        <f>VLOOKUP($C1185,Lists!$C$3:$M$118,7,FALSE)</f>
        <v>Beers</v>
      </c>
      <c r="S1185" s="4"/>
      <c r="T1185" s="4"/>
      <c r="U1185" s="5"/>
      <c r="V1185" s="5"/>
    </row>
    <row r="1186" spans="1:22" x14ac:dyDescent="0.25">
      <c r="A1186" s="158" t="s">
        <v>630</v>
      </c>
      <c r="B1186" s="158" t="s">
        <v>631</v>
      </c>
      <c r="C1186" s="158" t="s">
        <v>20</v>
      </c>
      <c r="D1186" s="158" t="s">
        <v>21</v>
      </c>
      <c r="E1186" s="157">
        <v>504</v>
      </c>
      <c r="F1186" s="158" t="s">
        <v>525</v>
      </c>
      <c r="G1186" s="159">
        <v>2032485.84</v>
      </c>
      <c r="H1186" s="159">
        <v>0</v>
      </c>
      <c r="I1186" s="159">
        <v>875957.03</v>
      </c>
      <c r="J1186" s="159">
        <v>43.1</v>
      </c>
      <c r="K1186" t="str">
        <f>VLOOKUP($C1186,Lists!$C$3:$M$118,7,FALSE)</f>
        <v>COKE_RGB</v>
      </c>
      <c r="S1186" s="4"/>
      <c r="T1186" s="4"/>
      <c r="U1186" s="5"/>
      <c r="V1186" s="5"/>
    </row>
    <row r="1187" spans="1:22" x14ac:dyDescent="0.25">
      <c r="A1187" s="158" t="s">
        <v>630</v>
      </c>
      <c r="B1187" s="158" t="s">
        <v>631</v>
      </c>
      <c r="C1187" s="158" t="s">
        <v>22</v>
      </c>
      <c r="D1187" s="158" t="s">
        <v>23</v>
      </c>
      <c r="E1187" s="157">
        <v>216</v>
      </c>
      <c r="F1187" s="158" t="s">
        <v>525</v>
      </c>
      <c r="G1187" s="159">
        <v>871065.36</v>
      </c>
      <c r="H1187" s="159">
        <v>0</v>
      </c>
      <c r="I1187" s="159">
        <v>360555.84</v>
      </c>
      <c r="J1187" s="159">
        <v>41.4</v>
      </c>
      <c r="K1187" t="str">
        <f>VLOOKUP($C1187,Lists!$C$3:$M$118,7,FALSE)</f>
        <v>COKE_RGB</v>
      </c>
      <c r="S1187" s="4"/>
      <c r="T1187" s="4"/>
      <c r="U1187" s="5"/>
      <c r="V1187" s="5"/>
    </row>
    <row r="1188" spans="1:22" x14ac:dyDescent="0.25">
      <c r="A1188" s="158" t="s">
        <v>630</v>
      </c>
      <c r="B1188" s="158" t="s">
        <v>631</v>
      </c>
      <c r="C1188" s="158" t="s">
        <v>24</v>
      </c>
      <c r="D1188" s="158" t="s">
        <v>25</v>
      </c>
      <c r="E1188" s="157">
        <v>144</v>
      </c>
      <c r="F1188" s="158" t="s">
        <v>525</v>
      </c>
      <c r="G1188" s="159">
        <v>944530.56</v>
      </c>
      <c r="H1188" s="159">
        <v>0</v>
      </c>
      <c r="I1188" s="159">
        <v>463839.84</v>
      </c>
      <c r="J1188" s="159">
        <v>49.1</v>
      </c>
      <c r="K1188" t="str">
        <f>VLOOKUP($C1188,Lists!$C$3:$M$118,7,FALSE)</f>
        <v>Beers</v>
      </c>
      <c r="S1188" s="4"/>
      <c r="T1188" s="4"/>
      <c r="U1188" s="5"/>
      <c r="V1188" s="5"/>
    </row>
    <row r="1189" spans="1:22" x14ac:dyDescent="0.25">
      <c r="A1189" s="158" t="s">
        <v>630</v>
      </c>
      <c r="B1189" s="158" t="s">
        <v>631</v>
      </c>
      <c r="C1189" s="158" t="s">
        <v>29</v>
      </c>
      <c r="D1189" s="158" t="s">
        <v>30</v>
      </c>
      <c r="E1189" s="157">
        <v>50</v>
      </c>
      <c r="F1189" s="158" t="s">
        <v>525</v>
      </c>
      <c r="G1189" s="159">
        <v>1853544.5</v>
      </c>
      <c r="H1189" s="159">
        <v>0</v>
      </c>
      <c r="I1189" s="159">
        <v>553544.5</v>
      </c>
      <c r="J1189" s="159">
        <v>29.9</v>
      </c>
      <c r="K1189" t="str">
        <f>VLOOKUP($C1189,Lists!$C$3:$M$118,7,FALSE)</f>
        <v>Spirits</v>
      </c>
      <c r="S1189" s="4"/>
      <c r="T1189" s="4"/>
      <c r="U1189" s="5"/>
      <c r="V1189" s="5"/>
    </row>
    <row r="1190" spans="1:22" x14ac:dyDescent="0.25">
      <c r="A1190" s="158" t="s">
        <v>630</v>
      </c>
      <c r="B1190" s="158" t="s">
        <v>631</v>
      </c>
      <c r="C1190" s="158" t="s">
        <v>33</v>
      </c>
      <c r="D1190" s="158" t="s">
        <v>34</v>
      </c>
      <c r="E1190" s="157">
        <v>50</v>
      </c>
      <c r="F1190" s="158" t="s">
        <v>525</v>
      </c>
      <c r="G1190" s="159">
        <v>2837058</v>
      </c>
      <c r="H1190" s="159">
        <v>0</v>
      </c>
      <c r="I1190" s="159">
        <v>587058</v>
      </c>
      <c r="J1190" s="159">
        <v>20.7</v>
      </c>
      <c r="K1190" t="str">
        <f>VLOOKUP($C1190,Lists!$C$3:$M$118,7,FALSE)</f>
        <v>Spirits</v>
      </c>
      <c r="S1190" s="4"/>
      <c r="T1190" s="4"/>
      <c r="U1190" s="5"/>
      <c r="V1190" s="5"/>
    </row>
    <row r="1191" spans="1:22" x14ac:dyDescent="0.25">
      <c r="A1191" s="158" t="s">
        <v>630</v>
      </c>
      <c r="B1191" s="158" t="s">
        <v>631</v>
      </c>
      <c r="C1191" s="158" t="s">
        <v>37</v>
      </c>
      <c r="D1191" s="158" t="s">
        <v>38</v>
      </c>
      <c r="E1191" s="157">
        <v>216</v>
      </c>
      <c r="F1191" s="158" t="s">
        <v>525</v>
      </c>
      <c r="G1191" s="159">
        <v>725887.44</v>
      </c>
      <c r="H1191" s="159">
        <v>0</v>
      </c>
      <c r="I1191" s="159">
        <v>347198.4</v>
      </c>
      <c r="J1191" s="159">
        <v>47.8</v>
      </c>
      <c r="K1191" t="str">
        <f>VLOOKUP($C1191,Lists!$C$3:$M$118,7,FALSE)</f>
        <v>SOBO_RGB</v>
      </c>
      <c r="S1191" s="4"/>
      <c r="T1191" s="4"/>
      <c r="U1191" s="5"/>
      <c r="V1191" s="5"/>
    </row>
    <row r="1192" spans="1:22" x14ac:dyDescent="0.25">
      <c r="A1192" s="158" t="s">
        <v>630</v>
      </c>
      <c r="B1192" s="158" t="s">
        <v>631</v>
      </c>
      <c r="C1192" s="158" t="s">
        <v>39</v>
      </c>
      <c r="D1192" s="158" t="s">
        <v>40</v>
      </c>
      <c r="E1192" s="157">
        <v>144</v>
      </c>
      <c r="F1192" s="158" t="s">
        <v>525</v>
      </c>
      <c r="G1192" s="159">
        <v>483924.96</v>
      </c>
      <c r="H1192" s="159">
        <v>0</v>
      </c>
      <c r="I1192" s="159">
        <v>229498.56</v>
      </c>
      <c r="J1192" s="159">
        <v>47.4</v>
      </c>
      <c r="K1192" t="str">
        <f>VLOOKUP($C1192,Lists!$C$3:$M$118,7,FALSE)</f>
        <v>SOBO_RGB</v>
      </c>
      <c r="S1192" s="4"/>
      <c r="T1192" s="4"/>
      <c r="U1192" s="5"/>
      <c r="V1192" s="5"/>
    </row>
    <row r="1193" spans="1:22" x14ac:dyDescent="0.25">
      <c r="A1193" s="158" t="s">
        <v>632</v>
      </c>
      <c r="B1193" s="158" t="s">
        <v>633</v>
      </c>
      <c r="C1193" s="158" t="s">
        <v>12</v>
      </c>
      <c r="D1193" s="158" t="s">
        <v>13</v>
      </c>
      <c r="E1193" s="157">
        <v>1584</v>
      </c>
      <c r="F1193" s="158" t="s">
        <v>525</v>
      </c>
      <c r="G1193" s="159">
        <v>10389836.16</v>
      </c>
      <c r="H1193" s="159">
        <v>0</v>
      </c>
      <c r="I1193" s="159">
        <v>4649024.1500000004</v>
      </c>
      <c r="J1193" s="159">
        <v>44.7</v>
      </c>
      <c r="K1193" t="str">
        <f>VLOOKUP($C1193,Lists!$C$3:$M$118,7,FALSE)</f>
        <v>Beers</v>
      </c>
      <c r="S1193" s="4"/>
      <c r="T1193" s="4"/>
      <c r="U1193" s="5"/>
      <c r="V1193" s="5"/>
    </row>
    <row r="1194" spans="1:22" x14ac:dyDescent="0.25">
      <c r="A1194" s="158" t="s">
        <v>632</v>
      </c>
      <c r="B1194" s="158" t="s">
        <v>633</v>
      </c>
      <c r="C1194" s="158" t="s">
        <v>14</v>
      </c>
      <c r="D1194" s="158" t="s">
        <v>15</v>
      </c>
      <c r="E1194" s="157">
        <v>288</v>
      </c>
      <c r="F1194" s="158" t="s">
        <v>525</v>
      </c>
      <c r="G1194" s="159">
        <v>2266871.04</v>
      </c>
      <c r="H1194" s="159">
        <v>0</v>
      </c>
      <c r="I1194" s="159">
        <v>1140681.6000000001</v>
      </c>
      <c r="J1194" s="159">
        <v>50.3</v>
      </c>
      <c r="K1194" t="str">
        <f>VLOOKUP($C1194,Lists!$C$3:$M$118,7,FALSE)</f>
        <v>Beers</v>
      </c>
      <c r="S1194" s="4"/>
      <c r="T1194" s="4"/>
      <c r="U1194" s="5"/>
      <c r="V1194" s="5"/>
    </row>
    <row r="1195" spans="1:22" x14ac:dyDescent="0.25">
      <c r="A1195" s="158" t="s">
        <v>632</v>
      </c>
      <c r="B1195" s="158" t="s">
        <v>633</v>
      </c>
      <c r="C1195" s="158" t="s">
        <v>54</v>
      </c>
      <c r="D1195" s="158" t="s">
        <v>55</v>
      </c>
      <c r="E1195" s="157">
        <v>50</v>
      </c>
      <c r="F1195" s="158" t="s">
        <v>525</v>
      </c>
      <c r="G1195" s="159">
        <v>393554</v>
      </c>
      <c r="H1195" s="159">
        <v>0</v>
      </c>
      <c r="I1195" s="159">
        <v>210066.5</v>
      </c>
      <c r="J1195" s="159">
        <v>53.4</v>
      </c>
      <c r="K1195" t="str">
        <f>VLOOKUP($C1195,Lists!$C$3:$M$118,7,FALSE)</f>
        <v>Beers</v>
      </c>
      <c r="S1195" s="4"/>
      <c r="T1195" s="4"/>
      <c r="U1195" s="5"/>
      <c r="V1195" s="5"/>
    </row>
    <row r="1196" spans="1:22" x14ac:dyDescent="0.25">
      <c r="A1196" s="158" t="s">
        <v>632</v>
      </c>
      <c r="B1196" s="158" t="s">
        <v>633</v>
      </c>
      <c r="C1196" s="158" t="s">
        <v>16</v>
      </c>
      <c r="D1196" s="158" t="s">
        <v>17</v>
      </c>
      <c r="E1196" s="157">
        <v>1224</v>
      </c>
      <c r="F1196" s="158" t="s">
        <v>525</v>
      </c>
      <c r="G1196" s="159">
        <v>9634201.9199999999</v>
      </c>
      <c r="H1196" s="159">
        <v>0</v>
      </c>
      <c r="I1196" s="159">
        <v>4847896.8</v>
      </c>
      <c r="J1196" s="159">
        <v>50.3</v>
      </c>
      <c r="K1196" t="str">
        <f>VLOOKUP($C1196,Lists!$C$3:$M$118,7,FALSE)</f>
        <v>Beers</v>
      </c>
      <c r="S1196" s="4"/>
      <c r="T1196" s="4"/>
      <c r="U1196" s="5"/>
      <c r="V1196" s="5"/>
    </row>
    <row r="1197" spans="1:22" x14ac:dyDescent="0.25">
      <c r="A1197" s="158" t="s">
        <v>632</v>
      </c>
      <c r="B1197" s="158" t="s">
        <v>633</v>
      </c>
      <c r="C1197" s="158" t="s">
        <v>56</v>
      </c>
      <c r="D1197" s="158" t="s">
        <v>57</v>
      </c>
      <c r="E1197" s="157">
        <v>100</v>
      </c>
      <c r="F1197" s="158" t="s">
        <v>525</v>
      </c>
      <c r="G1197" s="159">
        <v>787108</v>
      </c>
      <c r="H1197" s="159">
        <v>0</v>
      </c>
      <c r="I1197" s="159">
        <v>420133</v>
      </c>
      <c r="J1197" s="159">
        <v>53.4</v>
      </c>
      <c r="K1197" t="str">
        <f>VLOOKUP($C1197,Lists!$C$3:$M$118,7,FALSE)</f>
        <v>Beers</v>
      </c>
      <c r="S1197" s="4"/>
      <c r="T1197" s="4"/>
      <c r="U1197" s="5"/>
      <c r="V1197" s="5"/>
    </row>
    <row r="1198" spans="1:22" x14ac:dyDescent="0.25">
      <c r="A1198" s="158" t="s">
        <v>632</v>
      </c>
      <c r="B1198" s="158" t="s">
        <v>633</v>
      </c>
      <c r="C1198" s="158" t="s">
        <v>20</v>
      </c>
      <c r="D1198" s="158" t="s">
        <v>21</v>
      </c>
      <c r="E1198" s="157">
        <v>144</v>
      </c>
      <c r="F1198" s="158" t="s">
        <v>525</v>
      </c>
      <c r="G1198" s="159">
        <v>580710.24</v>
      </c>
      <c r="H1198" s="159">
        <v>0</v>
      </c>
      <c r="I1198" s="159">
        <v>250273.44</v>
      </c>
      <c r="J1198" s="159">
        <v>43.1</v>
      </c>
      <c r="K1198" t="str">
        <f>VLOOKUP($C1198,Lists!$C$3:$M$118,7,FALSE)</f>
        <v>COKE_RGB</v>
      </c>
      <c r="S1198" s="4"/>
      <c r="T1198" s="4"/>
      <c r="U1198" s="5"/>
      <c r="V1198" s="5"/>
    </row>
    <row r="1199" spans="1:22" x14ac:dyDescent="0.25">
      <c r="A1199" s="158" t="s">
        <v>632</v>
      </c>
      <c r="B1199" s="158" t="s">
        <v>633</v>
      </c>
      <c r="C1199" s="158" t="s">
        <v>22</v>
      </c>
      <c r="D1199" s="158" t="s">
        <v>23</v>
      </c>
      <c r="E1199" s="157">
        <v>72</v>
      </c>
      <c r="F1199" s="158" t="s">
        <v>525</v>
      </c>
      <c r="G1199" s="159">
        <v>290355.12</v>
      </c>
      <c r="H1199" s="159">
        <v>0</v>
      </c>
      <c r="I1199" s="159">
        <v>120185.28</v>
      </c>
      <c r="J1199" s="159">
        <v>41.4</v>
      </c>
      <c r="K1199" t="str">
        <f>VLOOKUP($C1199,Lists!$C$3:$M$118,7,FALSE)</f>
        <v>COKE_RGB</v>
      </c>
      <c r="S1199" s="4"/>
      <c r="T1199" s="4"/>
      <c r="U1199" s="5"/>
      <c r="V1199" s="5"/>
    </row>
    <row r="1200" spans="1:22" x14ac:dyDescent="0.25">
      <c r="A1200" s="158" t="s">
        <v>632</v>
      </c>
      <c r="B1200" s="158" t="s">
        <v>633</v>
      </c>
      <c r="C1200" s="158" t="s">
        <v>261</v>
      </c>
      <c r="D1200" s="158" t="s">
        <v>538</v>
      </c>
      <c r="E1200" s="157">
        <v>144</v>
      </c>
      <c r="F1200" s="158" t="s">
        <v>525</v>
      </c>
      <c r="G1200" s="159">
        <v>580710.24</v>
      </c>
      <c r="H1200" s="159">
        <v>0</v>
      </c>
      <c r="I1200" s="159">
        <v>240370.56</v>
      </c>
      <c r="J1200" s="159">
        <v>41.4</v>
      </c>
      <c r="K1200" t="str">
        <f>VLOOKUP($C1200,Lists!$C$3:$M$118,7,FALSE)</f>
        <v>COKE_RGB</v>
      </c>
      <c r="S1200" s="4"/>
      <c r="T1200" s="4"/>
      <c r="U1200" s="5"/>
      <c r="V1200" s="5"/>
    </row>
    <row r="1201" spans="1:22" x14ac:dyDescent="0.25">
      <c r="A1201" s="158" t="s">
        <v>632</v>
      </c>
      <c r="B1201" s="158" t="s">
        <v>633</v>
      </c>
      <c r="C1201" s="158" t="s">
        <v>29</v>
      </c>
      <c r="D1201" s="158" t="s">
        <v>30</v>
      </c>
      <c r="E1201" s="157">
        <v>100</v>
      </c>
      <c r="F1201" s="158" t="s">
        <v>525</v>
      </c>
      <c r="G1201" s="159">
        <v>3707089</v>
      </c>
      <c r="H1201" s="159">
        <v>0</v>
      </c>
      <c r="I1201" s="159">
        <v>1107089</v>
      </c>
      <c r="J1201" s="159">
        <v>29.9</v>
      </c>
      <c r="K1201" t="str">
        <f>VLOOKUP($C1201,Lists!$C$3:$M$118,7,FALSE)</f>
        <v>Spirits</v>
      </c>
      <c r="S1201" s="4"/>
      <c r="T1201" s="4"/>
      <c r="U1201" s="5"/>
      <c r="V1201" s="5"/>
    </row>
    <row r="1202" spans="1:22" x14ac:dyDescent="0.25">
      <c r="A1202" s="158" t="s">
        <v>632</v>
      </c>
      <c r="B1202" s="158" t="s">
        <v>633</v>
      </c>
      <c r="C1202" s="158" t="s">
        <v>31</v>
      </c>
      <c r="D1202" s="158" t="s">
        <v>32</v>
      </c>
      <c r="E1202" s="157">
        <v>10</v>
      </c>
      <c r="F1202" s="158" t="s">
        <v>525</v>
      </c>
      <c r="G1202" s="159">
        <v>348012.4</v>
      </c>
      <c r="H1202" s="159">
        <v>0</v>
      </c>
      <c r="I1202" s="159">
        <v>108012.4</v>
      </c>
      <c r="J1202" s="159">
        <v>31</v>
      </c>
      <c r="K1202" t="str">
        <f>VLOOKUP($C1202,Lists!$C$3:$M$118,7,FALSE)</f>
        <v>Spirits</v>
      </c>
      <c r="S1202" s="4"/>
      <c r="T1202" s="4"/>
      <c r="U1202" s="5"/>
      <c r="V1202" s="5"/>
    </row>
    <row r="1203" spans="1:22" x14ac:dyDescent="0.25">
      <c r="A1203" s="158" t="s">
        <v>632</v>
      </c>
      <c r="B1203" s="158" t="s">
        <v>633</v>
      </c>
      <c r="C1203" s="158" t="s">
        <v>33</v>
      </c>
      <c r="D1203" s="158" t="s">
        <v>34</v>
      </c>
      <c r="E1203" s="157">
        <v>30</v>
      </c>
      <c r="F1203" s="158" t="s">
        <v>525</v>
      </c>
      <c r="G1203" s="159">
        <v>1702234.8</v>
      </c>
      <c r="H1203" s="159">
        <v>0</v>
      </c>
      <c r="I1203" s="159">
        <v>352234.8</v>
      </c>
      <c r="J1203" s="159">
        <v>20.7</v>
      </c>
      <c r="K1203" t="str">
        <f>VLOOKUP($C1203,Lists!$C$3:$M$118,7,FALSE)</f>
        <v>Spirits</v>
      </c>
      <c r="S1203" s="4"/>
      <c r="T1203" s="4"/>
      <c r="U1203" s="5"/>
      <c r="V1203" s="5"/>
    </row>
    <row r="1204" spans="1:22" x14ac:dyDescent="0.25">
      <c r="A1204" s="158" t="s">
        <v>632</v>
      </c>
      <c r="B1204" s="158" t="s">
        <v>633</v>
      </c>
      <c r="C1204" s="158" t="s">
        <v>37</v>
      </c>
      <c r="D1204" s="158" t="s">
        <v>38</v>
      </c>
      <c r="E1204" s="157">
        <v>72</v>
      </c>
      <c r="F1204" s="158" t="s">
        <v>525</v>
      </c>
      <c r="G1204" s="159">
        <v>241962.48</v>
      </c>
      <c r="H1204" s="159">
        <v>0</v>
      </c>
      <c r="I1204" s="159">
        <v>115732.8</v>
      </c>
      <c r="J1204" s="159">
        <v>47.8</v>
      </c>
      <c r="K1204" t="str">
        <f>VLOOKUP($C1204,Lists!$C$3:$M$118,7,FALSE)</f>
        <v>SOBO_RGB</v>
      </c>
      <c r="S1204" s="4"/>
      <c r="T1204" s="4"/>
      <c r="U1204" s="5"/>
      <c r="V1204" s="5"/>
    </row>
    <row r="1205" spans="1:22" x14ac:dyDescent="0.25">
      <c r="A1205" s="158" t="s">
        <v>632</v>
      </c>
      <c r="B1205" s="158" t="s">
        <v>633</v>
      </c>
      <c r="C1205" s="158" t="s">
        <v>39</v>
      </c>
      <c r="D1205" s="158" t="s">
        <v>40</v>
      </c>
      <c r="E1205" s="157">
        <v>72</v>
      </c>
      <c r="F1205" s="158" t="s">
        <v>525</v>
      </c>
      <c r="G1205" s="159">
        <v>241962.48</v>
      </c>
      <c r="H1205" s="159">
        <v>0</v>
      </c>
      <c r="I1205" s="159">
        <v>114749.28</v>
      </c>
      <c r="J1205" s="159">
        <v>47.4</v>
      </c>
      <c r="K1205" t="str">
        <f>VLOOKUP($C1205,Lists!$C$3:$M$118,7,FALSE)</f>
        <v>SOBO_RGB</v>
      </c>
      <c r="S1205" s="4"/>
      <c r="T1205" s="4"/>
      <c r="U1205" s="5"/>
      <c r="V1205" s="5"/>
    </row>
    <row r="1206" spans="1:22" x14ac:dyDescent="0.25">
      <c r="A1206" s="158" t="s">
        <v>634</v>
      </c>
      <c r="B1206" s="158" t="s">
        <v>635</v>
      </c>
      <c r="C1206" s="158" t="s">
        <v>12</v>
      </c>
      <c r="D1206" s="158" t="s">
        <v>13</v>
      </c>
      <c r="E1206" s="157">
        <v>72</v>
      </c>
      <c r="F1206" s="158" t="s">
        <v>525</v>
      </c>
      <c r="G1206" s="159">
        <v>472265.28</v>
      </c>
      <c r="H1206" s="159">
        <v>0</v>
      </c>
      <c r="I1206" s="159">
        <v>211319.28</v>
      </c>
      <c r="J1206" s="159">
        <v>44.7</v>
      </c>
      <c r="K1206" t="str">
        <f>VLOOKUP($C1206,Lists!$C$3:$M$118,7,FALSE)</f>
        <v>Beers</v>
      </c>
      <c r="S1206" s="4"/>
      <c r="T1206" s="4"/>
      <c r="U1206" s="5"/>
      <c r="V1206" s="5"/>
    </row>
    <row r="1207" spans="1:22" x14ac:dyDescent="0.25">
      <c r="A1207" s="158" t="s">
        <v>636</v>
      </c>
      <c r="B1207" s="158" t="s">
        <v>637</v>
      </c>
      <c r="C1207" s="158" t="s">
        <v>12</v>
      </c>
      <c r="D1207" s="158" t="s">
        <v>13</v>
      </c>
      <c r="E1207" s="157">
        <v>504</v>
      </c>
      <c r="F1207" s="158" t="s">
        <v>525</v>
      </c>
      <c r="G1207" s="159">
        <v>3305856.96</v>
      </c>
      <c r="H1207" s="159">
        <v>0</v>
      </c>
      <c r="I1207" s="159">
        <v>1479234.96</v>
      </c>
      <c r="J1207" s="159">
        <v>44.7</v>
      </c>
      <c r="K1207" t="str">
        <f>VLOOKUP($C1207,Lists!$C$3:$M$118,7,FALSE)</f>
        <v>Beers</v>
      </c>
      <c r="S1207" s="4"/>
      <c r="T1207" s="4"/>
      <c r="U1207" s="5"/>
      <c r="V1207" s="5"/>
    </row>
    <row r="1208" spans="1:22" x14ac:dyDescent="0.25">
      <c r="A1208" s="158" t="s">
        <v>636</v>
      </c>
      <c r="B1208" s="158" t="s">
        <v>637</v>
      </c>
      <c r="C1208" s="158" t="s">
        <v>16</v>
      </c>
      <c r="D1208" s="158" t="s">
        <v>17</v>
      </c>
      <c r="E1208" s="157">
        <v>288</v>
      </c>
      <c r="F1208" s="158" t="s">
        <v>525</v>
      </c>
      <c r="G1208" s="159">
        <v>2266871.04</v>
      </c>
      <c r="H1208" s="159">
        <v>0</v>
      </c>
      <c r="I1208" s="159">
        <v>1140681.6000000001</v>
      </c>
      <c r="J1208" s="159">
        <v>50.3</v>
      </c>
      <c r="K1208" t="str">
        <f>VLOOKUP($C1208,Lists!$C$3:$M$118,7,FALSE)</f>
        <v>Beers</v>
      </c>
      <c r="S1208" s="4"/>
      <c r="T1208" s="4"/>
      <c r="U1208" s="5"/>
      <c r="V1208" s="5"/>
    </row>
    <row r="1209" spans="1:22" x14ac:dyDescent="0.25">
      <c r="A1209" s="158" t="s">
        <v>636</v>
      </c>
      <c r="B1209" s="158" t="s">
        <v>637</v>
      </c>
      <c r="C1209" s="158" t="s">
        <v>78</v>
      </c>
      <c r="D1209" s="158" t="s">
        <v>526</v>
      </c>
      <c r="E1209" s="157">
        <v>72</v>
      </c>
      <c r="F1209" s="158" t="s">
        <v>525</v>
      </c>
      <c r="G1209" s="159">
        <v>177563.51999999999</v>
      </c>
      <c r="H1209" s="159">
        <v>0</v>
      </c>
      <c r="I1209" s="159">
        <v>98468.64</v>
      </c>
      <c r="J1209" s="159">
        <v>55.5</v>
      </c>
      <c r="K1209" t="str">
        <f>VLOOKUP($C1209,Lists!$C$3:$M$118,7,FALSE)</f>
        <v>SOBO_PET</v>
      </c>
      <c r="S1209" s="4"/>
      <c r="T1209" s="4"/>
      <c r="U1209" s="5"/>
      <c r="V1209" s="5"/>
    </row>
    <row r="1210" spans="1:22" x14ac:dyDescent="0.25">
      <c r="A1210" s="158" t="s">
        <v>638</v>
      </c>
      <c r="B1210" s="158" t="s">
        <v>639</v>
      </c>
      <c r="C1210" s="158" t="s">
        <v>12</v>
      </c>
      <c r="D1210" s="158" t="s">
        <v>13</v>
      </c>
      <c r="E1210" s="157">
        <v>144</v>
      </c>
      <c r="F1210" s="158" t="s">
        <v>525</v>
      </c>
      <c r="G1210" s="159">
        <v>944530.56</v>
      </c>
      <c r="H1210" s="159">
        <v>0</v>
      </c>
      <c r="I1210" s="159">
        <v>422638.56</v>
      </c>
      <c r="J1210" s="159">
        <v>44.7</v>
      </c>
      <c r="K1210" t="str">
        <f>VLOOKUP($C1210,Lists!$C$3:$M$118,7,FALSE)</f>
        <v>Beers</v>
      </c>
      <c r="S1210" s="4"/>
      <c r="T1210" s="4"/>
      <c r="U1210" s="5"/>
      <c r="V1210" s="5"/>
    </row>
    <row r="1211" spans="1:22" x14ac:dyDescent="0.25">
      <c r="A1211" s="158" t="s">
        <v>638</v>
      </c>
      <c r="B1211" s="158" t="s">
        <v>639</v>
      </c>
      <c r="C1211" s="158" t="s">
        <v>14</v>
      </c>
      <c r="D1211" s="158" t="s">
        <v>15</v>
      </c>
      <c r="E1211" s="157">
        <v>144</v>
      </c>
      <c r="F1211" s="158" t="s">
        <v>525</v>
      </c>
      <c r="G1211" s="159">
        <v>1133435.52</v>
      </c>
      <c r="H1211" s="159">
        <v>0</v>
      </c>
      <c r="I1211" s="159">
        <v>570340.80000000005</v>
      </c>
      <c r="J1211" s="159">
        <v>50.3</v>
      </c>
      <c r="K1211" t="str">
        <f>VLOOKUP($C1211,Lists!$C$3:$M$118,7,FALSE)</f>
        <v>Beers</v>
      </c>
      <c r="S1211" s="4"/>
      <c r="T1211" s="4"/>
      <c r="U1211" s="5"/>
      <c r="V1211" s="5"/>
    </row>
    <row r="1212" spans="1:22" x14ac:dyDescent="0.25">
      <c r="A1212" s="158" t="s">
        <v>638</v>
      </c>
      <c r="B1212" s="158" t="s">
        <v>639</v>
      </c>
      <c r="C1212" s="158" t="s">
        <v>16</v>
      </c>
      <c r="D1212" s="158" t="s">
        <v>17</v>
      </c>
      <c r="E1212" s="157">
        <v>216</v>
      </c>
      <c r="F1212" s="158" t="s">
        <v>525</v>
      </c>
      <c r="G1212" s="159">
        <v>1700153.28</v>
      </c>
      <c r="H1212" s="159">
        <v>0</v>
      </c>
      <c r="I1212" s="159">
        <v>855511.2</v>
      </c>
      <c r="J1212" s="159">
        <v>50.3</v>
      </c>
      <c r="K1212" t="str">
        <f>VLOOKUP($C1212,Lists!$C$3:$M$118,7,FALSE)</f>
        <v>Beers</v>
      </c>
      <c r="S1212" s="4"/>
      <c r="T1212" s="4"/>
      <c r="U1212" s="5"/>
      <c r="V1212" s="5"/>
    </row>
    <row r="1213" spans="1:22" x14ac:dyDescent="0.25">
      <c r="A1213" s="158" t="s">
        <v>638</v>
      </c>
      <c r="B1213" s="158" t="s">
        <v>639</v>
      </c>
      <c r="C1213" s="158" t="s">
        <v>20</v>
      </c>
      <c r="D1213" s="158" t="s">
        <v>21</v>
      </c>
      <c r="E1213" s="157">
        <v>144</v>
      </c>
      <c r="F1213" s="158" t="s">
        <v>525</v>
      </c>
      <c r="G1213" s="159">
        <v>580710.24</v>
      </c>
      <c r="H1213" s="159">
        <v>0</v>
      </c>
      <c r="I1213" s="159">
        <v>250273.44</v>
      </c>
      <c r="J1213" s="159">
        <v>43.1</v>
      </c>
      <c r="K1213" t="str">
        <f>VLOOKUP($C1213,Lists!$C$3:$M$118,7,FALSE)</f>
        <v>COKE_RGB</v>
      </c>
      <c r="S1213" s="4"/>
      <c r="T1213" s="4"/>
      <c r="U1213" s="5"/>
      <c r="V1213" s="5"/>
    </row>
    <row r="1214" spans="1:22" x14ac:dyDescent="0.25">
      <c r="A1214" s="158" t="s">
        <v>638</v>
      </c>
      <c r="B1214" s="158" t="s">
        <v>639</v>
      </c>
      <c r="C1214" s="158" t="s">
        <v>22</v>
      </c>
      <c r="D1214" s="158" t="s">
        <v>23</v>
      </c>
      <c r="E1214" s="157">
        <v>72</v>
      </c>
      <c r="F1214" s="158" t="s">
        <v>525</v>
      </c>
      <c r="G1214" s="159">
        <v>290355.12</v>
      </c>
      <c r="H1214" s="159">
        <v>0</v>
      </c>
      <c r="I1214" s="159">
        <v>120185.28</v>
      </c>
      <c r="J1214" s="159">
        <v>41.4</v>
      </c>
      <c r="K1214" t="str">
        <f>VLOOKUP($C1214,Lists!$C$3:$M$118,7,FALSE)</f>
        <v>COKE_RGB</v>
      </c>
      <c r="S1214" s="4"/>
      <c r="T1214" s="4"/>
      <c r="U1214" s="5"/>
      <c r="V1214" s="5"/>
    </row>
    <row r="1215" spans="1:22" x14ac:dyDescent="0.25">
      <c r="A1215" s="158" t="s">
        <v>638</v>
      </c>
      <c r="B1215" s="158" t="s">
        <v>639</v>
      </c>
      <c r="C1215" s="158" t="s">
        <v>29</v>
      </c>
      <c r="D1215" s="158" t="s">
        <v>30</v>
      </c>
      <c r="E1215" s="157">
        <v>8</v>
      </c>
      <c r="F1215" s="158" t="s">
        <v>525</v>
      </c>
      <c r="G1215" s="159">
        <v>296567.12</v>
      </c>
      <c r="H1215" s="159">
        <v>0</v>
      </c>
      <c r="I1215" s="159">
        <v>88567.12</v>
      </c>
      <c r="J1215" s="159">
        <v>29.9</v>
      </c>
      <c r="K1215" t="str">
        <f>VLOOKUP($C1215,Lists!$C$3:$M$118,7,FALSE)</f>
        <v>Spirits</v>
      </c>
      <c r="S1215" s="4"/>
      <c r="T1215" s="4"/>
      <c r="U1215" s="5"/>
      <c r="V1215" s="5"/>
    </row>
    <row r="1216" spans="1:22" x14ac:dyDescent="0.25">
      <c r="A1216" s="158" t="s">
        <v>638</v>
      </c>
      <c r="B1216" s="158" t="s">
        <v>639</v>
      </c>
      <c r="C1216" s="158" t="s">
        <v>39</v>
      </c>
      <c r="D1216" s="158" t="s">
        <v>40</v>
      </c>
      <c r="E1216" s="157">
        <v>72</v>
      </c>
      <c r="F1216" s="158" t="s">
        <v>525</v>
      </c>
      <c r="G1216" s="159">
        <v>241962.48</v>
      </c>
      <c r="H1216" s="159">
        <v>0</v>
      </c>
      <c r="I1216" s="159">
        <v>114749.28</v>
      </c>
      <c r="J1216" s="159">
        <v>47.4</v>
      </c>
      <c r="K1216" t="str">
        <f>VLOOKUP($C1216,Lists!$C$3:$M$118,7,FALSE)</f>
        <v>SOBO_RGB</v>
      </c>
      <c r="S1216" s="4"/>
      <c r="T1216" s="4"/>
      <c r="U1216" s="5"/>
      <c r="V1216" s="5"/>
    </row>
    <row r="1217" spans="1:22" x14ac:dyDescent="0.25">
      <c r="A1217" s="158" t="s">
        <v>640</v>
      </c>
      <c r="B1217" s="158" t="s">
        <v>641</v>
      </c>
      <c r="C1217" s="158" t="s">
        <v>12</v>
      </c>
      <c r="D1217" s="158" t="s">
        <v>13</v>
      </c>
      <c r="E1217" s="157">
        <v>576</v>
      </c>
      <c r="F1217" s="158" t="s">
        <v>525</v>
      </c>
      <c r="G1217" s="159">
        <v>3778122.24</v>
      </c>
      <c r="H1217" s="159">
        <v>0</v>
      </c>
      <c r="I1217" s="159">
        <v>1690554.24</v>
      </c>
      <c r="J1217" s="159">
        <v>44.7</v>
      </c>
      <c r="K1217" t="str">
        <f>VLOOKUP($C1217,Lists!$C$3:$M$118,7,FALSE)</f>
        <v>Beers</v>
      </c>
      <c r="S1217" s="4"/>
      <c r="T1217" s="4"/>
      <c r="U1217" s="5"/>
      <c r="V1217" s="5"/>
    </row>
    <row r="1218" spans="1:22" x14ac:dyDescent="0.25">
      <c r="A1218" s="158" t="s">
        <v>640</v>
      </c>
      <c r="B1218" s="158" t="s">
        <v>641</v>
      </c>
      <c r="C1218" s="158" t="s">
        <v>14</v>
      </c>
      <c r="D1218" s="158" t="s">
        <v>15</v>
      </c>
      <c r="E1218" s="157">
        <v>144</v>
      </c>
      <c r="F1218" s="158" t="s">
        <v>525</v>
      </c>
      <c r="G1218" s="159">
        <v>1133435.52</v>
      </c>
      <c r="H1218" s="159">
        <v>0</v>
      </c>
      <c r="I1218" s="159">
        <v>570340.80000000005</v>
      </c>
      <c r="J1218" s="159">
        <v>50.3</v>
      </c>
      <c r="K1218" t="str">
        <f>VLOOKUP($C1218,Lists!$C$3:$M$118,7,FALSE)</f>
        <v>Beers</v>
      </c>
      <c r="S1218" s="4"/>
      <c r="T1218" s="4"/>
      <c r="U1218" s="5"/>
      <c r="V1218" s="5"/>
    </row>
    <row r="1219" spans="1:22" x14ac:dyDescent="0.25">
      <c r="A1219" s="158" t="s">
        <v>640</v>
      </c>
      <c r="B1219" s="158" t="s">
        <v>641</v>
      </c>
      <c r="C1219" s="158" t="s">
        <v>16</v>
      </c>
      <c r="D1219" s="158" t="s">
        <v>17</v>
      </c>
      <c r="E1219" s="157">
        <v>360</v>
      </c>
      <c r="F1219" s="158" t="s">
        <v>525</v>
      </c>
      <c r="G1219" s="159">
        <v>2833588.8</v>
      </c>
      <c r="H1219" s="159">
        <v>0</v>
      </c>
      <c r="I1219" s="159">
        <v>1425852</v>
      </c>
      <c r="J1219" s="159">
        <v>50.3</v>
      </c>
      <c r="K1219" t="str">
        <f>VLOOKUP($C1219,Lists!$C$3:$M$118,7,FALSE)</f>
        <v>Beers</v>
      </c>
      <c r="S1219" s="4"/>
      <c r="T1219" s="4"/>
      <c r="U1219" s="5"/>
      <c r="V1219" s="5"/>
    </row>
    <row r="1220" spans="1:22" x14ac:dyDescent="0.25">
      <c r="A1220" s="158" t="s">
        <v>640</v>
      </c>
      <c r="B1220" s="158" t="s">
        <v>641</v>
      </c>
      <c r="C1220" s="158" t="s">
        <v>20</v>
      </c>
      <c r="D1220" s="158" t="s">
        <v>21</v>
      </c>
      <c r="E1220" s="157">
        <v>360</v>
      </c>
      <c r="F1220" s="158" t="s">
        <v>525</v>
      </c>
      <c r="G1220" s="159">
        <v>1451775.6</v>
      </c>
      <c r="H1220" s="159">
        <v>0</v>
      </c>
      <c r="I1220" s="159">
        <v>625683.6</v>
      </c>
      <c r="J1220" s="159">
        <v>43.1</v>
      </c>
      <c r="K1220" t="str">
        <f>VLOOKUP($C1220,Lists!$C$3:$M$118,7,FALSE)</f>
        <v>COKE_RGB</v>
      </c>
      <c r="S1220" s="4"/>
      <c r="T1220" s="4"/>
      <c r="U1220" s="5"/>
      <c r="V1220" s="5"/>
    </row>
    <row r="1221" spans="1:22" x14ac:dyDescent="0.25">
      <c r="A1221" s="158" t="s">
        <v>640</v>
      </c>
      <c r="B1221" s="158" t="s">
        <v>641</v>
      </c>
      <c r="C1221" s="158" t="s">
        <v>22</v>
      </c>
      <c r="D1221" s="158" t="s">
        <v>23</v>
      </c>
      <c r="E1221" s="157">
        <v>216</v>
      </c>
      <c r="F1221" s="158" t="s">
        <v>525</v>
      </c>
      <c r="G1221" s="159">
        <v>871065.36</v>
      </c>
      <c r="H1221" s="159">
        <v>0</v>
      </c>
      <c r="I1221" s="159">
        <v>360555.84</v>
      </c>
      <c r="J1221" s="159">
        <v>41.4</v>
      </c>
      <c r="K1221" t="str">
        <f>VLOOKUP($C1221,Lists!$C$3:$M$118,7,FALSE)</f>
        <v>COKE_RGB</v>
      </c>
      <c r="S1221" s="4"/>
      <c r="T1221" s="4"/>
      <c r="U1221" s="5"/>
      <c r="V1221" s="5"/>
    </row>
    <row r="1222" spans="1:22" x14ac:dyDescent="0.25">
      <c r="A1222" s="158" t="s">
        <v>640</v>
      </c>
      <c r="B1222" s="158" t="s">
        <v>641</v>
      </c>
      <c r="C1222" s="158" t="s">
        <v>24</v>
      </c>
      <c r="D1222" s="158" t="s">
        <v>25</v>
      </c>
      <c r="E1222" s="157">
        <v>72</v>
      </c>
      <c r="F1222" s="158" t="s">
        <v>525</v>
      </c>
      <c r="G1222" s="159">
        <v>472265.28</v>
      </c>
      <c r="H1222" s="159">
        <v>0</v>
      </c>
      <c r="I1222" s="159">
        <v>231919.92</v>
      </c>
      <c r="J1222" s="159">
        <v>49.1</v>
      </c>
      <c r="K1222" t="str">
        <f>VLOOKUP($C1222,Lists!$C$3:$M$118,7,FALSE)</f>
        <v>Beers</v>
      </c>
      <c r="S1222" s="4"/>
      <c r="T1222" s="4"/>
      <c r="U1222" s="5"/>
      <c r="V1222" s="5"/>
    </row>
    <row r="1223" spans="1:22" x14ac:dyDescent="0.25">
      <c r="A1223" s="158" t="s">
        <v>640</v>
      </c>
      <c r="B1223" s="158" t="s">
        <v>641</v>
      </c>
      <c r="C1223" s="158" t="s">
        <v>29</v>
      </c>
      <c r="D1223" s="158" t="s">
        <v>30</v>
      </c>
      <c r="E1223" s="157">
        <v>5</v>
      </c>
      <c r="F1223" s="158" t="s">
        <v>525</v>
      </c>
      <c r="G1223" s="159">
        <v>185354.45</v>
      </c>
      <c r="H1223" s="159">
        <v>0</v>
      </c>
      <c r="I1223" s="159">
        <v>55354.45</v>
      </c>
      <c r="J1223" s="159">
        <v>29.9</v>
      </c>
      <c r="K1223" t="str">
        <f>VLOOKUP($C1223,Lists!$C$3:$M$118,7,FALSE)</f>
        <v>Spirits</v>
      </c>
      <c r="S1223" s="4"/>
      <c r="T1223" s="4"/>
      <c r="U1223" s="5"/>
      <c r="V1223" s="5"/>
    </row>
    <row r="1224" spans="1:22" x14ac:dyDescent="0.25">
      <c r="A1224" s="158" t="s">
        <v>640</v>
      </c>
      <c r="B1224" s="158" t="s">
        <v>641</v>
      </c>
      <c r="C1224" s="158" t="s">
        <v>33</v>
      </c>
      <c r="D1224" s="158" t="s">
        <v>34</v>
      </c>
      <c r="E1224" s="157">
        <v>2</v>
      </c>
      <c r="F1224" s="158" t="s">
        <v>525</v>
      </c>
      <c r="G1224" s="159">
        <v>113482.32</v>
      </c>
      <c r="H1224" s="159">
        <v>0</v>
      </c>
      <c r="I1224" s="159">
        <v>23482.32</v>
      </c>
      <c r="J1224" s="159">
        <v>20.7</v>
      </c>
      <c r="K1224" t="str">
        <f>VLOOKUP($C1224,Lists!$C$3:$M$118,7,FALSE)</f>
        <v>Spirits</v>
      </c>
      <c r="S1224" s="4"/>
      <c r="T1224" s="4"/>
      <c r="U1224" s="5"/>
      <c r="V1224" s="5"/>
    </row>
    <row r="1225" spans="1:22" x14ac:dyDescent="0.25">
      <c r="A1225" s="158" t="s">
        <v>640</v>
      </c>
      <c r="B1225" s="158" t="s">
        <v>641</v>
      </c>
      <c r="C1225" s="158" t="s">
        <v>37</v>
      </c>
      <c r="D1225" s="158" t="s">
        <v>38</v>
      </c>
      <c r="E1225" s="157">
        <v>72</v>
      </c>
      <c r="F1225" s="158" t="s">
        <v>525</v>
      </c>
      <c r="G1225" s="159">
        <v>241962.48</v>
      </c>
      <c r="H1225" s="159">
        <v>0</v>
      </c>
      <c r="I1225" s="159">
        <v>115732.8</v>
      </c>
      <c r="J1225" s="159">
        <v>47.8</v>
      </c>
      <c r="K1225" t="str">
        <f>VLOOKUP($C1225,Lists!$C$3:$M$118,7,FALSE)</f>
        <v>SOBO_RGB</v>
      </c>
      <c r="S1225" s="4"/>
      <c r="T1225" s="4"/>
      <c r="U1225" s="5"/>
      <c r="V1225" s="5"/>
    </row>
    <row r="1226" spans="1:22" x14ac:dyDescent="0.25">
      <c r="A1226" s="158" t="s">
        <v>640</v>
      </c>
      <c r="B1226" s="158" t="s">
        <v>641</v>
      </c>
      <c r="C1226" s="158" t="s">
        <v>39</v>
      </c>
      <c r="D1226" s="158" t="s">
        <v>40</v>
      </c>
      <c r="E1226" s="157">
        <v>72</v>
      </c>
      <c r="F1226" s="158" t="s">
        <v>525</v>
      </c>
      <c r="G1226" s="159">
        <v>241962.48</v>
      </c>
      <c r="H1226" s="159">
        <v>0</v>
      </c>
      <c r="I1226" s="159">
        <v>114749.28</v>
      </c>
      <c r="J1226" s="159">
        <v>47.4</v>
      </c>
      <c r="K1226" t="str">
        <f>VLOOKUP($C1226,Lists!$C$3:$M$118,7,FALSE)</f>
        <v>SOBO_RGB</v>
      </c>
      <c r="S1226" s="4"/>
      <c r="T1226" s="4"/>
      <c r="U1226" s="5"/>
      <c r="V1226" s="5"/>
    </row>
    <row r="1227" spans="1:22" x14ac:dyDescent="0.25">
      <c r="A1227" s="158" t="s">
        <v>642</v>
      </c>
      <c r="B1227" s="158" t="s">
        <v>643</v>
      </c>
      <c r="C1227" s="158" t="s">
        <v>12</v>
      </c>
      <c r="D1227" s="158" t="s">
        <v>13</v>
      </c>
      <c r="E1227" s="157">
        <v>287</v>
      </c>
      <c r="F1227" s="158" t="s">
        <v>525</v>
      </c>
      <c r="G1227" s="159">
        <v>1882501.88</v>
      </c>
      <c r="H1227" s="159">
        <v>0</v>
      </c>
      <c r="I1227" s="159">
        <v>842342.11</v>
      </c>
      <c r="J1227" s="159">
        <v>44.7</v>
      </c>
      <c r="K1227" t="str">
        <f>VLOOKUP($C1227,Lists!$C$3:$M$118,7,FALSE)</f>
        <v>Beers</v>
      </c>
      <c r="S1227" s="4"/>
      <c r="T1227" s="4"/>
      <c r="U1227" s="5"/>
      <c r="V1227" s="5"/>
    </row>
    <row r="1228" spans="1:22" x14ac:dyDescent="0.25">
      <c r="A1228" s="158" t="s">
        <v>642</v>
      </c>
      <c r="B1228" s="158" t="s">
        <v>643</v>
      </c>
      <c r="C1228" s="158" t="s">
        <v>14</v>
      </c>
      <c r="D1228" s="158" t="s">
        <v>15</v>
      </c>
      <c r="E1228" s="157">
        <v>72</v>
      </c>
      <c r="F1228" s="158" t="s">
        <v>525</v>
      </c>
      <c r="G1228" s="159">
        <v>566717.76</v>
      </c>
      <c r="H1228" s="159">
        <v>0</v>
      </c>
      <c r="I1228" s="159">
        <v>285170.40000000002</v>
      </c>
      <c r="J1228" s="159">
        <v>50.3</v>
      </c>
      <c r="K1228" t="str">
        <f>VLOOKUP($C1228,Lists!$C$3:$M$118,7,FALSE)</f>
        <v>Beers</v>
      </c>
      <c r="S1228" s="4"/>
      <c r="T1228" s="4"/>
      <c r="U1228" s="5"/>
      <c r="V1228" s="5"/>
    </row>
    <row r="1229" spans="1:22" x14ac:dyDescent="0.25">
      <c r="A1229" s="158" t="s">
        <v>642</v>
      </c>
      <c r="B1229" s="158" t="s">
        <v>643</v>
      </c>
      <c r="C1229" s="158" t="s">
        <v>16</v>
      </c>
      <c r="D1229" s="158" t="s">
        <v>17</v>
      </c>
      <c r="E1229" s="157">
        <v>216</v>
      </c>
      <c r="F1229" s="158" t="s">
        <v>525</v>
      </c>
      <c r="G1229" s="159">
        <v>1700153.28</v>
      </c>
      <c r="H1229" s="159">
        <v>0</v>
      </c>
      <c r="I1229" s="159">
        <v>855511.2</v>
      </c>
      <c r="J1229" s="159">
        <v>50.3</v>
      </c>
      <c r="K1229" t="str">
        <f>VLOOKUP($C1229,Lists!$C$3:$M$118,7,FALSE)</f>
        <v>Beers</v>
      </c>
      <c r="S1229" s="4"/>
      <c r="T1229" s="4"/>
      <c r="U1229" s="5"/>
      <c r="V1229" s="5"/>
    </row>
    <row r="1230" spans="1:22" x14ac:dyDescent="0.25">
      <c r="A1230" s="158" t="s">
        <v>642</v>
      </c>
      <c r="B1230" s="158" t="s">
        <v>643</v>
      </c>
      <c r="C1230" s="158" t="s">
        <v>20</v>
      </c>
      <c r="D1230" s="158" t="s">
        <v>21</v>
      </c>
      <c r="E1230" s="157">
        <v>144</v>
      </c>
      <c r="F1230" s="158" t="s">
        <v>525</v>
      </c>
      <c r="G1230" s="159">
        <v>580710.24</v>
      </c>
      <c r="H1230" s="159">
        <v>0</v>
      </c>
      <c r="I1230" s="159">
        <v>250273.44</v>
      </c>
      <c r="J1230" s="159">
        <v>43.1</v>
      </c>
      <c r="K1230" t="str">
        <f>VLOOKUP($C1230,Lists!$C$3:$M$118,7,FALSE)</f>
        <v>COKE_RGB</v>
      </c>
      <c r="S1230" s="4"/>
      <c r="T1230" s="4"/>
      <c r="U1230" s="5"/>
      <c r="V1230" s="5"/>
    </row>
    <row r="1231" spans="1:22" x14ac:dyDescent="0.25">
      <c r="A1231" s="158" t="s">
        <v>642</v>
      </c>
      <c r="B1231" s="158" t="s">
        <v>643</v>
      </c>
      <c r="C1231" s="158" t="s">
        <v>22</v>
      </c>
      <c r="D1231" s="158" t="s">
        <v>23</v>
      </c>
      <c r="E1231" s="157">
        <v>72</v>
      </c>
      <c r="F1231" s="158" t="s">
        <v>525</v>
      </c>
      <c r="G1231" s="159">
        <v>290355.12</v>
      </c>
      <c r="H1231" s="159">
        <v>0</v>
      </c>
      <c r="I1231" s="159">
        <v>120185.28</v>
      </c>
      <c r="J1231" s="159">
        <v>41.4</v>
      </c>
      <c r="K1231" t="str">
        <f>VLOOKUP($C1231,Lists!$C$3:$M$118,7,FALSE)</f>
        <v>COKE_RGB</v>
      </c>
      <c r="S1231" s="4"/>
      <c r="T1231" s="4"/>
      <c r="U1231" s="5"/>
      <c r="V1231" s="5"/>
    </row>
    <row r="1232" spans="1:22" x14ac:dyDescent="0.25">
      <c r="A1232" s="158" t="s">
        <v>642</v>
      </c>
      <c r="B1232" s="158" t="s">
        <v>643</v>
      </c>
      <c r="C1232" s="158" t="s">
        <v>24</v>
      </c>
      <c r="D1232" s="158" t="s">
        <v>25</v>
      </c>
      <c r="E1232" s="157">
        <v>72</v>
      </c>
      <c r="F1232" s="158" t="s">
        <v>525</v>
      </c>
      <c r="G1232" s="159">
        <v>472265.28</v>
      </c>
      <c r="H1232" s="159">
        <v>0</v>
      </c>
      <c r="I1232" s="159">
        <v>231919.92</v>
      </c>
      <c r="J1232" s="159">
        <v>49.1</v>
      </c>
      <c r="K1232" t="str">
        <f>VLOOKUP($C1232,Lists!$C$3:$M$118,7,FALSE)</f>
        <v>Beers</v>
      </c>
      <c r="S1232" s="4"/>
      <c r="T1232" s="4"/>
      <c r="U1232" s="5"/>
      <c r="V1232" s="5"/>
    </row>
    <row r="1233" spans="1:22" x14ac:dyDescent="0.25">
      <c r="A1233" s="158" t="s">
        <v>642</v>
      </c>
      <c r="B1233" s="158" t="s">
        <v>643</v>
      </c>
      <c r="C1233" s="158" t="s">
        <v>37</v>
      </c>
      <c r="D1233" s="158" t="s">
        <v>38</v>
      </c>
      <c r="E1233" s="157">
        <v>72</v>
      </c>
      <c r="F1233" s="158" t="s">
        <v>525</v>
      </c>
      <c r="G1233" s="159">
        <v>241962.48</v>
      </c>
      <c r="H1233" s="159">
        <v>0</v>
      </c>
      <c r="I1233" s="159">
        <v>115732.8</v>
      </c>
      <c r="J1233" s="159">
        <v>47.8</v>
      </c>
      <c r="K1233" t="str">
        <f>VLOOKUP($C1233,Lists!$C$3:$M$118,7,FALSE)</f>
        <v>SOBO_RGB</v>
      </c>
      <c r="S1233" s="4"/>
      <c r="T1233" s="4"/>
      <c r="U1233" s="5"/>
      <c r="V1233" s="5"/>
    </row>
    <row r="1234" spans="1:22" x14ac:dyDescent="0.25">
      <c r="A1234" s="158" t="s">
        <v>642</v>
      </c>
      <c r="B1234" s="158" t="s">
        <v>643</v>
      </c>
      <c r="C1234" s="158" t="s">
        <v>45</v>
      </c>
      <c r="D1234" s="158" t="s">
        <v>46</v>
      </c>
      <c r="E1234" s="157">
        <v>71</v>
      </c>
      <c r="F1234" s="158" t="s">
        <v>525</v>
      </c>
      <c r="G1234" s="159">
        <v>286322.40999999997</v>
      </c>
      <c r="H1234" s="159">
        <v>0</v>
      </c>
      <c r="I1234" s="159">
        <v>143714.65</v>
      </c>
      <c r="J1234" s="159">
        <v>50.2</v>
      </c>
      <c r="K1234" t="str">
        <f>VLOOKUP($C1234,Lists!$C$3:$M$118,7,FALSE)</f>
        <v>SOBO_RGB</v>
      </c>
      <c r="S1234" s="4"/>
      <c r="T1234" s="4"/>
      <c r="U1234" s="5"/>
      <c r="V1234" s="5"/>
    </row>
    <row r="1235" spans="1:22" x14ac:dyDescent="0.25">
      <c r="A1235" s="158" t="s">
        <v>644</v>
      </c>
      <c r="B1235" s="158" t="s">
        <v>645</v>
      </c>
      <c r="C1235" s="158" t="s">
        <v>12</v>
      </c>
      <c r="D1235" s="158" t="s">
        <v>13</v>
      </c>
      <c r="E1235" s="157">
        <v>432</v>
      </c>
      <c r="F1235" s="158" t="s">
        <v>525</v>
      </c>
      <c r="G1235" s="159">
        <v>2833591.68</v>
      </c>
      <c r="H1235" s="159">
        <v>0</v>
      </c>
      <c r="I1235" s="159">
        <v>1267915.67</v>
      </c>
      <c r="J1235" s="159">
        <v>44.7</v>
      </c>
      <c r="K1235" t="str">
        <f>VLOOKUP($C1235,Lists!$C$3:$M$118,7,FALSE)</f>
        <v>Beers</v>
      </c>
      <c r="S1235" s="4"/>
      <c r="T1235" s="4"/>
      <c r="U1235" s="5"/>
      <c r="V1235" s="5"/>
    </row>
    <row r="1236" spans="1:22" x14ac:dyDescent="0.25">
      <c r="A1236" s="158" t="s">
        <v>644</v>
      </c>
      <c r="B1236" s="158" t="s">
        <v>645</v>
      </c>
      <c r="C1236" s="158" t="s">
        <v>14</v>
      </c>
      <c r="D1236" s="158" t="s">
        <v>15</v>
      </c>
      <c r="E1236" s="157">
        <v>72</v>
      </c>
      <c r="F1236" s="158" t="s">
        <v>525</v>
      </c>
      <c r="G1236" s="159">
        <v>566717.76</v>
      </c>
      <c r="H1236" s="159">
        <v>0</v>
      </c>
      <c r="I1236" s="159">
        <v>285170.40000000002</v>
      </c>
      <c r="J1236" s="159">
        <v>50.3</v>
      </c>
      <c r="K1236" t="str">
        <f>VLOOKUP($C1236,Lists!$C$3:$M$118,7,FALSE)</f>
        <v>Beers</v>
      </c>
      <c r="S1236" s="4"/>
      <c r="T1236" s="4"/>
      <c r="U1236" s="5"/>
      <c r="V1236" s="5"/>
    </row>
    <row r="1237" spans="1:22" x14ac:dyDescent="0.25">
      <c r="A1237" s="158" t="s">
        <v>644</v>
      </c>
      <c r="B1237" s="158" t="s">
        <v>645</v>
      </c>
      <c r="C1237" s="158" t="s">
        <v>16</v>
      </c>
      <c r="D1237" s="158" t="s">
        <v>17</v>
      </c>
      <c r="E1237" s="157">
        <v>360</v>
      </c>
      <c r="F1237" s="158" t="s">
        <v>525</v>
      </c>
      <c r="G1237" s="159">
        <v>2833588.8</v>
      </c>
      <c r="H1237" s="159">
        <v>0</v>
      </c>
      <c r="I1237" s="159">
        <v>1425852</v>
      </c>
      <c r="J1237" s="159">
        <v>50.3</v>
      </c>
      <c r="K1237" t="str">
        <f>VLOOKUP($C1237,Lists!$C$3:$M$118,7,FALSE)</f>
        <v>Beers</v>
      </c>
      <c r="S1237" s="4"/>
      <c r="T1237" s="4"/>
      <c r="U1237" s="5"/>
      <c r="V1237" s="5"/>
    </row>
    <row r="1238" spans="1:22" x14ac:dyDescent="0.25">
      <c r="A1238" s="158" t="s">
        <v>644</v>
      </c>
      <c r="B1238" s="158" t="s">
        <v>645</v>
      </c>
      <c r="C1238" s="158" t="s">
        <v>18</v>
      </c>
      <c r="D1238" s="158" t="s">
        <v>19</v>
      </c>
      <c r="E1238" s="157">
        <v>72</v>
      </c>
      <c r="F1238" s="158" t="s">
        <v>525</v>
      </c>
      <c r="G1238" s="159">
        <v>755623.44</v>
      </c>
      <c r="H1238" s="159">
        <v>0</v>
      </c>
      <c r="I1238" s="159">
        <v>398539.44</v>
      </c>
      <c r="J1238" s="159">
        <v>52.7</v>
      </c>
      <c r="K1238" t="str">
        <f>VLOOKUP($C1238,Lists!$C$3:$M$118,7,FALSE)</f>
        <v>Beers</v>
      </c>
      <c r="S1238" s="4"/>
      <c r="T1238" s="4"/>
      <c r="U1238" s="5"/>
      <c r="V1238" s="5"/>
    </row>
    <row r="1239" spans="1:22" x14ac:dyDescent="0.25">
      <c r="A1239" s="158" t="s">
        <v>644</v>
      </c>
      <c r="B1239" s="158" t="s">
        <v>645</v>
      </c>
      <c r="C1239" s="158" t="s">
        <v>20</v>
      </c>
      <c r="D1239" s="158" t="s">
        <v>21</v>
      </c>
      <c r="E1239" s="157">
        <v>216</v>
      </c>
      <c r="F1239" s="158" t="s">
        <v>525</v>
      </c>
      <c r="G1239" s="159">
        <v>871065.36</v>
      </c>
      <c r="H1239" s="159">
        <v>0</v>
      </c>
      <c r="I1239" s="159">
        <v>375410.16</v>
      </c>
      <c r="J1239" s="159">
        <v>43.1</v>
      </c>
      <c r="K1239" t="str">
        <f>VLOOKUP($C1239,Lists!$C$3:$M$118,7,FALSE)</f>
        <v>COKE_RGB</v>
      </c>
      <c r="S1239" s="4"/>
      <c r="T1239" s="4"/>
      <c r="U1239" s="5"/>
      <c r="V1239" s="5"/>
    </row>
    <row r="1240" spans="1:22" x14ac:dyDescent="0.25">
      <c r="A1240" s="158" t="s">
        <v>644</v>
      </c>
      <c r="B1240" s="158" t="s">
        <v>645</v>
      </c>
      <c r="C1240" s="158" t="s">
        <v>22</v>
      </c>
      <c r="D1240" s="158" t="s">
        <v>23</v>
      </c>
      <c r="E1240" s="157">
        <v>72</v>
      </c>
      <c r="F1240" s="158" t="s">
        <v>525</v>
      </c>
      <c r="G1240" s="159">
        <v>290355.12</v>
      </c>
      <c r="H1240" s="159">
        <v>0</v>
      </c>
      <c r="I1240" s="159">
        <v>120185.28</v>
      </c>
      <c r="J1240" s="159">
        <v>41.4</v>
      </c>
      <c r="K1240" t="str">
        <f>VLOOKUP($C1240,Lists!$C$3:$M$118,7,FALSE)</f>
        <v>COKE_RGB</v>
      </c>
      <c r="S1240" s="4"/>
      <c r="T1240" s="4"/>
      <c r="U1240" s="5"/>
      <c r="V1240" s="5"/>
    </row>
    <row r="1241" spans="1:22" x14ac:dyDescent="0.25">
      <c r="A1241" s="158" t="s">
        <v>644</v>
      </c>
      <c r="B1241" s="158" t="s">
        <v>645</v>
      </c>
      <c r="C1241" s="158" t="s">
        <v>24</v>
      </c>
      <c r="D1241" s="158" t="s">
        <v>25</v>
      </c>
      <c r="E1241" s="157">
        <v>72</v>
      </c>
      <c r="F1241" s="158" t="s">
        <v>525</v>
      </c>
      <c r="G1241" s="159">
        <v>472265.28</v>
      </c>
      <c r="H1241" s="159">
        <v>0</v>
      </c>
      <c r="I1241" s="159">
        <v>231919.92</v>
      </c>
      <c r="J1241" s="159">
        <v>49.1</v>
      </c>
      <c r="K1241" t="str">
        <f>VLOOKUP($C1241,Lists!$C$3:$M$118,7,FALSE)</f>
        <v>Beers</v>
      </c>
      <c r="S1241" s="4"/>
      <c r="T1241" s="4"/>
      <c r="U1241" s="5"/>
      <c r="V1241" s="5"/>
    </row>
    <row r="1242" spans="1:22" x14ac:dyDescent="0.25">
      <c r="A1242" s="158" t="s">
        <v>644</v>
      </c>
      <c r="B1242" s="158" t="s">
        <v>645</v>
      </c>
      <c r="C1242" s="158" t="s">
        <v>39</v>
      </c>
      <c r="D1242" s="158" t="s">
        <v>40</v>
      </c>
      <c r="E1242" s="157">
        <v>72</v>
      </c>
      <c r="F1242" s="158" t="s">
        <v>525</v>
      </c>
      <c r="G1242" s="159">
        <v>241962.48</v>
      </c>
      <c r="H1242" s="159">
        <v>0</v>
      </c>
      <c r="I1242" s="159">
        <v>114749.28</v>
      </c>
      <c r="J1242" s="159">
        <v>47.4</v>
      </c>
      <c r="K1242" t="str">
        <f>VLOOKUP($C1242,Lists!$C$3:$M$118,7,FALSE)</f>
        <v>SOBO_RGB</v>
      </c>
      <c r="S1242" s="4"/>
      <c r="T1242" s="4"/>
      <c r="U1242" s="5"/>
      <c r="V1242" s="5"/>
    </row>
    <row r="1243" spans="1:22" x14ac:dyDescent="0.25">
      <c r="A1243" s="158" t="s">
        <v>646</v>
      </c>
      <c r="B1243" s="158" t="s">
        <v>647</v>
      </c>
      <c r="C1243" s="158" t="s">
        <v>12</v>
      </c>
      <c r="D1243" s="158" t="s">
        <v>13</v>
      </c>
      <c r="E1243" s="157">
        <v>288</v>
      </c>
      <c r="F1243" s="158" t="s">
        <v>525</v>
      </c>
      <c r="G1243" s="159">
        <v>1889061.12</v>
      </c>
      <c r="H1243" s="159">
        <v>0</v>
      </c>
      <c r="I1243" s="159">
        <v>845277.12</v>
      </c>
      <c r="J1243" s="159">
        <v>44.7</v>
      </c>
      <c r="K1243" t="str">
        <f>VLOOKUP($C1243,Lists!$C$3:$M$118,7,FALSE)</f>
        <v>Beers</v>
      </c>
      <c r="S1243" s="4"/>
      <c r="T1243" s="4"/>
      <c r="U1243" s="5"/>
      <c r="V1243" s="5"/>
    </row>
    <row r="1244" spans="1:22" x14ac:dyDescent="0.25">
      <c r="A1244" s="158" t="s">
        <v>646</v>
      </c>
      <c r="B1244" s="158" t="s">
        <v>647</v>
      </c>
      <c r="C1244" s="158" t="s">
        <v>14</v>
      </c>
      <c r="D1244" s="158" t="s">
        <v>15</v>
      </c>
      <c r="E1244" s="157">
        <v>72</v>
      </c>
      <c r="F1244" s="158" t="s">
        <v>525</v>
      </c>
      <c r="G1244" s="159">
        <v>566717.76</v>
      </c>
      <c r="H1244" s="159">
        <v>0</v>
      </c>
      <c r="I1244" s="159">
        <v>285170.40000000002</v>
      </c>
      <c r="J1244" s="159">
        <v>50.3</v>
      </c>
      <c r="K1244" t="str">
        <f>VLOOKUP($C1244,Lists!$C$3:$M$118,7,FALSE)</f>
        <v>Beers</v>
      </c>
      <c r="S1244" s="4"/>
      <c r="T1244" s="4"/>
      <c r="U1244" s="5"/>
      <c r="V1244" s="5"/>
    </row>
    <row r="1245" spans="1:22" x14ac:dyDescent="0.25">
      <c r="A1245" s="158" t="s">
        <v>646</v>
      </c>
      <c r="B1245" s="158" t="s">
        <v>647</v>
      </c>
      <c r="C1245" s="158" t="s">
        <v>16</v>
      </c>
      <c r="D1245" s="158" t="s">
        <v>17</v>
      </c>
      <c r="E1245" s="157">
        <v>72</v>
      </c>
      <c r="F1245" s="158" t="s">
        <v>525</v>
      </c>
      <c r="G1245" s="159">
        <v>566717.76</v>
      </c>
      <c r="H1245" s="159">
        <v>0</v>
      </c>
      <c r="I1245" s="159">
        <v>285170.40000000002</v>
      </c>
      <c r="J1245" s="159">
        <v>50.3</v>
      </c>
      <c r="K1245" t="str">
        <f>VLOOKUP($C1245,Lists!$C$3:$M$118,7,FALSE)</f>
        <v>Beers</v>
      </c>
      <c r="S1245" s="4"/>
      <c r="T1245" s="4"/>
      <c r="U1245" s="5"/>
      <c r="V1245" s="5"/>
    </row>
    <row r="1246" spans="1:22" x14ac:dyDescent="0.25">
      <c r="A1246" s="158" t="s">
        <v>646</v>
      </c>
      <c r="B1246" s="158" t="s">
        <v>647</v>
      </c>
      <c r="C1246" s="158" t="s">
        <v>18</v>
      </c>
      <c r="D1246" s="158" t="s">
        <v>19</v>
      </c>
      <c r="E1246" s="157">
        <v>72</v>
      </c>
      <c r="F1246" s="158" t="s">
        <v>525</v>
      </c>
      <c r="G1246" s="159">
        <v>755623.44</v>
      </c>
      <c r="H1246" s="159">
        <v>0</v>
      </c>
      <c r="I1246" s="159">
        <v>398539.44</v>
      </c>
      <c r="J1246" s="159">
        <v>52.7</v>
      </c>
      <c r="K1246" t="str">
        <f>VLOOKUP($C1246,Lists!$C$3:$M$118,7,FALSE)</f>
        <v>Beers</v>
      </c>
      <c r="S1246" s="4"/>
      <c r="T1246" s="4"/>
      <c r="U1246" s="5"/>
      <c r="V1246" s="5"/>
    </row>
    <row r="1247" spans="1:22" x14ac:dyDescent="0.25">
      <c r="A1247" s="158" t="s">
        <v>646</v>
      </c>
      <c r="B1247" s="158" t="s">
        <v>647</v>
      </c>
      <c r="C1247" s="158" t="s">
        <v>20</v>
      </c>
      <c r="D1247" s="158" t="s">
        <v>21</v>
      </c>
      <c r="E1247" s="157">
        <v>216</v>
      </c>
      <c r="F1247" s="158" t="s">
        <v>525</v>
      </c>
      <c r="G1247" s="159">
        <v>871065.36</v>
      </c>
      <c r="H1247" s="159">
        <v>0</v>
      </c>
      <c r="I1247" s="159">
        <v>375410.16</v>
      </c>
      <c r="J1247" s="159">
        <v>43.1</v>
      </c>
      <c r="K1247" t="str">
        <f>VLOOKUP($C1247,Lists!$C$3:$M$118,7,FALSE)</f>
        <v>COKE_RGB</v>
      </c>
      <c r="S1247" s="4"/>
      <c r="T1247" s="4"/>
      <c r="U1247" s="5"/>
      <c r="V1247" s="5"/>
    </row>
    <row r="1248" spans="1:22" x14ac:dyDescent="0.25">
      <c r="A1248" s="158" t="s">
        <v>646</v>
      </c>
      <c r="B1248" s="158" t="s">
        <v>647</v>
      </c>
      <c r="C1248" s="158" t="s">
        <v>22</v>
      </c>
      <c r="D1248" s="158" t="s">
        <v>23</v>
      </c>
      <c r="E1248" s="157">
        <v>72</v>
      </c>
      <c r="F1248" s="158" t="s">
        <v>525</v>
      </c>
      <c r="G1248" s="159">
        <v>290355.12</v>
      </c>
      <c r="H1248" s="159">
        <v>0</v>
      </c>
      <c r="I1248" s="159">
        <v>120185.28</v>
      </c>
      <c r="J1248" s="159">
        <v>41.4</v>
      </c>
      <c r="K1248" t="str">
        <f>VLOOKUP($C1248,Lists!$C$3:$M$118,7,FALSE)</f>
        <v>COKE_RGB</v>
      </c>
      <c r="S1248" s="4"/>
      <c r="T1248" s="4"/>
      <c r="U1248" s="5"/>
      <c r="V1248" s="5"/>
    </row>
    <row r="1249" spans="1:22" x14ac:dyDescent="0.25">
      <c r="A1249" s="158" t="s">
        <v>646</v>
      </c>
      <c r="B1249" s="158" t="s">
        <v>647</v>
      </c>
      <c r="C1249" s="158" t="s">
        <v>261</v>
      </c>
      <c r="D1249" s="158" t="s">
        <v>538</v>
      </c>
      <c r="E1249" s="157">
        <v>72</v>
      </c>
      <c r="F1249" s="158" t="s">
        <v>525</v>
      </c>
      <c r="G1249" s="159">
        <v>290355.12</v>
      </c>
      <c r="H1249" s="159">
        <v>0</v>
      </c>
      <c r="I1249" s="159">
        <v>120185.28</v>
      </c>
      <c r="J1249" s="159">
        <v>41.4</v>
      </c>
      <c r="K1249" t="str">
        <f>VLOOKUP($C1249,Lists!$C$3:$M$118,7,FALSE)</f>
        <v>COKE_RGB</v>
      </c>
      <c r="S1249" s="4"/>
      <c r="T1249" s="4"/>
      <c r="U1249" s="5"/>
      <c r="V1249" s="5"/>
    </row>
    <row r="1250" spans="1:22" x14ac:dyDescent="0.25">
      <c r="A1250" s="158" t="s">
        <v>646</v>
      </c>
      <c r="B1250" s="158" t="s">
        <v>647</v>
      </c>
      <c r="C1250" s="158" t="s">
        <v>29</v>
      </c>
      <c r="D1250" s="158" t="s">
        <v>30</v>
      </c>
      <c r="E1250" s="157">
        <v>15</v>
      </c>
      <c r="F1250" s="158" t="s">
        <v>525</v>
      </c>
      <c r="G1250" s="159">
        <v>556063.35</v>
      </c>
      <c r="H1250" s="159">
        <v>0</v>
      </c>
      <c r="I1250" s="159">
        <v>166063.35</v>
      </c>
      <c r="J1250" s="159">
        <v>29.9</v>
      </c>
      <c r="K1250" t="str">
        <f>VLOOKUP($C1250,Lists!$C$3:$M$118,7,FALSE)</f>
        <v>Spirits</v>
      </c>
      <c r="S1250" s="4"/>
      <c r="T1250" s="4"/>
      <c r="U1250" s="5"/>
      <c r="V1250" s="5"/>
    </row>
    <row r="1251" spans="1:22" x14ac:dyDescent="0.25">
      <c r="A1251" s="158" t="s">
        <v>646</v>
      </c>
      <c r="B1251" s="158" t="s">
        <v>647</v>
      </c>
      <c r="C1251" s="158" t="s">
        <v>37</v>
      </c>
      <c r="D1251" s="158" t="s">
        <v>38</v>
      </c>
      <c r="E1251" s="157">
        <v>72</v>
      </c>
      <c r="F1251" s="158" t="s">
        <v>525</v>
      </c>
      <c r="G1251" s="159">
        <v>241962.48</v>
      </c>
      <c r="H1251" s="159">
        <v>0</v>
      </c>
      <c r="I1251" s="159">
        <v>115732.8</v>
      </c>
      <c r="J1251" s="159">
        <v>47.8</v>
      </c>
      <c r="K1251" t="str">
        <f>VLOOKUP($C1251,Lists!$C$3:$M$118,7,FALSE)</f>
        <v>SOBO_RGB</v>
      </c>
      <c r="S1251" s="4"/>
      <c r="T1251" s="4"/>
      <c r="U1251" s="5"/>
      <c r="V1251" s="5"/>
    </row>
    <row r="1252" spans="1:22" x14ac:dyDescent="0.25">
      <c r="A1252" s="158" t="s">
        <v>646</v>
      </c>
      <c r="B1252" s="158" t="s">
        <v>647</v>
      </c>
      <c r="C1252" s="158" t="s">
        <v>45</v>
      </c>
      <c r="D1252" s="158" t="s">
        <v>46</v>
      </c>
      <c r="E1252" s="157">
        <v>72</v>
      </c>
      <c r="F1252" s="158" t="s">
        <v>525</v>
      </c>
      <c r="G1252" s="159">
        <v>290355.12</v>
      </c>
      <c r="H1252" s="159">
        <v>0</v>
      </c>
      <c r="I1252" s="159">
        <v>145738.79999999999</v>
      </c>
      <c r="J1252" s="159">
        <v>50.2</v>
      </c>
      <c r="K1252" t="str">
        <f>VLOOKUP($C1252,Lists!$C$3:$M$118,7,FALSE)</f>
        <v>SOBO_RGB</v>
      </c>
      <c r="S1252" s="4"/>
      <c r="T1252" s="4"/>
      <c r="U1252" s="5"/>
      <c r="V1252" s="5"/>
    </row>
    <row r="1253" spans="1:22" x14ac:dyDescent="0.25">
      <c r="A1253" s="158" t="s">
        <v>646</v>
      </c>
      <c r="B1253" s="158" t="s">
        <v>647</v>
      </c>
      <c r="C1253" s="158" t="s">
        <v>47</v>
      </c>
      <c r="D1253" s="158" t="s">
        <v>48</v>
      </c>
      <c r="E1253" s="157">
        <v>72</v>
      </c>
      <c r="F1253" s="158" t="s">
        <v>525</v>
      </c>
      <c r="G1253" s="159">
        <v>290355.12</v>
      </c>
      <c r="H1253" s="159">
        <v>0</v>
      </c>
      <c r="I1253" s="159">
        <v>129744.72</v>
      </c>
      <c r="J1253" s="159">
        <v>44.7</v>
      </c>
      <c r="K1253" t="str">
        <f>VLOOKUP($C1253,Lists!$C$3:$M$118,7,FALSE)</f>
        <v>COKE_RGB</v>
      </c>
      <c r="S1253" s="4"/>
      <c r="T1253" s="4"/>
      <c r="U1253" s="5"/>
      <c r="V1253" s="5"/>
    </row>
    <row r="1254" spans="1:22" x14ac:dyDescent="0.25">
      <c r="A1254" s="158" t="s">
        <v>648</v>
      </c>
      <c r="B1254" s="158" t="s">
        <v>649</v>
      </c>
      <c r="C1254" s="158" t="s">
        <v>12</v>
      </c>
      <c r="D1254" s="158" t="s">
        <v>13</v>
      </c>
      <c r="E1254" s="157">
        <v>720</v>
      </c>
      <c r="F1254" s="158" t="s">
        <v>525</v>
      </c>
      <c r="G1254" s="159">
        <v>4722652.8</v>
      </c>
      <c r="H1254" s="159">
        <v>0</v>
      </c>
      <c r="I1254" s="159">
        <v>2113192.79</v>
      </c>
      <c r="J1254" s="159">
        <v>44.7</v>
      </c>
      <c r="K1254" t="str">
        <f>VLOOKUP($C1254,Lists!$C$3:$M$118,7,FALSE)</f>
        <v>Beers</v>
      </c>
      <c r="S1254" s="4"/>
      <c r="T1254" s="4"/>
      <c r="U1254" s="5"/>
      <c r="V1254" s="5"/>
    </row>
    <row r="1255" spans="1:22" x14ac:dyDescent="0.25">
      <c r="A1255" s="158" t="s">
        <v>648</v>
      </c>
      <c r="B1255" s="158" t="s">
        <v>649</v>
      </c>
      <c r="C1255" s="158" t="s">
        <v>16</v>
      </c>
      <c r="D1255" s="158" t="s">
        <v>17</v>
      </c>
      <c r="E1255" s="157">
        <v>72</v>
      </c>
      <c r="F1255" s="158" t="s">
        <v>525</v>
      </c>
      <c r="G1255" s="159">
        <v>566717.76</v>
      </c>
      <c r="H1255" s="159">
        <v>0</v>
      </c>
      <c r="I1255" s="159">
        <v>285170.40000000002</v>
      </c>
      <c r="J1255" s="159">
        <v>50.3</v>
      </c>
      <c r="K1255" t="str">
        <f>VLOOKUP($C1255,Lists!$C$3:$M$118,7,FALSE)</f>
        <v>Beers</v>
      </c>
      <c r="S1255" s="4"/>
      <c r="T1255" s="4"/>
      <c r="U1255" s="5"/>
      <c r="V1255" s="5"/>
    </row>
    <row r="1256" spans="1:22" x14ac:dyDescent="0.25">
      <c r="A1256" s="158" t="s">
        <v>648</v>
      </c>
      <c r="B1256" s="158" t="s">
        <v>649</v>
      </c>
      <c r="C1256" s="158" t="s">
        <v>20</v>
      </c>
      <c r="D1256" s="158" t="s">
        <v>21</v>
      </c>
      <c r="E1256" s="157">
        <v>72</v>
      </c>
      <c r="F1256" s="158" t="s">
        <v>525</v>
      </c>
      <c r="G1256" s="159">
        <v>290355.12</v>
      </c>
      <c r="H1256" s="159">
        <v>0</v>
      </c>
      <c r="I1256" s="159">
        <v>125136.71</v>
      </c>
      <c r="J1256" s="159">
        <v>43.1</v>
      </c>
      <c r="K1256" t="str">
        <f>VLOOKUP($C1256,Lists!$C$3:$M$118,7,FALSE)</f>
        <v>COKE_RGB</v>
      </c>
      <c r="S1256" s="4"/>
      <c r="T1256" s="4"/>
      <c r="U1256" s="5"/>
      <c r="V1256" s="5"/>
    </row>
    <row r="1257" spans="1:22" x14ac:dyDescent="0.25">
      <c r="A1257" s="158" t="s">
        <v>648</v>
      </c>
      <c r="B1257" s="158" t="s">
        <v>649</v>
      </c>
      <c r="C1257" s="158" t="s">
        <v>22</v>
      </c>
      <c r="D1257" s="158" t="s">
        <v>23</v>
      </c>
      <c r="E1257" s="157">
        <v>72</v>
      </c>
      <c r="F1257" s="158" t="s">
        <v>525</v>
      </c>
      <c r="G1257" s="159">
        <v>290355.12</v>
      </c>
      <c r="H1257" s="159">
        <v>0</v>
      </c>
      <c r="I1257" s="159">
        <v>120185.28</v>
      </c>
      <c r="J1257" s="159">
        <v>41.4</v>
      </c>
      <c r="K1257" t="str">
        <f>VLOOKUP($C1257,Lists!$C$3:$M$118,7,FALSE)</f>
        <v>COKE_RGB</v>
      </c>
      <c r="S1257" s="4"/>
      <c r="T1257" s="4"/>
      <c r="U1257" s="5"/>
      <c r="V1257" s="5"/>
    </row>
    <row r="1258" spans="1:22" x14ac:dyDescent="0.25">
      <c r="A1258" s="158" t="s">
        <v>648</v>
      </c>
      <c r="B1258" s="158" t="s">
        <v>649</v>
      </c>
      <c r="C1258" s="158" t="s">
        <v>29</v>
      </c>
      <c r="D1258" s="158" t="s">
        <v>30</v>
      </c>
      <c r="E1258" s="157">
        <v>2</v>
      </c>
      <c r="F1258" s="158" t="s">
        <v>525</v>
      </c>
      <c r="G1258" s="159">
        <v>74141.78</v>
      </c>
      <c r="H1258" s="159">
        <v>0</v>
      </c>
      <c r="I1258" s="159">
        <v>22141.78</v>
      </c>
      <c r="J1258" s="159">
        <v>29.9</v>
      </c>
      <c r="K1258" t="str">
        <f>VLOOKUP($C1258,Lists!$C$3:$M$118,7,FALSE)</f>
        <v>Spirits</v>
      </c>
      <c r="S1258" s="4"/>
      <c r="T1258" s="4"/>
      <c r="U1258" s="5"/>
      <c r="V1258" s="5"/>
    </row>
    <row r="1259" spans="1:22" x14ac:dyDescent="0.25">
      <c r="A1259" s="158" t="s">
        <v>648</v>
      </c>
      <c r="B1259" s="158" t="s">
        <v>649</v>
      </c>
      <c r="C1259" s="158" t="s">
        <v>37</v>
      </c>
      <c r="D1259" s="158" t="s">
        <v>38</v>
      </c>
      <c r="E1259" s="157">
        <v>72</v>
      </c>
      <c r="F1259" s="158" t="s">
        <v>525</v>
      </c>
      <c r="G1259" s="159">
        <v>241962.48</v>
      </c>
      <c r="H1259" s="159">
        <v>0</v>
      </c>
      <c r="I1259" s="159">
        <v>115732.8</v>
      </c>
      <c r="J1259" s="159">
        <v>47.8</v>
      </c>
      <c r="K1259" t="str">
        <f>VLOOKUP($C1259,Lists!$C$3:$M$118,7,FALSE)</f>
        <v>SOBO_RGB</v>
      </c>
      <c r="S1259" s="4"/>
      <c r="T1259" s="4"/>
      <c r="U1259" s="5"/>
      <c r="V1259" s="5"/>
    </row>
    <row r="1260" spans="1:22" x14ac:dyDescent="0.25">
      <c r="A1260" s="158" t="s">
        <v>648</v>
      </c>
      <c r="B1260" s="158" t="s">
        <v>649</v>
      </c>
      <c r="C1260" s="158" t="s">
        <v>39</v>
      </c>
      <c r="D1260" s="158" t="s">
        <v>40</v>
      </c>
      <c r="E1260" s="157">
        <v>72</v>
      </c>
      <c r="F1260" s="158" t="s">
        <v>525</v>
      </c>
      <c r="G1260" s="159">
        <v>241962.48</v>
      </c>
      <c r="H1260" s="159">
        <v>0</v>
      </c>
      <c r="I1260" s="159">
        <v>114749.28</v>
      </c>
      <c r="J1260" s="159">
        <v>47.4</v>
      </c>
      <c r="K1260" t="str">
        <f>VLOOKUP($C1260,Lists!$C$3:$M$118,7,FALSE)</f>
        <v>SOBO_RGB</v>
      </c>
      <c r="S1260" s="4"/>
      <c r="T1260" s="4"/>
      <c r="U1260" s="5"/>
      <c r="V1260" s="5"/>
    </row>
    <row r="1261" spans="1:22" x14ac:dyDescent="0.25">
      <c r="A1261" s="158" t="s">
        <v>650</v>
      </c>
      <c r="B1261" s="158" t="s">
        <v>651</v>
      </c>
      <c r="C1261" s="158" t="s">
        <v>12</v>
      </c>
      <c r="D1261" s="158" t="s">
        <v>13</v>
      </c>
      <c r="E1261" s="157">
        <v>360</v>
      </c>
      <c r="F1261" s="158" t="s">
        <v>525</v>
      </c>
      <c r="G1261" s="159">
        <v>2361326.4</v>
      </c>
      <c r="H1261" s="159">
        <v>0</v>
      </c>
      <c r="I1261" s="159">
        <v>1056596.3999999999</v>
      </c>
      <c r="J1261" s="159">
        <v>44.7</v>
      </c>
      <c r="K1261" t="str">
        <f>VLOOKUP($C1261,Lists!$C$3:$M$118,7,FALSE)</f>
        <v>Beers</v>
      </c>
      <c r="S1261" s="4"/>
      <c r="T1261" s="4"/>
      <c r="U1261" s="5"/>
      <c r="V1261" s="5"/>
    </row>
    <row r="1262" spans="1:22" x14ac:dyDescent="0.25">
      <c r="A1262" s="158" t="s">
        <v>650</v>
      </c>
      <c r="B1262" s="158" t="s">
        <v>651</v>
      </c>
      <c r="C1262" s="158" t="s">
        <v>16</v>
      </c>
      <c r="D1262" s="158" t="s">
        <v>17</v>
      </c>
      <c r="E1262" s="157">
        <v>72</v>
      </c>
      <c r="F1262" s="158" t="s">
        <v>525</v>
      </c>
      <c r="G1262" s="159">
        <v>566717.76</v>
      </c>
      <c r="H1262" s="159">
        <v>0</v>
      </c>
      <c r="I1262" s="159">
        <v>285170.40000000002</v>
      </c>
      <c r="J1262" s="159">
        <v>50.3</v>
      </c>
      <c r="K1262" t="str">
        <f>VLOOKUP($C1262,Lists!$C$3:$M$118,7,FALSE)</f>
        <v>Beers</v>
      </c>
      <c r="S1262" s="4"/>
      <c r="T1262" s="4"/>
      <c r="U1262" s="5"/>
      <c r="V1262" s="5"/>
    </row>
    <row r="1263" spans="1:22" x14ac:dyDescent="0.25">
      <c r="A1263" s="158" t="s">
        <v>650</v>
      </c>
      <c r="B1263" s="158" t="s">
        <v>651</v>
      </c>
      <c r="C1263" s="158" t="s">
        <v>20</v>
      </c>
      <c r="D1263" s="158" t="s">
        <v>21</v>
      </c>
      <c r="E1263" s="157">
        <v>72</v>
      </c>
      <c r="F1263" s="158" t="s">
        <v>525</v>
      </c>
      <c r="G1263" s="159">
        <v>290355.12</v>
      </c>
      <c r="H1263" s="159">
        <v>0</v>
      </c>
      <c r="I1263" s="159">
        <v>125136.72</v>
      </c>
      <c r="J1263" s="159">
        <v>43.1</v>
      </c>
      <c r="K1263" t="str">
        <f>VLOOKUP($C1263,Lists!$C$3:$M$118,7,FALSE)</f>
        <v>COKE_RGB</v>
      </c>
      <c r="S1263" s="4"/>
      <c r="T1263" s="4"/>
      <c r="U1263" s="5"/>
      <c r="V1263" s="5"/>
    </row>
    <row r="1264" spans="1:22" x14ac:dyDescent="0.25">
      <c r="A1264" s="158" t="s">
        <v>650</v>
      </c>
      <c r="B1264" s="158" t="s">
        <v>651</v>
      </c>
      <c r="C1264" s="158" t="s">
        <v>22</v>
      </c>
      <c r="D1264" s="158" t="s">
        <v>23</v>
      </c>
      <c r="E1264" s="157">
        <v>72</v>
      </c>
      <c r="F1264" s="158" t="s">
        <v>525</v>
      </c>
      <c r="G1264" s="159">
        <v>290355.12</v>
      </c>
      <c r="H1264" s="159">
        <v>0</v>
      </c>
      <c r="I1264" s="159">
        <v>120185.28</v>
      </c>
      <c r="J1264" s="159">
        <v>41.4</v>
      </c>
      <c r="K1264" t="str">
        <f>VLOOKUP($C1264,Lists!$C$3:$M$118,7,FALSE)</f>
        <v>COKE_RGB</v>
      </c>
      <c r="S1264" s="4"/>
      <c r="T1264" s="4"/>
      <c r="U1264" s="5"/>
      <c r="V1264" s="5"/>
    </row>
    <row r="1265" spans="1:22" x14ac:dyDescent="0.25">
      <c r="A1265" s="158" t="s">
        <v>650</v>
      </c>
      <c r="B1265" s="158" t="s">
        <v>651</v>
      </c>
      <c r="C1265" s="158" t="s">
        <v>24</v>
      </c>
      <c r="D1265" s="158" t="s">
        <v>25</v>
      </c>
      <c r="E1265" s="157">
        <v>72</v>
      </c>
      <c r="F1265" s="158" t="s">
        <v>525</v>
      </c>
      <c r="G1265" s="159">
        <v>472265.28</v>
      </c>
      <c r="H1265" s="159">
        <v>0</v>
      </c>
      <c r="I1265" s="159">
        <v>231919.92</v>
      </c>
      <c r="J1265" s="159">
        <v>49.1</v>
      </c>
      <c r="K1265" t="str">
        <f>VLOOKUP($C1265,Lists!$C$3:$M$118,7,FALSE)</f>
        <v>Beers</v>
      </c>
      <c r="S1265" s="4"/>
      <c r="T1265" s="4"/>
      <c r="U1265" s="5"/>
      <c r="V1265" s="5"/>
    </row>
    <row r="1266" spans="1:22" x14ac:dyDescent="0.25">
      <c r="A1266" s="158" t="s">
        <v>650</v>
      </c>
      <c r="B1266" s="158" t="s">
        <v>651</v>
      </c>
      <c r="C1266" s="158" t="s">
        <v>39</v>
      </c>
      <c r="D1266" s="158" t="s">
        <v>40</v>
      </c>
      <c r="E1266" s="157">
        <v>72</v>
      </c>
      <c r="F1266" s="158" t="s">
        <v>525</v>
      </c>
      <c r="G1266" s="159">
        <v>241962.48</v>
      </c>
      <c r="H1266" s="159">
        <v>0</v>
      </c>
      <c r="I1266" s="159">
        <v>114749.28</v>
      </c>
      <c r="J1266" s="159">
        <v>47.4</v>
      </c>
      <c r="K1266" t="str">
        <f>VLOOKUP($C1266,Lists!$C$3:$M$118,7,FALSE)</f>
        <v>SOBO_RGB</v>
      </c>
      <c r="S1266" s="4"/>
      <c r="T1266" s="4"/>
      <c r="U1266" s="5"/>
      <c r="V1266" s="5"/>
    </row>
    <row r="1267" spans="1:22" x14ac:dyDescent="0.25">
      <c r="A1267" s="158" t="s">
        <v>652</v>
      </c>
      <c r="B1267" s="158" t="s">
        <v>653</v>
      </c>
      <c r="C1267" s="158" t="s">
        <v>12</v>
      </c>
      <c r="D1267" s="158" t="s">
        <v>13</v>
      </c>
      <c r="E1267" s="157">
        <v>288</v>
      </c>
      <c r="F1267" s="158" t="s">
        <v>525</v>
      </c>
      <c r="G1267" s="159">
        <v>1889061.12</v>
      </c>
      <c r="H1267" s="159">
        <v>0</v>
      </c>
      <c r="I1267" s="159">
        <v>845277.12</v>
      </c>
      <c r="J1267" s="159">
        <v>44.7</v>
      </c>
      <c r="K1267" t="str">
        <f>VLOOKUP($C1267,Lists!$C$3:$M$118,7,FALSE)</f>
        <v>Beers</v>
      </c>
      <c r="S1267" s="4"/>
      <c r="T1267" s="4"/>
      <c r="U1267" s="5"/>
      <c r="V1267" s="5"/>
    </row>
    <row r="1268" spans="1:22" x14ac:dyDescent="0.25">
      <c r="A1268" s="158" t="s">
        <v>652</v>
      </c>
      <c r="B1268" s="158" t="s">
        <v>653</v>
      </c>
      <c r="C1268" s="158" t="s">
        <v>14</v>
      </c>
      <c r="D1268" s="158" t="s">
        <v>15</v>
      </c>
      <c r="E1268" s="157">
        <v>72</v>
      </c>
      <c r="F1268" s="158" t="s">
        <v>525</v>
      </c>
      <c r="G1268" s="159">
        <v>566717.76</v>
      </c>
      <c r="H1268" s="159">
        <v>0</v>
      </c>
      <c r="I1268" s="159">
        <v>285170.40000000002</v>
      </c>
      <c r="J1268" s="159">
        <v>50.3</v>
      </c>
      <c r="K1268" t="str">
        <f>VLOOKUP($C1268,Lists!$C$3:$M$118,7,FALSE)</f>
        <v>Beers</v>
      </c>
      <c r="S1268" s="4"/>
      <c r="T1268" s="4"/>
      <c r="U1268" s="5"/>
      <c r="V1268" s="5"/>
    </row>
    <row r="1269" spans="1:22" x14ac:dyDescent="0.25">
      <c r="A1269" s="158" t="s">
        <v>652</v>
      </c>
      <c r="B1269" s="158" t="s">
        <v>653</v>
      </c>
      <c r="C1269" s="158" t="s">
        <v>16</v>
      </c>
      <c r="D1269" s="158" t="s">
        <v>17</v>
      </c>
      <c r="E1269" s="157">
        <v>216</v>
      </c>
      <c r="F1269" s="158" t="s">
        <v>525</v>
      </c>
      <c r="G1269" s="159">
        <v>1700153.28</v>
      </c>
      <c r="H1269" s="159">
        <v>0</v>
      </c>
      <c r="I1269" s="159">
        <v>855511.2</v>
      </c>
      <c r="J1269" s="159">
        <v>50.3</v>
      </c>
      <c r="K1269" t="str">
        <f>VLOOKUP($C1269,Lists!$C$3:$M$118,7,FALSE)</f>
        <v>Beers</v>
      </c>
      <c r="S1269" s="4"/>
      <c r="T1269" s="4"/>
      <c r="U1269" s="5"/>
      <c r="V1269" s="5"/>
    </row>
    <row r="1270" spans="1:22" x14ac:dyDescent="0.25">
      <c r="A1270" s="158" t="s">
        <v>652</v>
      </c>
      <c r="B1270" s="158" t="s">
        <v>653</v>
      </c>
      <c r="C1270" s="158" t="s">
        <v>20</v>
      </c>
      <c r="D1270" s="158" t="s">
        <v>21</v>
      </c>
      <c r="E1270" s="157">
        <v>288</v>
      </c>
      <c r="F1270" s="158" t="s">
        <v>525</v>
      </c>
      <c r="G1270" s="159">
        <v>1161420.48</v>
      </c>
      <c r="H1270" s="159">
        <v>0</v>
      </c>
      <c r="I1270" s="159">
        <v>500546.88</v>
      </c>
      <c r="J1270" s="159">
        <v>43.1</v>
      </c>
      <c r="K1270" t="str">
        <f>VLOOKUP($C1270,Lists!$C$3:$M$118,7,FALSE)</f>
        <v>COKE_RGB</v>
      </c>
      <c r="S1270" s="4"/>
      <c r="T1270" s="4"/>
      <c r="U1270" s="5"/>
      <c r="V1270" s="5"/>
    </row>
    <row r="1271" spans="1:22" x14ac:dyDescent="0.25">
      <c r="A1271" s="158" t="s">
        <v>652</v>
      </c>
      <c r="B1271" s="158" t="s">
        <v>653</v>
      </c>
      <c r="C1271" s="158" t="s">
        <v>24</v>
      </c>
      <c r="D1271" s="158" t="s">
        <v>25</v>
      </c>
      <c r="E1271" s="157">
        <v>72</v>
      </c>
      <c r="F1271" s="158" t="s">
        <v>525</v>
      </c>
      <c r="G1271" s="159">
        <v>472265.28</v>
      </c>
      <c r="H1271" s="159">
        <v>0</v>
      </c>
      <c r="I1271" s="159">
        <v>231919.92</v>
      </c>
      <c r="J1271" s="159">
        <v>49.1</v>
      </c>
      <c r="K1271" t="str">
        <f>VLOOKUP($C1271,Lists!$C$3:$M$118,7,FALSE)</f>
        <v>Beers</v>
      </c>
      <c r="S1271" s="4"/>
      <c r="T1271" s="4"/>
      <c r="U1271" s="5"/>
      <c r="V1271" s="5"/>
    </row>
    <row r="1272" spans="1:22" x14ac:dyDescent="0.25">
      <c r="A1272" s="158" t="s">
        <v>652</v>
      </c>
      <c r="B1272" s="158" t="s">
        <v>653</v>
      </c>
      <c r="C1272" s="158" t="s">
        <v>39</v>
      </c>
      <c r="D1272" s="158" t="s">
        <v>40</v>
      </c>
      <c r="E1272" s="157">
        <v>72</v>
      </c>
      <c r="F1272" s="158" t="s">
        <v>525</v>
      </c>
      <c r="G1272" s="159">
        <v>241962.48</v>
      </c>
      <c r="H1272" s="159">
        <v>0</v>
      </c>
      <c r="I1272" s="159">
        <v>114749.28</v>
      </c>
      <c r="J1272" s="159">
        <v>47.4</v>
      </c>
      <c r="K1272" t="str">
        <f>VLOOKUP($C1272,Lists!$C$3:$M$118,7,FALSE)</f>
        <v>SOBO_RGB</v>
      </c>
      <c r="S1272" s="4"/>
      <c r="T1272" s="4"/>
      <c r="U1272" s="5"/>
      <c r="V1272" s="5"/>
    </row>
    <row r="1273" spans="1:22" x14ac:dyDescent="0.25">
      <c r="A1273" s="158" t="s">
        <v>654</v>
      </c>
      <c r="B1273" s="158" t="s">
        <v>655</v>
      </c>
      <c r="C1273" s="158" t="s">
        <v>12</v>
      </c>
      <c r="D1273" s="158" t="s">
        <v>13</v>
      </c>
      <c r="E1273" s="157">
        <v>432</v>
      </c>
      <c r="F1273" s="158" t="s">
        <v>525</v>
      </c>
      <c r="G1273" s="159">
        <v>2833591.68</v>
      </c>
      <c r="H1273" s="159">
        <v>0</v>
      </c>
      <c r="I1273" s="159">
        <v>1267915.68</v>
      </c>
      <c r="J1273" s="159">
        <v>44.7</v>
      </c>
      <c r="K1273" t="str">
        <f>VLOOKUP($C1273,Lists!$C$3:$M$118,7,FALSE)</f>
        <v>Beers</v>
      </c>
      <c r="S1273" s="4"/>
      <c r="T1273" s="4"/>
      <c r="U1273" s="5"/>
      <c r="V1273" s="5"/>
    </row>
    <row r="1274" spans="1:22" x14ac:dyDescent="0.25">
      <c r="A1274" s="158" t="s">
        <v>654</v>
      </c>
      <c r="B1274" s="158" t="s">
        <v>655</v>
      </c>
      <c r="C1274" s="158" t="s">
        <v>14</v>
      </c>
      <c r="D1274" s="158" t="s">
        <v>15</v>
      </c>
      <c r="E1274" s="157">
        <v>144</v>
      </c>
      <c r="F1274" s="158" t="s">
        <v>525</v>
      </c>
      <c r="G1274" s="159">
        <v>1133435.52</v>
      </c>
      <c r="H1274" s="159">
        <v>0</v>
      </c>
      <c r="I1274" s="159">
        <v>570340.80000000005</v>
      </c>
      <c r="J1274" s="159">
        <v>50.3</v>
      </c>
      <c r="K1274" t="str">
        <f>VLOOKUP($C1274,Lists!$C$3:$M$118,7,FALSE)</f>
        <v>Beers</v>
      </c>
      <c r="S1274" s="4"/>
      <c r="T1274" s="4"/>
      <c r="U1274" s="5"/>
      <c r="V1274" s="5"/>
    </row>
    <row r="1275" spans="1:22" x14ac:dyDescent="0.25">
      <c r="A1275" s="158" t="s">
        <v>654</v>
      </c>
      <c r="B1275" s="158" t="s">
        <v>655</v>
      </c>
      <c r="C1275" s="158" t="s">
        <v>16</v>
      </c>
      <c r="D1275" s="158" t="s">
        <v>17</v>
      </c>
      <c r="E1275" s="157">
        <v>360</v>
      </c>
      <c r="F1275" s="158" t="s">
        <v>525</v>
      </c>
      <c r="G1275" s="159">
        <v>2833588.8</v>
      </c>
      <c r="H1275" s="159">
        <v>0</v>
      </c>
      <c r="I1275" s="159">
        <v>1425852</v>
      </c>
      <c r="J1275" s="159">
        <v>50.3</v>
      </c>
      <c r="K1275" t="str">
        <f>VLOOKUP($C1275,Lists!$C$3:$M$118,7,FALSE)</f>
        <v>Beers</v>
      </c>
      <c r="S1275" s="4"/>
      <c r="T1275" s="4"/>
      <c r="U1275" s="5"/>
      <c r="V1275" s="5"/>
    </row>
    <row r="1276" spans="1:22" x14ac:dyDescent="0.25">
      <c r="A1276" s="158" t="s">
        <v>654</v>
      </c>
      <c r="B1276" s="158" t="s">
        <v>655</v>
      </c>
      <c r="C1276" s="158" t="s">
        <v>20</v>
      </c>
      <c r="D1276" s="158" t="s">
        <v>21</v>
      </c>
      <c r="E1276" s="157">
        <v>504</v>
      </c>
      <c r="F1276" s="158" t="s">
        <v>525</v>
      </c>
      <c r="G1276" s="159">
        <v>2032485.84</v>
      </c>
      <c r="H1276" s="159">
        <v>0</v>
      </c>
      <c r="I1276" s="159">
        <v>875957.04</v>
      </c>
      <c r="J1276" s="159">
        <v>43.1</v>
      </c>
      <c r="K1276" t="str">
        <f>VLOOKUP($C1276,Lists!$C$3:$M$118,7,FALSE)</f>
        <v>COKE_RGB</v>
      </c>
      <c r="S1276" s="4"/>
      <c r="T1276" s="4"/>
      <c r="U1276" s="5"/>
      <c r="V1276" s="5"/>
    </row>
    <row r="1277" spans="1:22" x14ac:dyDescent="0.25">
      <c r="A1277" s="158" t="s">
        <v>654</v>
      </c>
      <c r="B1277" s="158" t="s">
        <v>655</v>
      </c>
      <c r="C1277" s="158" t="s">
        <v>22</v>
      </c>
      <c r="D1277" s="158" t="s">
        <v>23</v>
      </c>
      <c r="E1277" s="157">
        <v>72</v>
      </c>
      <c r="F1277" s="158" t="s">
        <v>525</v>
      </c>
      <c r="G1277" s="159">
        <v>290355.12</v>
      </c>
      <c r="H1277" s="159">
        <v>0</v>
      </c>
      <c r="I1277" s="159">
        <v>120185.28</v>
      </c>
      <c r="J1277" s="159">
        <v>41.4</v>
      </c>
      <c r="K1277" t="str">
        <f>VLOOKUP($C1277,Lists!$C$3:$M$118,7,FALSE)</f>
        <v>COKE_RGB</v>
      </c>
      <c r="S1277" s="4"/>
      <c r="T1277" s="4"/>
      <c r="U1277" s="5"/>
      <c r="V1277" s="5"/>
    </row>
    <row r="1278" spans="1:22" x14ac:dyDescent="0.25">
      <c r="A1278" s="158" t="s">
        <v>656</v>
      </c>
      <c r="B1278" s="158" t="s">
        <v>657</v>
      </c>
      <c r="C1278" s="158" t="s">
        <v>12</v>
      </c>
      <c r="D1278" s="158" t="s">
        <v>13</v>
      </c>
      <c r="E1278" s="157">
        <v>648</v>
      </c>
      <c r="F1278" s="158" t="s">
        <v>525</v>
      </c>
      <c r="G1278" s="159">
        <v>4250387.5199999996</v>
      </c>
      <c r="H1278" s="159">
        <v>0</v>
      </c>
      <c r="I1278" s="159">
        <v>1901873.51</v>
      </c>
      <c r="J1278" s="159">
        <v>44.7</v>
      </c>
      <c r="K1278" t="str">
        <f>VLOOKUP($C1278,Lists!$C$3:$M$118,7,FALSE)</f>
        <v>Beers</v>
      </c>
      <c r="S1278" s="4"/>
      <c r="T1278" s="4"/>
      <c r="U1278" s="5"/>
      <c r="V1278" s="5"/>
    </row>
    <row r="1279" spans="1:22" x14ac:dyDescent="0.25">
      <c r="A1279" s="158" t="s">
        <v>656</v>
      </c>
      <c r="B1279" s="158" t="s">
        <v>657</v>
      </c>
      <c r="C1279" s="158" t="s">
        <v>14</v>
      </c>
      <c r="D1279" s="158" t="s">
        <v>15</v>
      </c>
      <c r="E1279" s="157">
        <v>288</v>
      </c>
      <c r="F1279" s="158" t="s">
        <v>525</v>
      </c>
      <c r="G1279" s="159">
        <v>2266871.04</v>
      </c>
      <c r="H1279" s="159">
        <v>0</v>
      </c>
      <c r="I1279" s="159">
        <v>1140681.6000000001</v>
      </c>
      <c r="J1279" s="159">
        <v>50.3</v>
      </c>
      <c r="K1279" t="str">
        <f>VLOOKUP($C1279,Lists!$C$3:$M$118,7,FALSE)</f>
        <v>Beers</v>
      </c>
      <c r="S1279" s="4"/>
      <c r="T1279" s="4"/>
      <c r="U1279" s="5"/>
      <c r="V1279" s="5"/>
    </row>
    <row r="1280" spans="1:22" x14ac:dyDescent="0.25">
      <c r="A1280" s="158" t="s">
        <v>656</v>
      </c>
      <c r="B1280" s="158" t="s">
        <v>657</v>
      </c>
      <c r="C1280" s="158" t="s">
        <v>16</v>
      </c>
      <c r="D1280" s="158" t="s">
        <v>17</v>
      </c>
      <c r="E1280" s="157">
        <v>576</v>
      </c>
      <c r="F1280" s="158" t="s">
        <v>525</v>
      </c>
      <c r="G1280" s="159">
        <v>4533742.08</v>
      </c>
      <c r="H1280" s="159">
        <v>0</v>
      </c>
      <c r="I1280" s="159">
        <v>2281363.2000000002</v>
      </c>
      <c r="J1280" s="159">
        <v>50.3</v>
      </c>
      <c r="K1280" t="str">
        <f>VLOOKUP($C1280,Lists!$C$3:$M$118,7,FALSE)</f>
        <v>Beers</v>
      </c>
      <c r="S1280" s="4"/>
      <c r="T1280" s="4"/>
      <c r="U1280" s="5"/>
      <c r="V1280" s="5"/>
    </row>
    <row r="1281" spans="1:22" x14ac:dyDescent="0.25">
      <c r="A1281" s="158" t="s">
        <v>656</v>
      </c>
      <c r="B1281" s="158" t="s">
        <v>657</v>
      </c>
      <c r="C1281" s="158" t="s">
        <v>20</v>
      </c>
      <c r="D1281" s="158" t="s">
        <v>21</v>
      </c>
      <c r="E1281" s="157">
        <v>504</v>
      </c>
      <c r="F1281" s="158" t="s">
        <v>525</v>
      </c>
      <c r="G1281" s="159">
        <v>2032485.84</v>
      </c>
      <c r="H1281" s="159">
        <v>0</v>
      </c>
      <c r="I1281" s="159">
        <v>875957.04</v>
      </c>
      <c r="J1281" s="159">
        <v>43.1</v>
      </c>
      <c r="K1281" t="str">
        <f>VLOOKUP($C1281,Lists!$C$3:$M$118,7,FALSE)</f>
        <v>COKE_RGB</v>
      </c>
      <c r="S1281" s="4"/>
      <c r="T1281" s="4"/>
      <c r="U1281" s="5"/>
      <c r="V1281" s="5"/>
    </row>
    <row r="1282" spans="1:22" x14ac:dyDescent="0.25">
      <c r="A1282" s="158" t="s">
        <v>656</v>
      </c>
      <c r="B1282" s="158" t="s">
        <v>657</v>
      </c>
      <c r="C1282" s="158" t="s">
        <v>22</v>
      </c>
      <c r="D1282" s="158" t="s">
        <v>23</v>
      </c>
      <c r="E1282" s="157">
        <v>72</v>
      </c>
      <c r="F1282" s="158" t="s">
        <v>525</v>
      </c>
      <c r="G1282" s="159">
        <v>290355.12</v>
      </c>
      <c r="H1282" s="159">
        <v>0</v>
      </c>
      <c r="I1282" s="159">
        <v>120185.28</v>
      </c>
      <c r="J1282" s="159">
        <v>41.4</v>
      </c>
      <c r="K1282" t="str">
        <f>VLOOKUP($C1282,Lists!$C$3:$M$118,7,FALSE)</f>
        <v>COKE_RGB</v>
      </c>
      <c r="S1282" s="4"/>
      <c r="T1282" s="4"/>
      <c r="U1282" s="5"/>
      <c r="V1282" s="5"/>
    </row>
    <row r="1283" spans="1:22" x14ac:dyDescent="0.25">
      <c r="A1283" s="158" t="s">
        <v>656</v>
      </c>
      <c r="B1283" s="158" t="s">
        <v>657</v>
      </c>
      <c r="C1283" s="158" t="s">
        <v>29</v>
      </c>
      <c r="D1283" s="158" t="s">
        <v>30</v>
      </c>
      <c r="E1283" s="157">
        <v>50</v>
      </c>
      <c r="F1283" s="158" t="s">
        <v>525</v>
      </c>
      <c r="G1283" s="159">
        <v>1853544.5</v>
      </c>
      <c r="H1283" s="159">
        <v>0</v>
      </c>
      <c r="I1283" s="159">
        <v>553544.5</v>
      </c>
      <c r="J1283" s="159">
        <v>29.9</v>
      </c>
      <c r="K1283" t="str">
        <f>VLOOKUP($C1283,Lists!$C$3:$M$118,7,FALSE)</f>
        <v>Spirits</v>
      </c>
      <c r="S1283" s="4"/>
      <c r="T1283" s="4"/>
      <c r="U1283" s="5"/>
      <c r="V1283" s="5"/>
    </row>
    <row r="1284" spans="1:22" x14ac:dyDescent="0.25">
      <c r="A1284" s="158" t="s">
        <v>656</v>
      </c>
      <c r="B1284" s="158" t="s">
        <v>657</v>
      </c>
      <c r="C1284" s="158" t="s">
        <v>37</v>
      </c>
      <c r="D1284" s="158" t="s">
        <v>38</v>
      </c>
      <c r="E1284" s="157">
        <v>72</v>
      </c>
      <c r="F1284" s="158" t="s">
        <v>525</v>
      </c>
      <c r="G1284" s="159">
        <v>241962.48</v>
      </c>
      <c r="H1284" s="159">
        <v>0</v>
      </c>
      <c r="I1284" s="159">
        <v>115732.8</v>
      </c>
      <c r="J1284" s="159">
        <v>47.8</v>
      </c>
      <c r="K1284" t="str">
        <f>VLOOKUP($C1284,Lists!$C$3:$M$118,7,FALSE)</f>
        <v>SOBO_RGB</v>
      </c>
      <c r="S1284" s="4"/>
      <c r="T1284" s="4"/>
      <c r="U1284" s="5"/>
      <c r="V1284" s="5"/>
    </row>
    <row r="1285" spans="1:22" x14ac:dyDescent="0.25">
      <c r="A1285" s="158" t="s">
        <v>656</v>
      </c>
      <c r="B1285" s="158" t="s">
        <v>657</v>
      </c>
      <c r="C1285" s="158" t="s">
        <v>45</v>
      </c>
      <c r="D1285" s="158" t="s">
        <v>46</v>
      </c>
      <c r="E1285" s="157">
        <v>72</v>
      </c>
      <c r="F1285" s="158" t="s">
        <v>525</v>
      </c>
      <c r="G1285" s="159">
        <v>290355.12</v>
      </c>
      <c r="H1285" s="159">
        <v>0</v>
      </c>
      <c r="I1285" s="159">
        <v>145738.79999999999</v>
      </c>
      <c r="J1285" s="159">
        <v>50.2</v>
      </c>
      <c r="K1285" t="str">
        <f>VLOOKUP($C1285,Lists!$C$3:$M$118,7,FALSE)</f>
        <v>SOBO_RGB</v>
      </c>
      <c r="S1285" s="4"/>
      <c r="T1285" s="4"/>
      <c r="U1285" s="5"/>
      <c r="V1285" s="5"/>
    </row>
    <row r="1286" spans="1:22" x14ac:dyDescent="0.25">
      <c r="A1286" s="158" t="s">
        <v>658</v>
      </c>
      <c r="B1286" s="158" t="s">
        <v>659</v>
      </c>
      <c r="C1286" s="158" t="s">
        <v>12</v>
      </c>
      <c r="D1286" s="158" t="s">
        <v>13</v>
      </c>
      <c r="E1286" s="157">
        <v>216</v>
      </c>
      <c r="F1286" s="158" t="s">
        <v>525</v>
      </c>
      <c r="G1286" s="159">
        <v>1416795.84</v>
      </c>
      <c r="H1286" s="159">
        <v>0</v>
      </c>
      <c r="I1286" s="159">
        <v>633957.84</v>
      </c>
      <c r="J1286" s="159">
        <v>44.7</v>
      </c>
      <c r="K1286" t="str">
        <f>VLOOKUP($C1286,Lists!$C$3:$M$118,7,FALSE)</f>
        <v>Beers</v>
      </c>
      <c r="S1286" s="4"/>
      <c r="T1286" s="4"/>
      <c r="U1286" s="5"/>
      <c r="V1286" s="5"/>
    </row>
    <row r="1287" spans="1:22" x14ac:dyDescent="0.25">
      <c r="A1287" s="158" t="s">
        <v>658</v>
      </c>
      <c r="B1287" s="158" t="s">
        <v>659</v>
      </c>
      <c r="C1287" s="158" t="s">
        <v>16</v>
      </c>
      <c r="D1287" s="158" t="s">
        <v>17</v>
      </c>
      <c r="E1287" s="157">
        <v>72</v>
      </c>
      <c r="F1287" s="158" t="s">
        <v>525</v>
      </c>
      <c r="G1287" s="159">
        <v>566717.76</v>
      </c>
      <c r="H1287" s="159">
        <v>0</v>
      </c>
      <c r="I1287" s="159">
        <v>285170.40000000002</v>
      </c>
      <c r="J1287" s="159">
        <v>50.3</v>
      </c>
      <c r="K1287" t="str">
        <f>VLOOKUP($C1287,Lists!$C$3:$M$118,7,FALSE)</f>
        <v>Beers</v>
      </c>
      <c r="S1287" s="4"/>
      <c r="T1287" s="4"/>
      <c r="U1287" s="5"/>
      <c r="V1287" s="5"/>
    </row>
    <row r="1288" spans="1:22" x14ac:dyDescent="0.25">
      <c r="A1288" s="158" t="s">
        <v>658</v>
      </c>
      <c r="B1288" s="158" t="s">
        <v>659</v>
      </c>
      <c r="C1288" s="158" t="s">
        <v>20</v>
      </c>
      <c r="D1288" s="158" t="s">
        <v>21</v>
      </c>
      <c r="E1288" s="157">
        <v>144</v>
      </c>
      <c r="F1288" s="158" t="s">
        <v>525</v>
      </c>
      <c r="G1288" s="159">
        <v>580710.24</v>
      </c>
      <c r="H1288" s="159">
        <v>0</v>
      </c>
      <c r="I1288" s="159">
        <v>250273.44</v>
      </c>
      <c r="J1288" s="159">
        <v>43.1</v>
      </c>
      <c r="K1288" t="str">
        <f>VLOOKUP($C1288,Lists!$C$3:$M$118,7,FALSE)</f>
        <v>COKE_RGB</v>
      </c>
      <c r="S1288" s="4"/>
      <c r="T1288" s="4"/>
      <c r="U1288" s="5"/>
      <c r="V1288" s="5"/>
    </row>
    <row r="1289" spans="1:22" x14ac:dyDescent="0.25">
      <c r="A1289" s="158" t="s">
        <v>660</v>
      </c>
      <c r="B1289" s="158" t="s">
        <v>661</v>
      </c>
      <c r="C1289" s="158" t="s">
        <v>12</v>
      </c>
      <c r="D1289" s="158" t="s">
        <v>13</v>
      </c>
      <c r="E1289" s="157">
        <v>288</v>
      </c>
      <c r="F1289" s="158" t="s">
        <v>525</v>
      </c>
      <c r="G1289" s="159">
        <v>1889061.12</v>
      </c>
      <c r="H1289" s="159">
        <v>0</v>
      </c>
      <c r="I1289" s="159">
        <v>845277.12</v>
      </c>
      <c r="J1289" s="159">
        <v>44.7</v>
      </c>
      <c r="K1289" t="str">
        <f>VLOOKUP($C1289,Lists!$C$3:$M$118,7,FALSE)</f>
        <v>Beers</v>
      </c>
      <c r="S1289" s="4"/>
      <c r="T1289" s="4"/>
      <c r="U1289" s="5"/>
      <c r="V1289" s="5"/>
    </row>
    <row r="1290" spans="1:22" x14ac:dyDescent="0.25">
      <c r="A1290" s="158" t="s">
        <v>660</v>
      </c>
      <c r="B1290" s="158" t="s">
        <v>661</v>
      </c>
      <c r="C1290" s="158" t="s">
        <v>14</v>
      </c>
      <c r="D1290" s="158" t="s">
        <v>15</v>
      </c>
      <c r="E1290" s="157">
        <v>72</v>
      </c>
      <c r="F1290" s="158" t="s">
        <v>525</v>
      </c>
      <c r="G1290" s="159">
        <v>566717.76</v>
      </c>
      <c r="H1290" s="159">
        <v>0</v>
      </c>
      <c r="I1290" s="159">
        <v>285170.40000000002</v>
      </c>
      <c r="J1290" s="159">
        <v>50.3</v>
      </c>
      <c r="K1290" t="str">
        <f>VLOOKUP($C1290,Lists!$C$3:$M$118,7,FALSE)</f>
        <v>Beers</v>
      </c>
      <c r="S1290" s="4"/>
      <c r="T1290" s="4"/>
      <c r="U1290" s="5"/>
      <c r="V1290" s="5"/>
    </row>
    <row r="1291" spans="1:22" x14ac:dyDescent="0.25">
      <c r="A1291" s="158" t="s">
        <v>660</v>
      </c>
      <c r="B1291" s="158" t="s">
        <v>661</v>
      </c>
      <c r="C1291" s="158" t="s">
        <v>16</v>
      </c>
      <c r="D1291" s="158" t="s">
        <v>17</v>
      </c>
      <c r="E1291" s="157">
        <v>216</v>
      </c>
      <c r="F1291" s="158" t="s">
        <v>525</v>
      </c>
      <c r="G1291" s="159">
        <v>1700153.28</v>
      </c>
      <c r="H1291" s="159">
        <v>0</v>
      </c>
      <c r="I1291" s="159">
        <v>855511.2</v>
      </c>
      <c r="J1291" s="159">
        <v>50.3</v>
      </c>
      <c r="K1291" t="str">
        <f>VLOOKUP($C1291,Lists!$C$3:$M$118,7,FALSE)</f>
        <v>Beers</v>
      </c>
      <c r="S1291" s="4"/>
      <c r="T1291" s="4"/>
      <c r="U1291" s="5"/>
      <c r="V1291" s="5"/>
    </row>
    <row r="1292" spans="1:22" x14ac:dyDescent="0.25">
      <c r="A1292" s="158" t="s">
        <v>660</v>
      </c>
      <c r="B1292" s="158" t="s">
        <v>661</v>
      </c>
      <c r="C1292" s="158" t="s">
        <v>20</v>
      </c>
      <c r="D1292" s="158" t="s">
        <v>21</v>
      </c>
      <c r="E1292" s="157">
        <v>144</v>
      </c>
      <c r="F1292" s="158" t="s">
        <v>525</v>
      </c>
      <c r="G1292" s="159">
        <v>580710.24</v>
      </c>
      <c r="H1292" s="159">
        <v>0</v>
      </c>
      <c r="I1292" s="159">
        <v>250273.44</v>
      </c>
      <c r="J1292" s="159">
        <v>43.1</v>
      </c>
      <c r="K1292" t="str">
        <f>VLOOKUP($C1292,Lists!$C$3:$M$118,7,FALSE)</f>
        <v>COKE_RGB</v>
      </c>
      <c r="S1292" s="4"/>
      <c r="T1292" s="4"/>
      <c r="U1292" s="5"/>
      <c r="V1292" s="5"/>
    </row>
    <row r="1293" spans="1:22" x14ac:dyDescent="0.25">
      <c r="A1293" s="158" t="s">
        <v>662</v>
      </c>
      <c r="B1293" s="158" t="s">
        <v>663</v>
      </c>
      <c r="C1293" s="158" t="s">
        <v>12</v>
      </c>
      <c r="D1293" s="158" t="s">
        <v>13</v>
      </c>
      <c r="E1293" s="157">
        <v>288</v>
      </c>
      <c r="F1293" s="158" t="s">
        <v>525</v>
      </c>
      <c r="G1293" s="159">
        <v>1889061.12</v>
      </c>
      <c r="H1293" s="159">
        <v>0</v>
      </c>
      <c r="I1293" s="159">
        <v>845277.12</v>
      </c>
      <c r="J1293" s="159">
        <v>44.7</v>
      </c>
      <c r="K1293" t="str">
        <f>VLOOKUP($C1293,Lists!$C$3:$M$118,7,FALSE)</f>
        <v>Beers</v>
      </c>
      <c r="S1293" s="4"/>
      <c r="T1293" s="4"/>
      <c r="U1293" s="5"/>
      <c r="V1293" s="5"/>
    </row>
    <row r="1294" spans="1:22" x14ac:dyDescent="0.25">
      <c r="A1294" s="158" t="s">
        <v>662</v>
      </c>
      <c r="B1294" s="158" t="s">
        <v>663</v>
      </c>
      <c r="C1294" s="158" t="s">
        <v>14</v>
      </c>
      <c r="D1294" s="158" t="s">
        <v>15</v>
      </c>
      <c r="E1294" s="157">
        <v>72</v>
      </c>
      <c r="F1294" s="158" t="s">
        <v>525</v>
      </c>
      <c r="G1294" s="159">
        <v>566717.76</v>
      </c>
      <c r="H1294" s="159">
        <v>0</v>
      </c>
      <c r="I1294" s="159">
        <v>285170.40000000002</v>
      </c>
      <c r="J1294" s="159">
        <v>50.3</v>
      </c>
      <c r="K1294" t="str">
        <f>VLOOKUP($C1294,Lists!$C$3:$M$118,7,FALSE)</f>
        <v>Beers</v>
      </c>
      <c r="S1294" s="4"/>
      <c r="T1294" s="4"/>
      <c r="U1294" s="5"/>
      <c r="V1294" s="5"/>
    </row>
    <row r="1295" spans="1:22" x14ac:dyDescent="0.25">
      <c r="A1295" s="158" t="s">
        <v>662</v>
      </c>
      <c r="B1295" s="158" t="s">
        <v>663</v>
      </c>
      <c r="C1295" s="158" t="s">
        <v>16</v>
      </c>
      <c r="D1295" s="158" t="s">
        <v>17</v>
      </c>
      <c r="E1295" s="157">
        <v>432</v>
      </c>
      <c r="F1295" s="158" t="s">
        <v>525</v>
      </c>
      <c r="G1295" s="159">
        <v>3400306.56</v>
      </c>
      <c r="H1295" s="159">
        <v>0</v>
      </c>
      <c r="I1295" s="159">
        <v>1711022.4</v>
      </c>
      <c r="J1295" s="159">
        <v>50.3</v>
      </c>
      <c r="K1295" t="str">
        <f>VLOOKUP($C1295,Lists!$C$3:$M$118,7,FALSE)</f>
        <v>Beers</v>
      </c>
      <c r="S1295" s="4"/>
      <c r="T1295" s="4"/>
      <c r="U1295" s="5"/>
      <c r="V1295" s="5"/>
    </row>
    <row r="1296" spans="1:22" x14ac:dyDescent="0.25">
      <c r="A1296" s="158" t="s">
        <v>662</v>
      </c>
      <c r="B1296" s="158" t="s">
        <v>663</v>
      </c>
      <c r="C1296" s="158" t="s">
        <v>18</v>
      </c>
      <c r="D1296" s="158" t="s">
        <v>19</v>
      </c>
      <c r="E1296" s="157">
        <v>72</v>
      </c>
      <c r="F1296" s="158" t="s">
        <v>525</v>
      </c>
      <c r="G1296" s="159">
        <v>755623.44</v>
      </c>
      <c r="H1296" s="159">
        <v>0</v>
      </c>
      <c r="I1296" s="159">
        <v>398539.44</v>
      </c>
      <c r="J1296" s="159">
        <v>52.7</v>
      </c>
      <c r="K1296" t="str">
        <f>VLOOKUP($C1296,Lists!$C$3:$M$118,7,FALSE)</f>
        <v>Beers</v>
      </c>
      <c r="S1296" s="4"/>
      <c r="T1296" s="4"/>
      <c r="U1296" s="5"/>
      <c r="V1296" s="5"/>
    </row>
    <row r="1297" spans="1:22" x14ac:dyDescent="0.25">
      <c r="A1297" s="158" t="s">
        <v>662</v>
      </c>
      <c r="B1297" s="158" t="s">
        <v>663</v>
      </c>
      <c r="C1297" s="158" t="s">
        <v>20</v>
      </c>
      <c r="D1297" s="158" t="s">
        <v>21</v>
      </c>
      <c r="E1297" s="157">
        <v>360</v>
      </c>
      <c r="F1297" s="158" t="s">
        <v>525</v>
      </c>
      <c r="G1297" s="159">
        <v>1451775.6</v>
      </c>
      <c r="H1297" s="159">
        <v>0</v>
      </c>
      <c r="I1297" s="159">
        <v>625683.6</v>
      </c>
      <c r="J1297" s="159">
        <v>43.1</v>
      </c>
      <c r="K1297" t="str">
        <f>VLOOKUP($C1297,Lists!$C$3:$M$118,7,FALSE)</f>
        <v>COKE_RGB</v>
      </c>
      <c r="S1297" s="4"/>
      <c r="T1297" s="4"/>
      <c r="U1297" s="5"/>
      <c r="V1297" s="5"/>
    </row>
    <row r="1298" spans="1:22" x14ac:dyDescent="0.25">
      <c r="A1298" s="158" t="s">
        <v>662</v>
      </c>
      <c r="B1298" s="158" t="s">
        <v>663</v>
      </c>
      <c r="C1298" s="158" t="s">
        <v>59</v>
      </c>
      <c r="D1298" s="158" t="s">
        <v>60</v>
      </c>
      <c r="E1298" s="157">
        <v>72</v>
      </c>
      <c r="F1298" s="158" t="s">
        <v>525</v>
      </c>
      <c r="G1298" s="159">
        <v>290355.12</v>
      </c>
      <c r="H1298" s="159">
        <v>0</v>
      </c>
      <c r="I1298" s="159">
        <v>121410.72</v>
      </c>
      <c r="J1298" s="159">
        <v>41.8</v>
      </c>
      <c r="K1298" t="str">
        <f>VLOOKUP($C1298,Lists!$C$3:$M$118,7,FALSE)</f>
        <v>COKE_RGB</v>
      </c>
      <c r="S1298" s="4"/>
      <c r="T1298" s="4"/>
      <c r="U1298" s="5"/>
      <c r="V1298" s="5"/>
    </row>
    <row r="1299" spans="1:22" x14ac:dyDescent="0.25">
      <c r="A1299" s="158" t="s">
        <v>662</v>
      </c>
      <c r="B1299" s="158" t="s">
        <v>663</v>
      </c>
      <c r="C1299" s="158" t="s">
        <v>22</v>
      </c>
      <c r="D1299" s="158" t="s">
        <v>23</v>
      </c>
      <c r="E1299" s="157">
        <v>144</v>
      </c>
      <c r="F1299" s="158" t="s">
        <v>525</v>
      </c>
      <c r="G1299" s="159">
        <v>580710.24</v>
      </c>
      <c r="H1299" s="159">
        <v>0</v>
      </c>
      <c r="I1299" s="159">
        <v>240370.56</v>
      </c>
      <c r="J1299" s="159">
        <v>41.4</v>
      </c>
      <c r="K1299" t="str">
        <f>VLOOKUP($C1299,Lists!$C$3:$M$118,7,FALSE)</f>
        <v>COKE_RGB</v>
      </c>
      <c r="S1299" s="4"/>
      <c r="T1299" s="4"/>
      <c r="U1299" s="5"/>
      <c r="V1299" s="5"/>
    </row>
    <row r="1300" spans="1:22" x14ac:dyDescent="0.25">
      <c r="A1300" s="158" t="s">
        <v>662</v>
      </c>
      <c r="B1300" s="158" t="s">
        <v>663</v>
      </c>
      <c r="C1300" s="158" t="s">
        <v>24</v>
      </c>
      <c r="D1300" s="158" t="s">
        <v>25</v>
      </c>
      <c r="E1300" s="157">
        <v>72</v>
      </c>
      <c r="F1300" s="158" t="s">
        <v>525</v>
      </c>
      <c r="G1300" s="159">
        <v>472265.28</v>
      </c>
      <c r="H1300" s="159">
        <v>0</v>
      </c>
      <c r="I1300" s="159">
        <v>231919.92</v>
      </c>
      <c r="J1300" s="159">
        <v>49.1</v>
      </c>
      <c r="K1300" t="str">
        <f>VLOOKUP($C1300,Lists!$C$3:$M$118,7,FALSE)</f>
        <v>Beers</v>
      </c>
      <c r="S1300" s="4"/>
      <c r="T1300" s="4"/>
      <c r="U1300" s="5"/>
      <c r="V1300" s="5"/>
    </row>
    <row r="1301" spans="1:22" x14ac:dyDescent="0.25">
      <c r="A1301" s="158" t="s">
        <v>662</v>
      </c>
      <c r="B1301" s="158" t="s">
        <v>663</v>
      </c>
      <c r="C1301" s="158" t="s">
        <v>29</v>
      </c>
      <c r="D1301" s="158" t="s">
        <v>30</v>
      </c>
      <c r="E1301" s="157">
        <v>20</v>
      </c>
      <c r="F1301" s="158" t="s">
        <v>525</v>
      </c>
      <c r="G1301" s="159">
        <v>741417.8</v>
      </c>
      <c r="H1301" s="159">
        <v>0</v>
      </c>
      <c r="I1301" s="159">
        <v>221417.8</v>
      </c>
      <c r="J1301" s="159">
        <v>29.9</v>
      </c>
      <c r="K1301" t="str">
        <f>VLOOKUP($C1301,Lists!$C$3:$M$118,7,FALSE)</f>
        <v>Spirits</v>
      </c>
      <c r="S1301" s="4"/>
      <c r="T1301" s="4"/>
      <c r="U1301" s="5"/>
      <c r="V1301" s="5"/>
    </row>
    <row r="1302" spans="1:22" x14ac:dyDescent="0.25">
      <c r="A1302" s="158" t="s">
        <v>662</v>
      </c>
      <c r="B1302" s="158" t="s">
        <v>663</v>
      </c>
      <c r="C1302" s="158" t="s">
        <v>37</v>
      </c>
      <c r="D1302" s="158" t="s">
        <v>38</v>
      </c>
      <c r="E1302" s="157">
        <v>72</v>
      </c>
      <c r="F1302" s="158" t="s">
        <v>525</v>
      </c>
      <c r="G1302" s="159">
        <v>241962.48</v>
      </c>
      <c r="H1302" s="159">
        <v>0</v>
      </c>
      <c r="I1302" s="159">
        <v>115732.8</v>
      </c>
      <c r="J1302" s="159">
        <v>47.8</v>
      </c>
      <c r="K1302" t="str">
        <f>VLOOKUP($C1302,Lists!$C$3:$M$118,7,FALSE)</f>
        <v>SOBO_RGB</v>
      </c>
      <c r="S1302" s="4"/>
      <c r="T1302" s="4"/>
      <c r="U1302" s="5"/>
      <c r="V1302" s="5"/>
    </row>
    <row r="1303" spans="1:22" x14ac:dyDescent="0.25">
      <c r="A1303" s="158" t="s">
        <v>662</v>
      </c>
      <c r="B1303" s="158" t="s">
        <v>663</v>
      </c>
      <c r="C1303" s="158" t="s">
        <v>47</v>
      </c>
      <c r="D1303" s="158" t="s">
        <v>48</v>
      </c>
      <c r="E1303" s="157">
        <v>72</v>
      </c>
      <c r="F1303" s="158" t="s">
        <v>525</v>
      </c>
      <c r="G1303" s="159">
        <v>290355.12</v>
      </c>
      <c r="H1303" s="159">
        <v>0</v>
      </c>
      <c r="I1303" s="159">
        <v>129744.72</v>
      </c>
      <c r="J1303" s="159">
        <v>44.7</v>
      </c>
      <c r="K1303" t="str">
        <f>VLOOKUP($C1303,Lists!$C$3:$M$118,7,FALSE)</f>
        <v>COKE_RGB</v>
      </c>
      <c r="S1303" s="4"/>
      <c r="T1303" s="4"/>
      <c r="U1303" s="5"/>
      <c r="V1303" s="5"/>
    </row>
    <row r="1304" spans="1:22" x14ac:dyDescent="0.25">
      <c r="A1304" s="158" t="s">
        <v>664</v>
      </c>
      <c r="B1304" s="158" t="s">
        <v>665</v>
      </c>
      <c r="C1304" s="158" t="s">
        <v>12</v>
      </c>
      <c r="D1304" s="158" t="s">
        <v>13</v>
      </c>
      <c r="E1304" s="157">
        <v>360</v>
      </c>
      <c r="F1304" s="158" t="s">
        <v>525</v>
      </c>
      <c r="G1304" s="159">
        <v>2361326.4</v>
      </c>
      <c r="H1304" s="159">
        <v>0</v>
      </c>
      <c r="I1304" s="159">
        <v>1056596.3999999999</v>
      </c>
      <c r="J1304" s="159">
        <v>44.7</v>
      </c>
      <c r="K1304" t="str">
        <f>VLOOKUP($C1304,Lists!$C$3:$M$118,7,FALSE)</f>
        <v>Beers</v>
      </c>
      <c r="S1304" s="4"/>
      <c r="T1304" s="4"/>
      <c r="U1304" s="5"/>
      <c r="V1304" s="5"/>
    </row>
    <row r="1305" spans="1:22" x14ac:dyDescent="0.25">
      <c r="A1305" s="158" t="s">
        <v>664</v>
      </c>
      <c r="B1305" s="158" t="s">
        <v>665</v>
      </c>
      <c r="C1305" s="158" t="s">
        <v>14</v>
      </c>
      <c r="D1305" s="158" t="s">
        <v>15</v>
      </c>
      <c r="E1305" s="157">
        <v>72</v>
      </c>
      <c r="F1305" s="158" t="s">
        <v>525</v>
      </c>
      <c r="G1305" s="159">
        <v>566717.76</v>
      </c>
      <c r="H1305" s="159">
        <v>0</v>
      </c>
      <c r="I1305" s="159">
        <v>285170.40000000002</v>
      </c>
      <c r="J1305" s="159">
        <v>50.3</v>
      </c>
      <c r="K1305" t="str">
        <f>VLOOKUP($C1305,Lists!$C$3:$M$118,7,FALSE)</f>
        <v>Beers</v>
      </c>
      <c r="S1305" s="4"/>
      <c r="T1305" s="4"/>
      <c r="U1305" s="5"/>
      <c r="V1305" s="5"/>
    </row>
    <row r="1306" spans="1:22" x14ac:dyDescent="0.25">
      <c r="A1306" s="158" t="s">
        <v>664</v>
      </c>
      <c r="B1306" s="158" t="s">
        <v>665</v>
      </c>
      <c r="C1306" s="158" t="s">
        <v>16</v>
      </c>
      <c r="D1306" s="158" t="s">
        <v>17</v>
      </c>
      <c r="E1306" s="157">
        <v>72</v>
      </c>
      <c r="F1306" s="158" t="s">
        <v>525</v>
      </c>
      <c r="G1306" s="159">
        <v>566717.76</v>
      </c>
      <c r="H1306" s="159">
        <v>0</v>
      </c>
      <c r="I1306" s="159">
        <v>285170.40000000002</v>
      </c>
      <c r="J1306" s="159">
        <v>50.3</v>
      </c>
      <c r="K1306" t="str">
        <f>VLOOKUP($C1306,Lists!$C$3:$M$118,7,FALSE)</f>
        <v>Beers</v>
      </c>
      <c r="S1306" s="4"/>
      <c r="T1306" s="4"/>
      <c r="U1306" s="5"/>
      <c r="V1306" s="5"/>
    </row>
    <row r="1307" spans="1:22" x14ac:dyDescent="0.25">
      <c r="A1307" s="158" t="s">
        <v>664</v>
      </c>
      <c r="B1307" s="158" t="s">
        <v>665</v>
      </c>
      <c r="C1307" s="158" t="s">
        <v>20</v>
      </c>
      <c r="D1307" s="158" t="s">
        <v>21</v>
      </c>
      <c r="E1307" s="157">
        <v>144</v>
      </c>
      <c r="F1307" s="158" t="s">
        <v>525</v>
      </c>
      <c r="G1307" s="159">
        <v>580710.24</v>
      </c>
      <c r="H1307" s="159">
        <v>0</v>
      </c>
      <c r="I1307" s="159">
        <v>250273.44</v>
      </c>
      <c r="J1307" s="159">
        <v>43.1</v>
      </c>
      <c r="K1307" t="str">
        <f>VLOOKUP($C1307,Lists!$C$3:$M$118,7,FALSE)</f>
        <v>COKE_RGB</v>
      </c>
      <c r="S1307" s="4"/>
      <c r="T1307" s="4"/>
      <c r="U1307" s="5"/>
      <c r="V1307" s="5"/>
    </row>
    <row r="1308" spans="1:22" x14ac:dyDescent="0.25">
      <c r="A1308" s="158" t="s">
        <v>664</v>
      </c>
      <c r="B1308" s="158" t="s">
        <v>665</v>
      </c>
      <c r="C1308" s="158" t="s">
        <v>59</v>
      </c>
      <c r="D1308" s="158" t="s">
        <v>60</v>
      </c>
      <c r="E1308" s="157">
        <v>72</v>
      </c>
      <c r="F1308" s="158" t="s">
        <v>525</v>
      </c>
      <c r="G1308" s="159">
        <v>290355.12</v>
      </c>
      <c r="H1308" s="159">
        <v>0</v>
      </c>
      <c r="I1308" s="159">
        <v>121410.72</v>
      </c>
      <c r="J1308" s="159">
        <v>41.8</v>
      </c>
      <c r="K1308" t="str">
        <f>VLOOKUP($C1308,Lists!$C$3:$M$118,7,FALSE)</f>
        <v>COKE_RGB</v>
      </c>
      <c r="S1308" s="4"/>
      <c r="T1308" s="4"/>
      <c r="U1308" s="5"/>
      <c r="V1308" s="5"/>
    </row>
    <row r="1309" spans="1:22" x14ac:dyDescent="0.25">
      <c r="A1309" s="158" t="s">
        <v>664</v>
      </c>
      <c r="B1309" s="158" t="s">
        <v>665</v>
      </c>
      <c r="C1309" s="158" t="s">
        <v>22</v>
      </c>
      <c r="D1309" s="158" t="s">
        <v>23</v>
      </c>
      <c r="E1309" s="157">
        <v>72</v>
      </c>
      <c r="F1309" s="158" t="s">
        <v>525</v>
      </c>
      <c r="G1309" s="159">
        <v>290355.12</v>
      </c>
      <c r="H1309" s="159">
        <v>0</v>
      </c>
      <c r="I1309" s="159">
        <v>120185.28</v>
      </c>
      <c r="J1309" s="159">
        <v>41.4</v>
      </c>
      <c r="K1309" t="str">
        <f>VLOOKUP($C1309,Lists!$C$3:$M$118,7,FALSE)</f>
        <v>COKE_RGB</v>
      </c>
      <c r="S1309" s="4"/>
      <c r="T1309" s="4"/>
      <c r="U1309" s="5"/>
      <c r="V1309" s="5"/>
    </row>
    <row r="1310" spans="1:22" x14ac:dyDescent="0.25">
      <c r="A1310" s="158" t="s">
        <v>664</v>
      </c>
      <c r="B1310" s="158" t="s">
        <v>665</v>
      </c>
      <c r="C1310" s="158" t="s">
        <v>37</v>
      </c>
      <c r="D1310" s="158" t="s">
        <v>38</v>
      </c>
      <c r="E1310" s="157">
        <v>72</v>
      </c>
      <c r="F1310" s="158" t="s">
        <v>525</v>
      </c>
      <c r="G1310" s="159">
        <v>241962.48</v>
      </c>
      <c r="H1310" s="159">
        <v>0</v>
      </c>
      <c r="I1310" s="159">
        <v>115732.8</v>
      </c>
      <c r="J1310" s="159">
        <v>47.8</v>
      </c>
      <c r="K1310" t="str">
        <f>VLOOKUP($C1310,Lists!$C$3:$M$118,7,FALSE)</f>
        <v>SOBO_RGB</v>
      </c>
      <c r="S1310" s="4"/>
      <c r="T1310" s="4"/>
      <c r="U1310" s="5"/>
      <c r="V1310" s="5"/>
    </row>
    <row r="1311" spans="1:22" x14ac:dyDescent="0.25">
      <c r="A1311" s="158" t="s">
        <v>664</v>
      </c>
      <c r="B1311" s="158" t="s">
        <v>665</v>
      </c>
      <c r="C1311" s="158" t="s">
        <v>39</v>
      </c>
      <c r="D1311" s="158" t="s">
        <v>40</v>
      </c>
      <c r="E1311" s="157">
        <v>72</v>
      </c>
      <c r="F1311" s="158" t="s">
        <v>525</v>
      </c>
      <c r="G1311" s="159">
        <v>241962.48</v>
      </c>
      <c r="H1311" s="159">
        <v>0</v>
      </c>
      <c r="I1311" s="159">
        <v>114749.28</v>
      </c>
      <c r="J1311" s="159">
        <v>47.4</v>
      </c>
      <c r="K1311" t="str">
        <f>VLOOKUP($C1311,Lists!$C$3:$M$118,7,FALSE)</f>
        <v>SOBO_RGB</v>
      </c>
      <c r="S1311" s="4"/>
      <c r="T1311" s="4"/>
      <c r="U1311" s="5"/>
      <c r="V1311" s="5"/>
    </row>
    <row r="1312" spans="1:22" x14ac:dyDescent="0.25">
      <c r="A1312" s="158" t="s">
        <v>664</v>
      </c>
      <c r="B1312" s="158" t="s">
        <v>665</v>
      </c>
      <c r="C1312" s="158" t="s">
        <v>45</v>
      </c>
      <c r="D1312" s="158" t="s">
        <v>46</v>
      </c>
      <c r="E1312" s="157">
        <v>72</v>
      </c>
      <c r="F1312" s="158" t="s">
        <v>525</v>
      </c>
      <c r="G1312" s="159">
        <v>290355.12</v>
      </c>
      <c r="H1312" s="159">
        <v>0</v>
      </c>
      <c r="I1312" s="159">
        <v>145738.79999999999</v>
      </c>
      <c r="J1312" s="159">
        <v>50.2</v>
      </c>
      <c r="K1312" t="str">
        <f>VLOOKUP($C1312,Lists!$C$3:$M$118,7,FALSE)</f>
        <v>SOBO_RGB</v>
      </c>
      <c r="S1312" s="4"/>
      <c r="T1312" s="4"/>
      <c r="U1312" s="5"/>
      <c r="V1312" s="5"/>
    </row>
    <row r="1313" spans="1:22" x14ac:dyDescent="0.25">
      <c r="A1313" s="158" t="s">
        <v>664</v>
      </c>
      <c r="B1313" s="158" t="s">
        <v>665</v>
      </c>
      <c r="C1313" s="158" t="s">
        <v>47</v>
      </c>
      <c r="D1313" s="158" t="s">
        <v>48</v>
      </c>
      <c r="E1313" s="157">
        <v>72</v>
      </c>
      <c r="F1313" s="158" t="s">
        <v>525</v>
      </c>
      <c r="G1313" s="159">
        <v>290355.12</v>
      </c>
      <c r="H1313" s="159">
        <v>0</v>
      </c>
      <c r="I1313" s="159">
        <v>129744.72</v>
      </c>
      <c r="J1313" s="159">
        <v>44.7</v>
      </c>
      <c r="K1313" t="str">
        <f>VLOOKUP($C1313,Lists!$C$3:$M$118,7,FALSE)</f>
        <v>COKE_RGB</v>
      </c>
      <c r="S1313" s="4"/>
      <c r="T1313" s="4"/>
      <c r="U1313" s="5"/>
      <c r="V1313" s="5"/>
    </row>
    <row r="1314" spans="1:22" x14ac:dyDescent="0.25">
      <c r="A1314" s="158" t="s">
        <v>666</v>
      </c>
      <c r="B1314" s="158" t="s">
        <v>667</v>
      </c>
      <c r="C1314" s="158" t="s">
        <v>12</v>
      </c>
      <c r="D1314" s="158" t="s">
        <v>13</v>
      </c>
      <c r="E1314" s="157">
        <v>216</v>
      </c>
      <c r="F1314" s="158" t="s">
        <v>525</v>
      </c>
      <c r="G1314" s="159">
        <v>1416795.84</v>
      </c>
      <c r="H1314" s="159">
        <v>0</v>
      </c>
      <c r="I1314" s="159">
        <v>633957.84</v>
      </c>
      <c r="J1314" s="159">
        <v>44.7</v>
      </c>
      <c r="K1314" t="str">
        <f>VLOOKUP($C1314,Lists!$C$3:$M$118,7,FALSE)</f>
        <v>Beers</v>
      </c>
      <c r="S1314" s="4"/>
      <c r="T1314" s="4"/>
      <c r="U1314" s="5"/>
      <c r="V1314" s="5"/>
    </row>
    <row r="1315" spans="1:22" x14ac:dyDescent="0.25">
      <c r="A1315" s="158" t="s">
        <v>666</v>
      </c>
      <c r="B1315" s="158" t="s">
        <v>667</v>
      </c>
      <c r="C1315" s="158" t="s">
        <v>14</v>
      </c>
      <c r="D1315" s="158" t="s">
        <v>15</v>
      </c>
      <c r="E1315" s="157">
        <v>72</v>
      </c>
      <c r="F1315" s="158" t="s">
        <v>525</v>
      </c>
      <c r="G1315" s="159">
        <v>566717.76</v>
      </c>
      <c r="H1315" s="159">
        <v>0</v>
      </c>
      <c r="I1315" s="159">
        <v>285170.40000000002</v>
      </c>
      <c r="J1315" s="159">
        <v>50.3</v>
      </c>
      <c r="K1315" t="str">
        <f>VLOOKUP($C1315,Lists!$C$3:$M$118,7,FALSE)</f>
        <v>Beers</v>
      </c>
      <c r="S1315" s="4"/>
      <c r="T1315" s="4"/>
      <c r="U1315" s="5"/>
      <c r="V1315" s="5"/>
    </row>
    <row r="1316" spans="1:22" x14ac:dyDescent="0.25">
      <c r="A1316" s="158" t="s">
        <v>666</v>
      </c>
      <c r="B1316" s="158" t="s">
        <v>667</v>
      </c>
      <c r="C1316" s="158" t="s">
        <v>16</v>
      </c>
      <c r="D1316" s="158" t="s">
        <v>17</v>
      </c>
      <c r="E1316" s="157">
        <v>144</v>
      </c>
      <c r="F1316" s="158" t="s">
        <v>525</v>
      </c>
      <c r="G1316" s="159">
        <v>1133435.52</v>
      </c>
      <c r="H1316" s="159">
        <v>0</v>
      </c>
      <c r="I1316" s="159">
        <v>570340.80000000005</v>
      </c>
      <c r="J1316" s="159">
        <v>50.3</v>
      </c>
      <c r="K1316" t="str">
        <f>VLOOKUP($C1316,Lists!$C$3:$M$118,7,FALSE)</f>
        <v>Beers</v>
      </c>
      <c r="S1316" s="4"/>
      <c r="T1316" s="4"/>
      <c r="U1316" s="5"/>
      <c r="V1316" s="5"/>
    </row>
    <row r="1317" spans="1:22" x14ac:dyDescent="0.25">
      <c r="A1317" s="158" t="s">
        <v>666</v>
      </c>
      <c r="B1317" s="158" t="s">
        <v>667</v>
      </c>
      <c r="C1317" s="158" t="s">
        <v>20</v>
      </c>
      <c r="D1317" s="158" t="s">
        <v>21</v>
      </c>
      <c r="E1317" s="157">
        <v>144</v>
      </c>
      <c r="F1317" s="158" t="s">
        <v>525</v>
      </c>
      <c r="G1317" s="159">
        <v>580710.24</v>
      </c>
      <c r="H1317" s="159">
        <v>0</v>
      </c>
      <c r="I1317" s="159">
        <v>250273.44</v>
      </c>
      <c r="J1317" s="159">
        <v>43.1</v>
      </c>
      <c r="K1317" t="str">
        <f>VLOOKUP($C1317,Lists!$C$3:$M$118,7,FALSE)</f>
        <v>COKE_RGB</v>
      </c>
      <c r="S1317" s="4"/>
      <c r="T1317" s="4"/>
      <c r="U1317" s="5"/>
      <c r="V1317" s="5"/>
    </row>
    <row r="1318" spans="1:22" x14ac:dyDescent="0.25">
      <c r="A1318" s="158" t="s">
        <v>668</v>
      </c>
      <c r="B1318" s="158" t="s">
        <v>669</v>
      </c>
      <c r="C1318" s="158" t="s">
        <v>12</v>
      </c>
      <c r="D1318" s="158" t="s">
        <v>13</v>
      </c>
      <c r="E1318" s="157">
        <v>216</v>
      </c>
      <c r="F1318" s="158" t="s">
        <v>525</v>
      </c>
      <c r="G1318" s="159">
        <v>1416795.84</v>
      </c>
      <c r="H1318" s="159">
        <v>0</v>
      </c>
      <c r="I1318" s="159">
        <v>633957.84</v>
      </c>
      <c r="J1318" s="159">
        <v>44.7</v>
      </c>
      <c r="K1318" t="str">
        <f>VLOOKUP($C1318,Lists!$C$3:$M$118,7,FALSE)</f>
        <v>Beers</v>
      </c>
      <c r="S1318" s="4"/>
      <c r="T1318" s="4"/>
      <c r="U1318" s="5"/>
      <c r="V1318" s="5"/>
    </row>
    <row r="1319" spans="1:22" x14ac:dyDescent="0.25">
      <c r="A1319" s="158" t="s">
        <v>668</v>
      </c>
      <c r="B1319" s="158" t="s">
        <v>669</v>
      </c>
      <c r="C1319" s="158" t="s">
        <v>14</v>
      </c>
      <c r="D1319" s="158" t="s">
        <v>15</v>
      </c>
      <c r="E1319" s="157">
        <v>72</v>
      </c>
      <c r="F1319" s="158" t="s">
        <v>525</v>
      </c>
      <c r="G1319" s="159">
        <v>566717.76</v>
      </c>
      <c r="H1319" s="159">
        <v>0</v>
      </c>
      <c r="I1319" s="159">
        <v>285170.40000000002</v>
      </c>
      <c r="J1319" s="159">
        <v>50.3</v>
      </c>
      <c r="K1319" t="str">
        <f>VLOOKUP($C1319,Lists!$C$3:$M$118,7,FALSE)</f>
        <v>Beers</v>
      </c>
      <c r="S1319" s="4"/>
      <c r="T1319" s="4"/>
      <c r="U1319" s="5"/>
      <c r="V1319" s="5"/>
    </row>
    <row r="1320" spans="1:22" x14ac:dyDescent="0.25">
      <c r="A1320" s="158" t="s">
        <v>668</v>
      </c>
      <c r="B1320" s="158" t="s">
        <v>669</v>
      </c>
      <c r="C1320" s="158" t="s">
        <v>16</v>
      </c>
      <c r="D1320" s="158" t="s">
        <v>17</v>
      </c>
      <c r="E1320" s="157">
        <v>144</v>
      </c>
      <c r="F1320" s="158" t="s">
        <v>525</v>
      </c>
      <c r="G1320" s="159">
        <v>1133435.52</v>
      </c>
      <c r="H1320" s="159">
        <v>0</v>
      </c>
      <c r="I1320" s="159">
        <v>570340.80000000005</v>
      </c>
      <c r="J1320" s="159">
        <v>50.3</v>
      </c>
      <c r="K1320" t="str">
        <f>VLOOKUP($C1320,Lists!$C$3:$M$118,7,FALSE)</f>
        <v>Beers</v>
      </c>
      <c r="S1320" s="4"/>
      <c r="T1320" s="4"/>
      <c r="U1320" s="5"/>
      <c r="V1320" s="5"/>
    </row>
    <row r="1321" spans="1:22" x14ac:dyDescent="0.25">
      <c r="A1321" s="158" t="s">
        <v>668</v>
      </c>
      <c r="B1321" s="158" t="s">
        <v>669</v>
      </c>
      <c r="C1321" s="158" t="s">
        <v>20</v>
      </c>
      <c r="D1321" s="158" t="s">
        <v>21</v>
      </c>
      <c r="E1321" s="157">
        <v>72</v>
      </c>
      <c r="F1321" s="158" t="s">
        <v>525</v>
      </c>
      <c r="G1321" s="159">
        <v>290355.12</v>
      </c>
      <c r="H1321" s="159">
        <v>0</v>
      </c>
      <c r="I1321" s="159">
        <v>125136.72</v>
      </c>
      <c r="J1321" s="159">
        <v>43.1</v>
      </c>
      <c r="K1321" t="str">
        <f>VLOOKUP($C1321,Lists!$C$3:$M$118,7,FALSE)</f>
        <v>COKE_RGB</v>
      </c>
      <c r="S1321" s="4"/>
      <c r="T1321" s="4"/>
      <c r="U1321" s="5"/>
      <c r="V1321" s="5"/>
    </row>
    <row r="1322" spans="1:22" x14ac:dyDescent="0.25">
      <c r="A1322" s="158" t="s">
        <v>668</v>
      </c>
      <c r="B1322" s="158" t="s">
        <v>669</v>
      </c>
      <c r="C1322" s="158" t="s">
        <v>22</v>
      </c>
      <c r="D1322" s="158" t="s">
        <v>23</v>
      </c>
      <c r="E1322" s="157">
        <v>72</v>
      </c>
      <c r="F1322" s="158" t="s">
        <v>525</v>
      </c>
      <c r="G1322" s="159">
        <v>290355.12</v>
      </c>
      <c r="H1322" s="159">
        <v>0</v>
      </c>
      <c r="I1322" s="159">
        <v>120185.28</v>
      </c>
      <c r="J1322" s="159">
        <v>41.4</v>
      </c>
      <c r="K1322" t="str">
        <f>VLOOKUP($C1322,Lists!$C$3:$M$118,7,FALSE)</f>
        <v>COKE_RGB</v>
      </c>
      <c r="S1322" s="4"/>
      <c r="T1322" s="4"/>
      <c r="U1322" s="5"/>
      <c r="V1322" s="5"/>
    </row>
    <row r="1323" spans="1:22" x14ac:dyDescent="0.25">
      <c r="A1323" s="158" t="s">
        <v>668</v>
      </c>
      <c r="B1323" s="158" t="s">
        <v>669</v>
      </c>
      <c r="C1323" s="158" t="s">
        <v>29</v>
      </c>
      <c r="D1323" s="158" t="s">
        <v>30</v>
      </c>
      <c r="E1323" s="157">
        <v>6</v>
      </c>
      <c r="F1323" s="158" t="s">
        <v>525</v>
      </c>
      <c r="G1323" s="159">
        <v>222425.34</v>
      </c>
      <c r="H1323" s="159">
        <v>0</v>
      </c>
      <c r="I1323" s="159">
        <v>66425.34</v>
      </c>
      <c r="J1323" s="159">
        <v>29.9</v>
      </c>
      <c r="K1323" t="str">
        <f>VLOOKUP($C1323,Lists!$C$3:$M$118,7,FALSE)</f>
        <v>Spirits</v>
      </c>
      <c r="S1323" s="4"/>
      <c r="T1323" s="4"/>
      <c r="U1323" s="5"/>
      <c r="V1323" s="5"/>
    </row>
    <row r="1324" spans="1:22" x14ac:dyDescent="0.25">
      <c r="A1324" s="158" t="s">
        <v>668</v>
      </c>
      <c r="B1324" s="158" t="s">
        <v>669</v>
      </c>
      <c r="C1324" s="158" t="s">
        <v>37</v>
      </c>
      <c r="D1324" s="158" t="s">
        <v>38</v>
      </c>
      <c r="E1324" s="157">
        <v>72</v>
      </c>
      <c r="F1324" s="158" t="s">
        <v>525</v>
      </c>
      <c r="G1324" s="159">
        <v>241962.48</v>
      </c>
      <c r="H1324" s="159">
        <v>0</v>
      </c>
      <c r="I1324" s="159">
        <v>115732.8</v>
      </c>
      <c r="J1324" s="159">
        <v>47.8</v>
      </c>
      <c r="K1324" t="str">
        <f>VLOOKUP($C1324,Lists!$C$3:$M$118,7,FALSE)</f>
        <v>SOBO_RGB</v>
      </c>
      <c r="S1324" s="4"/>
      <c r="T1324" s="4"/>
      <c r="U1324" s="5"/>
      <c r="V1324" s="5"/>
    </row>
    <row r="1325" spans="1:22" x14ac:dyDescent="0.25">
      <c r="A1325" s="158" t="s">
        <v>670</v>
      </c>
      <c r="B1325" s="158" t="s">
        <v>671</v>
      </c>
      <c r="C1325" s="158" t="s">
        <v>12</v>
      </c>
      <c r="D1325" s="158" t="s">
        <v>13</v>
      </c>
      <c r="E1325" s="157">
        <v>360</v>
      </c>
      <c r="F1325" s="158" t="s">
        <v>525</v>
      </c>
      <c r="G1325" s="159">
        <v>2361326.4</v>
      </c>
      <c r="H1325" s="159">
        <v>0</v>
      </c>
      <c r="I1325" s="159">
        <v>1056596.3999999999</v>
      </c>
      <c r="J1325" s="159">
        <v>44.7</v>
      </c>
      <c r="K1325" t="str">
        <f>VLOOKUP($C1325,Lists!$C$3:$M$118,7,FALSE)</f>
        <v>Beers</v>
      </c>
      <c r="S1325" s="4"/>
      <c r="T1325" s="4"/>
      <c r="U1325" s="5"/>
      <c r="V1325" s="5"/>
    </row>
    <row r="1326" spans="1:22" x14ac:dyDescent="0.25">
      <c r="A1326" s="158" t="s">
        <v>670</v>
      </c>
      <c r="B1326" s="158" t="s">
        <v>671</v>
      </c>
      <c r="C1326" s="158" t="s">
        <v>16</v>
      </c>
      <c r="D1326" s="158" t="s">
        <v>17</v>
      </c>
      <c r="E1326" s="157">
        <v>288</v>
      </c>
      <c r="F1326" s="158" t="s">
        <v>525</v>
      </c>
      <c r="G1326" s="159">
        <v>2266871.04</v>
      </c>
      <c r="H1326" s="159">
        <v>0</v>
      </c>
      <c r="I1326" s="159">
        <v>1140681.6000000001</v>
      </c>
      <c r="J1326" s="159">
        <v>50.3</v>
      </c>
      <c r="K1326" t="str">
        <f>VLOOKUP($C1326,Lists!$C$3:$M$118,7,FALSE)</f>
        <v>Beers</v>
      </c>
      <c r="S1326" s="4"/>
      <c r="T1326" s="4"/>
      <c r="U1326" s="5"/>
      <c r="V1326" s="5"/>
    </row>
    <row r="1327" spans="1:22" x14ac:dyDescent="0.25">
      <c r="A1327" s="158" t="s">
        <v>670</v>
      </c>
      <c r="B1327" s="158" t="s">
        <v>671</v>
      </c>
      <c r="C1327" s="158" t="s">
        <v>20</v>
      </c>
      <c r="D1327" s="158" t="s">
        <v>21</v>
      </c>
      <c r="E1327" s="157">
        <v>144</v>
      </c>
      <c r="F1327" s="158" t="s">
        <v>525</v>
      </c>
      <c r="G1327" s="159">
        <v>580710.24</v>
      </c>
      <c r="H1327" s="159">
        <v>0</v>
      </c>
      <c r="I1327" s="159">
        <v>250273.44</v>
      </c>
      <c r="J1327" s="159">
        <v>43.1</v>
      </c>
      <c r="K1327" t="str">
        <f>VLOOKUP($C1327,Lists!$C$3:$M$118,7,FALSE)</f>
        <v>COKE_RGB</v>
      </c>
      <c r="S1327" s="4"/>
      <c r="T1327" s="4"/>
      <c r="U1327" s="5"/>
      <c r="V1327" s="5"/>
    </row>
    <row r="1328" spans="1:22" x14ac:dyDescent="0.25">
      <c r="A1328" s="158" t="s">
        <v>672</v>
      </c>
      <c r="B1328" s="158" t="s">
        <v>673</v>
      </c>
      <c r="C1328" s="158" t="s">
        <v>12</v>
      </c>
      <c r="D1328" s="158" t="s">
        <v>13</v>
      </c>
      <c r="E1328" s="157">
        <v>576</v>
      </c>
      <c r="F1328" s="158" t="s">
        <v>525</v>
      </c>
      <c r="G1328" s="159">
        <v>3778122.24</v>
      </c>
      <c r="H1328" s="159">
        <v>0</v>
      </c>
      <c r="I1328" s="159">
        <v>1690554.24</v>
      </c>
      <c r="J1328" s="159">
        <v>44.7</v>
      </c>
      <c r="K1328" t="str">
        <f>VLOOKUP($C1328,Lists!$C$3:$M$118,7,FALSE)</f>
        <v>Beers</v>
      </c>
      <c r="S1328" s="4"/>
      <c r="T1328" s="4"/>
      <c r="U1328" s="5"/>
      <c r="V1328" s="5"/>
    </row>
    <row r="1329" spans="1:22" x14ac:dyDescent="0.25">
      <c r="A1329" s="158" t="s">
        <v>672</v>
      </c>
      <c r="B1329" s="158" t="s">
        <v>673</v>
      </c>
      <c r="C1329" s="158" t="s">
        <v>16</v>
      </c>
      <c r="D1329" s="158" t="s">
        <v>17</v>
      </c>
      <c r="E1329" s="157">
        <v>648</v>
      </c>
      <c r="F1329" s="158" t="s">
        <v>525</v>
      </c>
      <c r="G1329" s="159">
        <v>5100459.84</v>
      </c>
      <c r="H1329" s="159">
        <v>0</v>
      </c>
      <c r="I1329" s="159">
        <v>2566533.6</v>
      </c>
      <c r="J1329" s="159">
        <v>50.3</v>
      </c>
      <c r="K1329" t="str">
        <f>VLOOKUP($C1329,Lists!$C$3:$M$118,7,FALSE)</f>
        <v>Beers</v>
      </c>
      <c r="S1329" s="4"/>
      <c r="T1329" s="4"/>
      <c r="U1329" s="5"/>
      <c r="V1329" s="5"/>
    </row>
    <row r="1330" spans="1:22" x14ac:dyDescent="0.25">
      <c r="A1330" s="158" t="s">
        <v>672</v>
      </c>
      <c r="B1330" s="158" t="s">
        <v>673</v>
      </c>
      <c r="C1330" s="158" t="s">
        <v>20</v>
      </c>
      <c r="D1330" s="158" t="s">
        <v>21</v>
      </c>
      <c r="E1330" s="157">
        <v>216</v>
      </c>
      <c r="F1330" s="158" t="s">
        <v>525</v>
      </c>
      <c r="G1330" s="159">
        <v>871065.36</v>
      </c>
      <c r="H1330" s="159">
        <v>0</v>
      </c>
      <c r="I1330" s="159">
        <v>375410.16</v>
      </c>
      <c r="J1330" s="159">
        <v>43.1</v>
      </c>
      <c r="K1330" t="str">
        <f>VLOOKUP($C1330,Lists!$C$3:$M$118,7,FALSE)</f>
        <v>COKE_RGB</v>
      </c>
      <c r="S1330" s="4"/>
      <c r="T1330" s="4"/>
      <c r="U1330" s="5"/>
      <c r="V1330" s="5"/>
    </row>
    <row r="1331" spans="1:22" x14ac:dyDescent="0.25">
      <c r="A1331" s="158" t="s">
        <v>672</v>
      </c>
      <c r="B1331" s="158" t="s">
        <v>673</v>
      </c>
      <c r="C1331" s="158" t="s">
        <v>22</v>
      </c>
      <c r="D1331" s="158" t="s">
        <v>23</v>
      </c>
      <c r="E1331" s="157">
        <v>144</v>
      </c>
      <c r="F1331" s="158" t="s">
        <v>525</v>
      </c>
      <c r="G1331" s="159">
        <v>580710.24</v>
      </c>
      <c r="H1331" s="159">
        <v>0</v>
      </c>
      <c r="I1331" s="159">
        <v>240370.56</v>
      </c>
      <c r="J1331" s="159">
        <v>41.4</v>
      </c>
      <c r="K1331" t="str">
        <f>VLOOKUP($C1331,Lists!$C$3:$M$118,7,FALSE)</f>
        <v>COKE_RGB</v>
      </c>
      <c r="S1331" s="4"/>
      <c r="T1331" s="4"/>
      <c r="U1331" s="5"/>
      <c r="V1331" s="5"/>
    </row>
    <row r="1332" spans="1:22" x14ac:dyDescent="0.25">
      <c r="A1332" s="158" t="s">
        <v>672</v>
      </c>
      <c r="B1332" s="158" t="s">
        <v>673</v>
      </c>
      <c r="C1332" s="158" t="s">
        <v>39</v>
      </c>
      <c r="D1332" s="158" t="s">
        <v>40</v>
      </c>
      <c r="E1332" s="157">
        <v>144</v>
      </c>
      <c r="F1332" s="158" t="s">
        <v>525</v>
      </c>
      <c r="G1332" s="159">
        <v>483924.96</v>
      </c>
      <c r="H1332" s="159">
        <v>0</v>
      </c>
      <c r="I1332" s="159">
        <v>229498.56</v>
      </c>
      <c r="J1332" s="159">
        <v>47.4</v>
      </c>
      <c r="K1332" t="str">
        <f>VLOOKUP($C1332,Lists!$C$3:$M$118,7,FALSE)</f>
        <v>SOBO_RGB</v>
      </c>
      <c r="S1332" s="4"/>
      <c r="T1332" s="4"/>
      <c r="U1332" s="5"/>
      <c r="V1332" s="5"/>
    </row>
    <row r="1333" spans="1:22" x14ac:dyDescent="0.25">
      <c r="A1333" s="158" t="s">
        <v>674</v>
      </c>
      <c r="B1333" s="158" t="s">
        <v>675</v>
      </c>
      <c r="C1333" s="158" t="s">
        <v>12</v>
      </c>
      <c r="D1333" s="158" t="s">
        <v>13</v>
      </c>
      <c r="E1333" s="157">
        <v>144</v>
      </c>
      <c r="F1333" s="158" t="s">
        <v>525</v>
      </c>
      <c r="G1333" s="159">
        <v>944530.56</v>
      </c>
      <c r="H1333" s="159">
        <v>0</v>
      </c>
      <c r="I1333" s="159">
        <v>422638.56</v>
      </c>
      <c r="J1333" s="159">
        <v>44.7</v>
      </c>
      <c r="K1333" t="str">
        <f>VLOOKUP($C1333,Lists!$C$3:$M$118,7,FALSE)</f>
        <v>Beers</v>
      </c>
      <c r="S1333" s="4"/>
      <c r="T1333" s="4"/>
      <c r="U1333" s="5"/>
      <c r="V1333" s="5"/>
    </row>
    <row r="1334" spans="1:22" x14ac:dyDescent="0.25">
      <c r="A1334" s="158" t="s">
        <v>674</v>
      </c>
      <c r="B1334" s="158" t="s">
        <v>675</v>
      </c>
      <c r="C1334" s="158" t="s">
        <v>14</v>
      </c>
      <c r="D1334" s="158" t="s">
        <v>15</v>
      </c>
      <c r="E1334" s="157">
        <v>144</v>
      </c>
      <c r="F1334" s="158" t="s">
        <v>525</v>
      </c>
      <c r="G1334" s="159">
        <v>1133435.52</v>
      </c>
      <c r="H1334" s="159">
        <v>0</v>
      </c>
      <c r="I1334" s="159">
        <v>570340.80000000005</v>
      </c>
      <c r="J1334" s="159">
        <v>50.3</v>
      </c>
      <c r="K1334" t="str">
        <f>VLOOKUP($C1334,Lists!$C$3:$M$118,7,FALSE)</f>
        <v>Beers</v>
      </c>
      <c r="S1334" s="4"/>
      <c r="T1334" s="4"/>
      <c r="U1334" s="5"/>
      <c r="V1334" s="5"/>
    </row>
    <row r="1335" spans="1:22" x14ac:dyDescent="0.25">
      <c r="A1335" s="158" t="s">
        <v>674</v>
      </c>
      <c r="B1335" s="158" t="s">
        <v>675</v>
      </c>
      <c r="C1335" s="158" t="s">
        <v>16</v>
      </c>
      <c r="D1335" s="158" t="s">
        <v>17</v>
      </c>
      <c r="E1335" s="157">
        <v>792</v>
      </c>
      <c r="F1335" s="158" t="s">
        <v>525</v>
      </c>
      <c r="G1335" s="159">
        <v>6233895.3600000003</v>
      </c>
      <c r="H1335" s="159">
        <v>0</v>
      </c>
      <c r="I1335" s="159">
        <v>3136874.4</v>
      </c>
      <c r="J1335" s="159">
        <v>50.3</v>
      </c>
      <c r="K1335" t="str">
        <f>VLOOKUP($C1335,Lists!$C$3:$M$118,7,FALSE)</f>
        <v>Beers</v>
      </c>
      <c r="S1335" s="4"/>
      <c r="T1335" s="4"/>
      <c r="U1335" s="5"/>
      <c r="V1335" s="5"/>
    </row>
    <row r="1336" spans="1:22" x14ac:dyDescent="0.25">
      <c r="A1336" s="158" t="s">
        <v>674</v>
      </c>
      <c r="B1336" s="158" t="s">
        <v>675</v>
      </c>
      <c r="C1336" s="158" t="s">
        <v>20</v>
      </c>
      <c r="D1336" s="158" t="s">
        <v>21</v>
      </c>
      <c r="E1336" s="157">
        <v>144</v>
      </c>
      <c r="F1336" s="158" t="s">
        <v>525</v>
      </c>
      <c r="G1336" s="159">
        <v>580710.24</v>
      </c>
      <c r="H1336" s="159">
        <v>0</v>
      </c>
      <c r="I1336" s="159">
        <v>250273.44</v>
      </c>
      <c r="J1336" s="159">
        <v>43.1</v>
      </c>
      <c r="K1336" t="str">
        <f>VLOOKUP($C1336,Lists!$C$3:$M$118,7,FALSE)</f>
        <v>COKE_RGB</v>
      </c>
      <c r="S1336" s="4"/>
      <c r="T1336" s="4"/>
      <c r="U1336" s="5"/>
      <c r="V1336" s="5"/>
    </row>
    <row r="1337" spans="1:22" x14ac:dyDescent="0.25">
      <c r="A1337" s="158" t="s">
        <v>676</v>
      </c>
      <c r="B1337" s="158" t="s">
        <v>677</v>
      </c>
      <c r="C1337" s="158" t="s">
        <v>12</v>
      </c>
      <c r="D1337" s="158" t="s">
        <v>13</v>
      </c>
      <c r="E1337" s="157">
        <v>432</v>
      </c>
      <c r="F1337" s="158" t="s">
        <v>525</v>
      </c>
      <c r="G1337" s="159">
        <v>2833591.68</v>
      </c>
      <c r="H1337" s="159">
        <v>0</v>
      </c>
      <c r="I1337" s="159">
        <v>1267915.68</v>
      </c>
      <c r="J1337" s="159">
        <v>44.7</v>
      </c>
      <c r="K1337" t="str">
        <f>VLOOKUP($C1337,Lists!$C$3:$M$118,7,FALSE)</f>
        <v>Beers</v>
      </c>
      <c r="S1337" s="4"/>
      <c r="T1337" s="4"/>
      <c r="U1337" s="5"/>
      <c r="V1337" s="5"/>
    </row>
    <row r="1338" spans="1:22" x14ac:dyDescent="0.25">
      <c r="A1338" s="158" t="s">
        <v>676</v>
      </c>
      <c r="B1338" s="158" t="s">
        <v>677</v>
      </c>
      <c r="C1338" s="158" t="s">
        <v>14</v>
      </c>
      <c r="D1338" s="158" t="s">
        <v>15</v>
      </c>
      <c r="E1338" s="157">
        <v>72</v>
      </c>
      <c r="F1338" s="158" t="s">
        <v>525</v>
      </c>
      <c r="G1338" s="159">
        <v>566717.76</v>
      </c>
      <c r="H1338" s="159">
        <v>0</v>
      </c>
      <c r="I1338" s="159">
        <v>285170.40000000002</v>
      </c>
      <c r="J1338" s="159">
        <v>50.3</v>
      </c>
      <c r="K1338" t="str">
        <f>VLOOKUP($C1338,Lists!$C$3:$M$118,7,FALSE)</f>
        <v>Beers</v>
      </c>
      <c r="S1338" s="4"/>
      <c r="T1338" s="4"/>
      <c r="U1338" s="5"/>
      <c r="V1338" s="5"/>
    </row>
    <row r="1339" spans="1:22" x14ac:dyDescent="0.25">
      <c r="A1339" s="158" t="s">
        <v>676</v>
      </c>
      <c r="B1339" s="158" t="s">
        <v>677</v>
      </c>
      <c r="C1339" s="158" t="s">
        <v>54</v>
      </c>
      <c r="D1339" s="158" t="s">
        <v>55</v>
      </c>
      <c r="E1339" s="157">
        <v>50</v>
      </c>
      <c r="F1339" s="158" t="s">
        <v>525</v>
      </c>
      <c r="G1339" s="159">
        <v>393554</v>
      </c>
      <c r="H1339" s="159">
        <v>0</v>
      </c>
      <c r="I1339" s="159">
        <v>210066.5</v>
      </c>
      <c r="J1339" s="159">
        <v>53.4</v>
      </c>
      <c r="K1339" t="str">
        <f>VLOOKUP($C1339,Lists!$C$3:$M$118,7,FALSE)</f>
        <v>Beers</v>
      </c>
      <c r="S1339" s="4"/>
      <c r="T1339" s="4"/>
      <c r="U1339" s="5"/>
      <c r="V1339" s="5"/>
    </row>
    <row r="1340" spans="1:22" x14ac:dyDescent="0.25">
      <c r="A1340" s="158" t="s">
        <v>676</v>
      </c>
      <c r="B1340" s="158" t="s">
        <v>677</v>
      </c>
      <c r="C1340" s="158" t="s">
        <v>16</v>
      </c>
      <c r="D1340" s="158" t="s">
        <v>17</v>
      </c>
      <c r="E1340" s="157">
        <v>360</v>
      </c>
      <c r="F1340" s="158" t="s">
        <v>525</v>
      </c>
      <c r="G1340" s="159">
        <v>2833588.8</v>
      </c>
      <c r="H1340" s="159">
        <v>0</v>
      </c>
      <c r="I1340" s="159">
        <v>1425852</v>
      </c>
      <c r="J1340" s="159">
        <v>50.3</v>
      </c>
      <c r="K1340" t="str">
        <f>VLOOKUP($C1340,Lists!$C$3:$M$118,7,FALSE)</f>
        <v>Beers</v>
      </c>
      <c r="S1340" s="4"/>
      <c r="T1340" s="4"/>
      <c r="U1340" s="5"/>
      <c r="V1340" s="5"/>
    </row>
    <row r="1341" spans="1:22" x14ac:dyDescent="0.25">
      <c r="A1341" s="158" t="s">
        <v>676</v>
      </c>
      <c r="B1341" s="158" t="s">
        <v>677</v>
      </c>
      <c r="C1341" s="158" t="s">
        <v>20</v>
      </c>
      <c r="D1341" s="158" t="s">
        <v>21</v>
      </c>
      <c r="E1341" s="157">
        <v>288</v>
      </c>
      <c r="F1341" s="158" t="s">
        <v>525</v>
      </c>
      <c r="G1341" s="159">
        <v>1161420.48</v>
      </c>
      <c r="H1341" s="159">
        <v>0</v>
      </c>
      <c r="I1341" s="159">
        <v>500546.88</v>
      </c>
      <c r="J1341" s="159">
        <v>43.1</v>
      </c>
      <c r="K1341" t="str">
        <f>VLOOKUP($C1341,Lists!$C$3:$M$118,7,FALSE)</f>
        <v>COKE_RGB</v>
      </c>
      <c r="S1341" s="4"/>
      <c r="T1341" s="4"/>
      <c r="U1341" s="5"/>
      <c r="V1341" s="5"/>
    </row>
    <row r="1342" spans="1:22" x14ac:dyDescent="0.25">
      <c r="A1342" s="158" t="s">
        <v>676</v>
      </c>
      <c r="B1342" s="158" t="s">
        <v>677</v>
      </c>
      <c r="C1342" s="158" t="s">
        <v>22</v>
      </c>
      <c r="D1342" s="158" t="s">
        <v>23</v>
      </c>
      <c r="E1342" s="157">
        <v>72</v>
      </c>
      <c r="F1342" s="158" t="s">
        <v>525</v>
      </c>
      <c r="G1342" s="159">
        <v>290355.12</v>
      </c>
      <c r="H1342" s="159">
        <v>0</v>
      </c>
      <c r="I1342" s="159">
        <v>120185.28</v>
      </c>
      <c r="J1342" s="159">
        <v>41.4</v>
      </c>
      <c r="K1342" t="str">
        <f>VLOOKUP($C1342,Lists!$C$3:$M$118,7,FALSE)</f>
        <v>COKE_RGB</v>
      </c>
      <c r="S1342" s="4"/>
      <c r="T1342" s="4"/>
      <c r="U1342" s="5"/>
      <c r="V1342" s="5"/>
    </row>
    <row r="1343" spans="1:22" x14ac:dyDescent="0.25">
      <c r="A1343" s="158" t="s">
        <v>676</v>
      </c>
      <c r="B1343" s="158" t="s">
        <v>677</v>
      </c>
      <c r="C1343" s="158" t="s">
        <v>33</v>
      </c>
      <c r="D1343" s="158" t="s">
        <v>34</v>
      </c>
      <c r="E1343" s="157">
        <v>10</v>
      </c>
      <c r="F1343" s="158" t="s">
        <v>525</v>
      </c>
      <c r="G1343" s="159">
        <v>567411.6</v>
      </c>
      <c r="H1343" s="159">
        <v>0</v>
      </c>
      <c r="I1343" s="159">
        <v>117411.6</v>
      </c>
      <c r="J1343" s="159">
        <v>20.7</v>
      </c>
      <c r="K1343" t="str">
        <f>VLOOKUP($C1343,Lists!$C$3:$M$118,7,FALSE)</f>
        <v>Spirits</v>
      </c>
      <c r="S1343" s="4"/>
      <c r="T1343" s="4"/>
      <c r="U1343" s="5"/>
      <c r="V1343" s="5"/>
    </row>
    <row r="1344" spans="1:22" x14ac:dyDescent="0.25">
      <c r="A1344" s="158" t="s">
        <v>676</v>
      </c>
      <c r="B1344" s="158" t="s">
        <v>677</v>
      </c>
      <c r="C1344" s="158" t="s">
        <v>37</v>
      </c>
      <c r="D1344" s="158" t="s">
        <v>38</v>
      </c>
      <c r="E1344" s="157">
        <v>72</v>
      </c>
      <c r="F1344" s="158" t="s">
        <v>525</v>
      </c>
      <c r="G1344" s="159">
        <v>241962.48</v>
      </c>
      <c r="H1344" s="159">
        <v>0</v>
      </c>
      <c r="I1344" s="159">
        <v>115732.8</v>
      </c>
      <c r="J1344" s="159">
        <v>47.8</v>
      </c>
      <c r="K1344" t="str">
        <f>VLOOKUP($C1344,Lists!$C$3:$M$118,7,FALSE)</f>
        <v>SOBO_RGB</v>
      </c>
      <c r="S1344" s="4"/>
      <c r="T1344" s="4"/>
      <c r="U1344" s="5"/>
      <c r="V1344" s="5"/>
    </row>
    <row r="1345" spans="1:22" x14ac:dyDescent="0.25">
      <c r="A1345" s="158" t="s">
        <v>676</v>
      </c>
      <c r="B1345" s="158" t="s">
        <v>677</v>
      </c>
      <c r="C1345" s="158" t="s">
        <v>45</v>
      </c>
      <c r="D1345" s="158" t="s">
        <v>46</v>
      </c>
      <c r="E1345" s="157">
        <v>72</v>
      </c>
      <c r="F1345" s="158" t="s">
        <v>525</v>
      </c>
      <c r="G1345" s="159">
        <v>290355.12</v>
      </c>
      <c r="H1345" s="159">
        <v>0</v>
      </c>
      <c r="I1345" s="159">
        <v>145738.79999999999</v>
      </c>
      <c r="J1345" s="159">
        <v>50.2</v>
      </c>
      <c r="K1345" t="str">
        <f>VLOOKUP($C1345,Lists!$C$3:$M$118,7,FALSE)</f>
        <v>SOBO_RGB</v>
      </c>
      <c r="S1345" s="4"/>
      <c r="T1345" s="4"/>
      <c r="U1345" s="5"/>
      <c r="V1345" s="5"/>
    </row>
    <row r="1346" spans="1:22" x14ac:dyDescent="0.25">
      <c r="A1346" s="158" t="s">
        <v>678</v>
      </c>
      <c r="B1346" s="158" t="s">
        <v>679</v>
      </c>
      <c r="C1346" s="158" t="s">
        <v>12</v>
      </c>
      <c r="D1346" s="158" t="s">
        <v>13</v>
      </c>
      <c r="E1346" s="157">
        <v>360</v>
      </c>
      <c r="F1346" s="158" t="s">
        <v>525</v>
      </c>
      <c r="G1346" s="159">
        <v>2361326.4</v>
      </c>
      <c r="H1346" s="159">
        <v>0</v>
      </c>
      <c r="I1346" s="159">
        <v>1056596.3999999999</v>
      </c>
      <c r="J1346" s="159">
        <v>44.7</v>
      </c>
      <c r="K1346" t="str">
        <f>VLOOKUP($C1346,Lists!$C$3:$M$118,7,FALSE)</f>
        <v>Beers</v>
      </c>
      <c r="S1346" s="4"/>
      <c r="T1346" s="4"/>
      <c r="U1346" s="5"/>
      <c r="V1346" s="5"/>
    </row>
    <row r="1347" spans="1:22" x14ac:dyDescent="0.25">
      <c r="A1347" s="158" t="s">
        <v>678</v>
      </c>
      <c r="B1347" s="158" t="s">
        <v>679</v>
      </c>
      <c r="C1347" s="158" t="s">
        <v>14</v>
      </c>
      <c r="D1347" s="158" t="s">
        <v>15</v>
      </c>
      <c r="E1347" s="157">
        <v>72</v>
      </c>
      <c r="F1347" s="158" t="s">
        <v>525</v>
      </c>
      <c r="G1347" s="159">
        <v>566717.76</v>
      </c>
      <c r="H1347" s="159">
        <v>0</v>
      </c>
      <c r="I1347" s="159">
        <v>285170.40000000002</v>
      </c>
      <c r="J1347" s="159">
        <v>50.3</v>
      </c>
      <c r="K1347" t="str">
        <f>VLOOKUP($C1347,Lists!$C$3:$M$118,7,FALSE)</f>
        <v>Beers</v>
      </c>
      <c r="S1347" s="4"/>
      <c r="T1347" s="4"/>
      <c r="U1347" s="5"/>
      <c r="V1347" s="5"/>
    </row>
    <row r="1348" spans="1:22" x14ac:dyDescent="0.25">
      <c r="A1348" s="158" t="s">
        <v>678</v>
      </c>
      <c r="B1348" s="158" t="s">
        <v>679</v>
      </c>
      <c r="C1348" s="158" t="s">
        <v>20</v>
      </c>
      <c r="D1348" s="158" t="s">
        <v>21</v>
      </c>
      <c r="E1348" s="157">
        <v>72</v>
      </c>
      <c r="F1348" s="158" t="s">
        <v>525</v>
      </c>
      <c r="G1348" s="159">
        <v>290355.12</v>
      </c>
      <c r="H1348" s="159">
        <v>0</v>
      </c>
      <c r="I1348" s="159">
        <v>125136.72</v>
      </c>
      <c r="J1348" s="159">
        <v>43.1</v>
      </c>
      <c r="K1348" t="str">
        <f>VLOOKUP($C1348,Lists!$C$3:$M$118,7,FALSE)</f>
        <v>COKE_RGB</v>
      </c>
      <c r="S1348" s="4"/>
      <c r="T1348" s="4"/>
      <c r="U1348" s="5"/>
      <c r="V1348" s="5"/>
    </row>
    <row r="1349" spans="1:22" x14ac:dyDescent="0.25">
      <c r="A1349" s="158" t="s">
        <v>680</v>
      </c>
      <c r="B1349" s="158" t="s">
        <v>681</v>
      </c>
      <c r="C1349" s="158" t="s">
        <v>12</v>
      </c>
      <c r="D1349" s="158" t="s">
        <v>13</v>
      </c>
      <c r="E1349" s="157">
        <v>144</v>
      </c>
      <c r="F1349" s="158" t="s">
        <v>525</v>
      </c>
      <c r="G1349" s="159">
        <v>944530.56</v>
      </c>
      <c r="H1349" s="159">
        <v>0</v>
      </c>
      <c r="I1349" s="159">
        <v>422638.56</v>
      </c>
      <c r="J1349" s="159">
        <v>44.7</v>
      </c>
      <c r="K1349" t="str">
        <f>VLOOKUP($C1349,Lists!$C$3:$M$118,7,FALSE)</f>
        <v>Beers</v>
      </c>
      <c r="S1349" s="4"/>
      <c r="T1349" s="4"/>
      <c r="U1349" s="5"/>
      <c r="V1349" s="5"/>
    </row>
    <row r="1350" spans="1:22" x14ac:dyDescent="0.25">
      <c r="A1350" s="158" t="s">
        <v>680</v>
      </c>
      <c r="B1350" s="158" t="s">
        <v>681</v>
      </c>
      <c r="C1350" s="158" t="s">
        <v>16</v>
      </c>
      <c r="D1350" s="158" t="s">
        <v>17</v>
      </c>
      <c r="E1350" s="157">
        <v>144</v>
      </c>
      <c r="F1350" s="158" t="s">
        <v>525</v>
      </c>
      <c r="G1350" s="159">
        <v>1133435.52</v>
      </c>
      <c r="H1350" s="159">
        <v>0</v>
      </c>
      <c r="I1350" s="159">
        <v>570340.80000000005</v>
      </c>
      <c r="J1350" s="159">
        <v>50.3</v>
      </c>
      <c r="K1350" t="str">
        <f>VLOOKUP($C1350,Lists!$C$3:$M$118,7,FALSE)</f>
        <v>Beers</v>
      </c>
      <c r="S1350" s="4"/>
      <c r="T1350" s="4"/>
      <c r="U1350" s="5"/>
      <c r="V1350" s="5"/>
    </row>
    <row r="1351" spans="1:22" x14ac:dyDescent="0.25">
      <c r="A1351" s="158" t="s">
        <v>680</v>
      </c>
      <c r="B1351" s="158" t="s">
        <v>681</v>
      </c>
      <c r="C1351" s="158" t="s">
        <v>20</v>
      </c>
      <c r="D1351" s="158" t="s">
        <v>21</v>
      </c>
      <c r="E1351" s="157">
        <v>216</v>
      </c>
      <c r="F1351" s="158" t="s">
        <v>525</v>
      </c>
      <c r="G1351" s="159">
        <v>871065.36</v>
      </c>
      <c r="H1351" s="159">
        <v>0</v>
      </c>
      <c r="I1351" s="159">
        <v>375410.16</v>
      </c>
      <c r="J1351" s="159">
        <v>43.1</v>
      </c>
      <c r="K1351" t="str">
        <f>VLOOKUP($C1351,Lists!$C$3:$M$118,7,FALSE)</f>
        <v>COKE_RGB</v>
      </c>
      <c r="S1351" s="4"/>
      <c r="T1351" s="4"/>
      <c r="U1351" s="5"/>
      <c r="V1351" s="5"/>
    </row>
    <row r="1352" spans="1:22" x14ac:dyDescent="0.25">
      <c r="A1352" s="158" t="s">
        <v>680</v>
      </c>
      <c r="B1352" s="158" t="s">
        <v>681</v>
      </c>
      <c r="C1352" s="158" t="s">
        <v>24</v>
      </c>
      <c r="D1352" s="158" t="s">
        <v>25</v>
      </c>
      <c r="E1352" s="157">
        <v>72</v>
      </c>
      <c r="F1352" s="158" t="s">
        <v>525</v>
      </c>
      <c r="G1352" s="159">
        <v>472265.28</v>
      </c>
      <c r="H1352" s="159">
        <v>0</v>
      </c>
      <c r="I1352" s="159">
        <v>231919.92</v>
      </c>
      <c r="J1352" s="159">
        <v>49.1</v>
      </c>
      <c r="K1352" t="str">
        <f>VLOOKUP($C1352,Lists!$C$3:$M$118,7,FALSE)</f>
        <v>Beers</v>
      </c>
      <c r="S1352" s="4"/>
      <c r="T1352" s="4"/>
      <c r="U1352" s="5"/>
      <c r="V1352" s="5"/>
    </row>
    <row r="1353" spans="1:22" x14ac:dyDescent="0.25">
      <c r="A1353" s="158" t="s">
        <v>680</v>
      </c>
      <c r="B1353" s="158" t="s">
        <v>681</v>
      </c>
      <c r="C1353" s="158" t="s">
        <v>45</v>
      </c>
      <c r="D1353" s="158" t="s">
        <v>46</v>
      </c>
      <c r="E1353" s="157">
        <v>72</v>
      </c>
      <c r="F1353" s="158" t="s">
        <v>525</v>
      </c>
      <c r="G1353" s="159">
        <v>290355.12</v>
      </c>
      <c r="H1353" s="159">
        <v>0</v>
      </c>
      <c r="I1353" s="159">
        <v>145738.79999999999</v>
      </c>
      <c r="J1353" s="159">
        <v>50.2</v>
      </c>
      <c r="K1353" t="str">
        <f>VLOOKUP($C1353,Lists!$C$3:$M$118,7,FALSE)</f>
        <v>SOBO_RGB</v>
      </c>
      <c r="S1353" s="4"/>
      <c r="T1353" s="4"/>
      <c r="U1353" s="5"/>
      <c r="V1353" s="5"/>
    </row>
    <row r="1354" spans="1:22" x14ac:dyDescent="0.25">
      <c r="A1354" s="158" t="s">
        <v>680</v>
      </c>
      <c r="B1354" s="158" t="s">
        <v>681</v>
      </c>
      <c r="C1354" s="158" t="s">
        <v>47</v>
      </c>
      <c r="D1354" s="158" t="s">
        <v>48</v>
      </c>
      <c r="E1354" s="157">
        <v>72</v>
      </c>
      <c r="F1354" s="158" t="s">
        <v>525</v>
      </c>
      <c r="G1354" s="159">
        <v>290355.12</v>
      </c>
      <c r="H1354" s="159">
        <v>0</v>
      </c>
      <c r="I1354" s="159">
        <v>129744.72</v>
      </c>
      <c r="J1354" s="159">
        <v>44.7</v>
      </c>
      <c r="K1354" t="str">
        <f>VLOOKUP($C1354,Lists!$C$3:$M$118,7,FALSE)</f>
        <v>COKE_RGB</v>
      </c>
      <c r="S1354" s="4"/>
      <c r="T1354" s="4"/>
      <c r="U1354" s="5"/>
      <c r="V1354" s="5"/>
    </row>
    <row r="1355" spans="1:22" x14ac:dyDescent="0.25">
      <c r="A1355" s="158" t="s">
        <v>682</v>
      </c>
      <c r="B1355" s="158" t="s">
        <v>683</v>
      </c>
      <c r="C1355" s="158" t="s">
        <v>12</v>
      </c>
      <c r="D1355" s="158" t="s">
        <v>13</v>
      </c>
      <c r="E1355" s="157">
        <v>288</v>
      </c>
      <c r="F1355" s="158" t="s">
        <v>525</v>
      </c>
      <c r="G1355" s="159">
        <v>1889061.12</v>
      </c>
      <c r="H1355" s="159">
        <v>0</v>
      </c>
      <c r="I1355" s="159">
        <v>845277.12</v>
      </c>
      <c r="J1355" s="159">
        <v>44.7</v>
      </c>
      <c r="K1355" t="str">
        <f>VLOOKUP($C1355,Lists!$C$3:$M$118,7,FALSE)</f>
        <v>Beers</v>
      </c>
      <c r="S1355" s="4"/>
      <c r="T1355" s="4"/>
      <c r="U1355" s="5"/>
      <c r="V1355" s="5"/>
    </row>
    <row r="1356" spans="1:22" x14ac:dyDescent="0.25">
      <c r="A1356" s="158" t="s">
        <v>682</v>
      </c>
      <c r="B1356" s="158" t="s">
        <v>683</v>
      </c>
      <c r="C1356" s="158" t="s">
        <v>14</v>
      </c>
      <c r="D1356" s="158" t="s">
        <v>15</v>
      </c>
      <c r="E1356" s="157">
        <v>72</v>
      </c>
      <c r="F1356" s="158" t="s">
        <v>525</v>
      </c>
      <c r="G1356" s="159">
        <v>566717.76</v>
      </c>
      <c r="H1356" s="159">
        <v>0</v>
      </c>
      <c r="I1356" s="159">
        <v>285170.40000000002</v>
      </c>
      <c r="J1356" s="159">
        <v>50.3</v>
      </c>
      <c r="K1356" t="str">
        <f>VLOOKUP($C1356,Lists!$C$3:$M$118,7,FALSE)</f>
        <v>Beers</v>
      </c>
      <c r="S1356" s="4"/>
      <c r="T1356" s="4"/>
      <c r="U1356" s="5"/>
      <c r="V1356" s="5"/>
    </row>
    <row r="1357" spans="1:22" x14ac:dyDescent="0.25">
      <c r="A1357" s="158" t="s">
        <v>682</v>
      </c>
      <c r="B1357" s="158" t="s">
        <v>683</v>
      </c>
      <c r="C1357" s="158" t="s">
        <v>16</v>
      </c>
      <c r="D1357" s="158" t="s">
        <v>17</v>
      </c>
      <c r="E1357" s="157">
        <v>216</v>
      </c>
      <c r="F1357" s="158" t="s">
        <v>525</v>
      </c>
      <c r="G1357" s="159">
        <v>1700153.28</v>
      </c>
      <c r="H1357" s="159">
        <v>0</v>
      </c>
      <c r="I1357" s="159">
        <v>855511.2</v>
      </c>
      <c r="J1357" s="159">
        <v>50.3</v>
      </c>
      <c r="K1357" t="str">
        <f>VLOOKUP($C1357,Lists!$C$3:$M$118,7,FALSE)</f>
        <v>Beers</v>
      </c>
      <c r="S1357" s="4"/>
      <c r="T1357" s="4"/>
      <c r="U1357" s="5"/>
      <c r="V1357" s="5"/>
    </row>
    <row r="1358" spans="1:22" x14ac:dyDescent="0.25">
      <c r="A1358" s="158" t="s">
        <v>682</v>
      </c>
      <c r="B1358" s="158" t="s">
        <v>683</v>
      </c>
      <c r="C1358" s="158" t="s">
        <v>20</v>
      </c>
      <c r="D1358" s="158" t="s">
        <v>21</v>
      </c>
      <c r="E1358" s="157">
        <v>216</v>
      </c>
      <c r="F1358" s="158" t="s">
        <v>525</v>
      </c>
      <c r="G1358" s="159">
        <v>871065.36</v>
      </c>
      <c r="H1358" s="159">
        <v>0</v>
      </c>
      <c r="I1358" s="159">
        <v>375410.16</v>
      </c>
      <c r="J1358" s="159">
        <v>43.1</v>
      </c>
      <c r="K1358" t="str">
        <f>VLOOKUP($C1358,Lists!$C$3:$M$118,7,FALSE)</f>
        <v>COKE_RGB</v>
      </c>
      <c r="S1358" s="4"/>
      <c r="T1358" s="4"/>
      <c r="U1358" s="5"/>
      <c r="V1358" s="5"/>
    </row>
    <row r="1359" spans="1:22" x14ac:dyDescent="0.25">
      <c r="A1359" s="158" t="s">
        <v>682</v>
      </c>
      <c r="B1359" s="158" t="s">
        <v>683</v>
      </c>
      <c r="C1359" s="158" t="s">
        <v>22</v>
      </c>
      <c r="D1359" s="158" t="s">
        <v>23</v>
      </c>
      <c r="E1359" s="157">
        <v>72</v>
      </c>
      <c r="F1359" s="158" t="s">
        <v>525</v>
      </c>
      <c r="G1359" s="159">
        <v>290355.12</v>
      </c>
      <c r="H1359" s="159">
        <v>0</v>
      </c>
      <c r="I1359" s="159">
        <v>120185.28</v>
      </c>
      <c r="J1359" s="159">
        <v>41.4</v>
      </c>
      <c r="K1359" t="str">
        <f>VLOOKUP($C1359,Lists!$C$3:$M$118,7,FALSE)</f>
        <v>COKE_RGB</v>
      </c>
      <c r="S1359" s="4"/>
      <c r="T1359" s="4"/>
      <c r="U1359" s="5"/>
      <c r="V1359" s="5"/>
    </row>
    <row r="1360" spans="1:22" x14ac:dyDescent="0.25">
      <c r="A1360" s="158" t="s">
        <v>682</v>
      </c>
      <c r="B1360" s="158" t="s">
        <v>683</v>
      </c>
      <c r="C1360" s="158" t="s">
        <v>29</v>
      </c>
      <c r="D1360" s="158" t="s">
        <v>30</v>
      </c>
      <c r="E1360" s="157">
        <v>20</v>
      </c>
      <c r="F1360" s="158" t="s">
        <v>525</v>
      </c>
      <c r="G1360" s="159">
        <v>741417.8</v>
      </c>
      <c r="H1360" s="159">
        <v>0</v>
      </c>
      <c r="I1360" s="159">
        <v>221417.8</v>
      </c>
      <c r="J1360" s="159">
        <v>29.9</v>
      </c>
      <c r="K1360" t="str">
        <f>VLOOKUP($C1360,Lists!$C$3:$M$118,7,FALSE)</f>
        <v>Spirits</v>
      </c>
      <c r="S1360" s="4"/>
      <c r="T1360" s="4"/>
      <c r="U1360" s="5"/>
      <c r="V1360" s="5"/>
    </row>
    <row r="1361" spans="1:22" x14ac:dyDescent="0.25">
      <c r="A1361" s="158" t="s">
        <v>684</v>
      </c>
      <c r="B1361" s="158" t="s">
        <v>685</v>
      </c>
      <c r="C1361" s="158" t="s">
        <v>28</v>
      </c>
      <c r="D1361" s="158" t="s">
        <v>530</v>
      </c>
      <c r="E1361" s="157">
        <v>144</v>
      </c>
      <c r="F1361" s="158" t="s">
        <v>525</v>
      </c>
      <c r="G1361" s="159">
        <v>414315.36</v>
      </c>
      <c r="H1361" s="159">
        <v>0</v>
      </c>
      <c r="I1361" s="159">
        <v>212852.16</v>
      </c>
      <c r="J1361" s="159">
        <v>51.4</v>
      </c>
      <c r="K1361" t="str">
        <f>VLOOKUP($C1361,Lists!$C$3:$M$118,7,FALSE)</f>
        <v>COKE_PET</v>
      </c>
      <c r="S1361" s="4"/>
      <c r="T1361" s="4"/>
      <c r="U1361" s="5"/>
      <c r="V1361" s="5"/>
    </row>
    <row r="1362" spans="1:22" x14ac:dyDescent="0.25">
      <c r="A1362" s="158" t="s">
        <v>684</v>
      </c>
      <c r="B1362" s="158" t="s">
        <v>685</v>
      </c>
      <c r="C1362" s="158" t="s">
        <v>67</v>
      </c>
      <c r="D1362" s="158" t="s">
        <v>533</v>
      </c>
      <c r="E1362" s="157">
        <v>144</v>
      </c>
      <c r="F1362" s="158" t="s">
        <v>525</v>
      </c>
      <c r="G1362" s="159">
        <v>414315.36</v>
      </c>
      <c r="H1362" s="159">
        <v>0</v>
      </c>
      <c r="I1362" s="159">
        <v>207779.04</v>
      </c>
      <c r="J1362" s="159">
        <v>50.1</v>
      </c>
      <c r="K1362" t="str">
        <f>VLOOKUP($C1362,Lists!$C$3:$M$118,7,FALSE)</f>
        <v>COKE_PET</v>
      </c>
      <c r="S1362" s="4"/>
      <c r="T1362" s="4"/>
      <c r="U1362" s="5"/>
      <c r="V1362" s="5"/>
    </row>
    <row r="1363" spans="1:22" x14ac:dyDescent="0.25">
      <c r="A1363" s="158" t="s">
        <v>684</v>
      </c>
      <c r="B1363" s="158" t="s">
        <v>685</v>
      </c>
      <c r="C1363" s="158" t="s">
        <v>68</v>
      </c>
      <c r="D1363" s="158" t="s">
        <v>534</v>
      </c>
      <c r="E1363" s="157">
        <v>144</v>
      </c>
      <c r="F1363" s="158" t="s">
        <v>525</v>
      </c>
      <c r="G1363" s="159">
        <v>414315.36</v>
      </c>
      <c r="H1363" s="159">
        <v>0</v>
      </c>
      <c r="I1363" s="159">
        <v>205898.4</v>
      </c>
      <c r="J1363" s="159">
        <v>49.7</v>
      </c>
      <c r="K1363" t="str">
        <f>VLOOKUP($C1363,Lists!$C$3:$M$118,7,FALSE)</f>
        <v>COKE_PET</v>
      </c>
      <c r="S1363" s="4"/>
      <c r="T1363" s="4"/>
      <c r="U1363" s="5"/>
      <c r="V1363" s="5"/>
    </row>
    <row r="1364" spans="1:22" x14ac:dyDescent="0.25">
      <c r="A1364" s="158" t="s">
        <v>474</v>
      </c>
      <c r="B1364" s="158" t="s">
        <v>106</v>
      </c>
      <c r="C1364" s="158" t="s">
        <v>41</v>
      </c>
      <c r="D1364" s="158" t="s">
        <v>42</v>
      </c>
      <c r="E1364" s="157">
        <v>72</v>
      </c>
      <c r="F1364" s="158" t="s">
        <v>525</v>
      </c>
      <c r="G1364" s="159">
        <v>556223.04</v>
      </c>
      <c r="H1364" s="159">
        <v>0</v>
      </c>
      <c r="I1364" s="159">
        <v>233303.04000000001</v>
      </c>
      <c r="J1364" s="159">
        <v>41.9</v>
      </c>
      <c r="K1364" t="str">
        <f>VLOOKUP($C1364,Lists!$C$3:$M$118,7,FALSE)</f>
        <v>Alcomix</v>
      </c>
      <c r="S1364" s="4"/>
      <c r="T1364" s="4"/>
      <c r="U1364" s="5"/>
      <c r="V1364" s="5"/>
    </row>
    <row r="1365" spans="1:22" x14ac:dyDescent="0.25">
      <c r="A1365" s="158" t="s">
        <v>474</v>
      </c>
      <c r="B1365" s="158" t="s">
        <v>106</v>
      </c>
      <c r="C1365" s="158" t="s">
        <v>10</v>
      </c>
      <c r="D1365" s="158" t="s">
        <v>11</v>
      </c>
      <c r="E1365" s="157">
        <v>144</v>
      </c>
      <c r="F1365" s="158" t="s">
        <v>525</v>
      </c>
      <c r="G1365" s="159">
        <v>1112446.08</v>
      </c>
      <c r="H1365" s="159">
        <v>0</v>
      </c>
      <c r="I1365" s="159">
        <v>466606.08000000002</v>
      </c>
      <c r="J1365" s="159">
        <v>41.9</v>
      </c>
      <c r="K1365" t="str">
        <f>VLOOKUP($C1365,Lists!$C$3:$M$118,7,FALSE)</f>
        <v>Alcomix</v>
      </c>
      <c r="S1365" s="4"/>
      <c r="T1365" s="4"/>
      <c r="U1365" s="5"/>
      <c r="V1365" s="5"/>
    </row>
    <row r="1366" spans="1:22" x14ac:dyDescent="0.25">
      <c r="A1366" s="158" t="s">
        <v>474</v>
      </c>
      <c r="B1366" s="158" t="s">
        <v>106</v>
      </c>
      <c r="C1366" s="158" t="s">
        <v>12</v>
      </c>
      <c r="D1366" s="158" t="s">
        <v>13</v>
      </c>
      <c r="E1366" s="157">
        <v>2376</v>
      </c>
      <c r="F1366" s="158" t="s">
        <v>525</v>
      </c>
      <c r="G1366" s="159">
        <v>15296141.52</v>
      </c>
      <c r="H1366" s="159">
        <v>0</v>
      </c>
      <c r="I1366" s="159">
        <v>6684923.5099999998</v>
      </c>
      <c r="J1366" s="159">
        <v>43.7</v>
      </c>
      <c r="K1366" t="str">
        <f>VLOOKUP($C1366,Lists!$C$3:$M$118,7,FALSE)</f>
        <v>Beers</v>
      </c>
      <c r="S1366" s="4"/>
      <c r="T1366" s="4"/>
      <c r="U1366" s="5"/>
      <c r="V1366" s="5"/>
    </row>
    <row r="1367" spans="1:22" x14ac:dyDescent="0.25">
      <c r="A1367" s="158" t="s">
        <v>474</v>
      </c>
      <c r="B1367" s="158" t="s">
        <v>106</v>
      </c>
      <c r="C1367" s="158" t="s">
        <v>14</v>
      </c>
      <c r="D1367" s="158" t="s">
        <v>15</v>
      </c>
      <c r="E1367" s="157">
        <v>1368</v>
      </c>
      <c r="F1367" s="158" t="s">
        <v>525</v>
      </c>
      <c r="G1367" s="159">
        <v>10568237.76</v>
      </c>
      <c r="H1367" s="159">
        <v>0</v>
      </c>
      <c r="I1367" s="159">
        <v>5218837.92</v>
      </c>
      <c r="J1367" s="159">
        <v>49.4</v>
      </c>
      <c r="K1367" t="str">
        <f>VLOOKUP($C1367,Lists!$C$3:$M$118,7,FALSE)</f>
        <v>Beers</v>
      </c>
      <c r="S1367" s="4"/>
      <c r="T1367" s="4"/>
      <c r="U1367" s="5"/>
      <c r="V1367" s="5"/>
    </row>
    <row r="1368" spans="1:22" x14ac:dyDescent="0.25">
      <c r="A1368" s="158" t="s">
        <v>474</v>
      </c>
      <c r="B1368" s="158" t="s">
        <v>106</v>
      </c>
      <c r="C1368" s="158" t="s">
        <v>54</v>
      </c>
      <c r="D1368" s="158" t="s">
        <v>55</v>
      </c>
      <c r="E1368" s="157">
        <v>100</v>
      </c>
      <c r="F1368" s="158" t="s">
        <v>525</v>
      </c>
      <c r="G1368" s="159">
        <v>772532</v>
      </c>
      <c r="H1368" s="159">
        <v>0</v>
      </c>
      <c r="I1368" s="159">
        <v>405557</v>
      </c>
      <c r="J1368" s="159">
        <v>52.5</v>
      </c>
      <c r="K1368" t="str">
        <f>VLOOKUP($C1368,Lists!$C$3:$M$118,7,FALSE)</f>
        <v>Beers</v>
      </c>
      <c r="S1368" s="4"/>
      <c r="T1368" s="4"/>
      <c r="U1368" s="5"/>
      <c r="V1368" s="5"/>
    </row>
    <row r="1369" spans="1:22" x14ac:dyDescent="0.25">
      <c r="A1369" s="158" t="s">
        <v>474</v>
      </c>
      <c r="B1369" s="158" t="s">
        <v>106</v>
      </c>
      <c r="C1369" s="158" t="s">
        <v>16</v>
      </c>
      <c r="D1369" s="158" t="s">
        <v>17</v>
      </c>
      <c r="E1369" s="157">
        <v>2016</v>
      </c>
      <c r="F1369" s="158" t="s">
        <v>525</v>
      </c>
      <c r="G1369" s="159">
        <v>15574245.119999999</v>
      </c>
      <c r="H1369" s="159">
        <v>0</v>
      </c>
      <c r="I1369" s="159">
        <v>7690919.04</v>
      </c>
      <c r="J1369" s="159">
        <v>49.4</v>
      </c>
      <c r="K1369" t="str">
        <f>VLOOKUP($C1369,Lists!$C$3:$M$118,7,FALSE)</f>
        <v>Beers</v>
      </c>
      <c r="S1369" s="4"/>
      <c r="T1369" s="4"/>
      <c r="U1369" s="5"/>
      <c r="V1369" s="5"/>
    </row>
    <row r="1370" spans="1:22" x14ac:dyDescent="0.25">
      <c r="A1370" s="158" t="s">
        <v>474</v>
      </c>
      <c r="B1370" s="158" t="s">
        <v>106</v>
      </c>
      <c r="C1370" s="158" t="s">
        <v>56</v>
      </c>
      <c r="D1370" s="158" t="s">
        <v>57</v>
      </c>
      <c r="E1370" s="157">
        <v>100</v>
      </c>
      <c r="F1370" s="158" t="s">
        <v>525</v>
      </c>
      <c r="G1370" s="159">
        <v>772532</v>
      </c>
      <c r="H1370" s="159">
        <v>0</v>
      </c>
      <c r="I1370" s="159">
        <v>405557</v>
      </c>
      <c r="J1370" s="159">
        <v>52.5</v>
      </c>
      <c r="K1370" t="str">
        <f>VLOOKUP($C1370,Lists!$C$3:$M$118,7,FALSE)</f>
        <v>Beers</v>
      </c>
      <c r="S1370" s="4"/>
      <c r="T1370" s="4"/>
      <c r="U1370" s="5"/>
      <c r="V1370" s="5"/>
    </row>
    <row r="1371" spans="1:22" x14ac:dyDescent="0.25">
      <c r="A1371" s="158" t="s">
        <v>474</v>
      </c>
      <c r="B1371" s="158" t="s">
        <v>106</v>
      </c>
      <c r="C1371" s="158" t="s">
        <v>18</v>
      </c>
      <c r="D1371" s="158" t="s">
        <v>19</v>
      </c>
      <c r="E1371" s="157">
        <v>216</v>
      </c>
      <c r="F1371" s="158" t="s">
        <v>525</v>
      </c>
      <c r="G1371" s="159">
        <v>2224892.88</v>
      </c>
      <c r="H1371" s="159">
        <v>0</v>
      </c>
      <c r="I1371" s="159">
        <v>1153640.8799999999</v>
      </c>
      <c r="J1371" s="159">
        <v>51.9</v>
      </c>
      <c r="K1371" t="str">
        <f>VLOOKUP($C1371,Lists!$C$3:$M$118,7,FALSE)</f>
        <v>Beers</v>
      </c>
      <c r="S1371" s="4"/>
      <c r="T1371" s="4"/>
      <c r="U1371" s="5"/>
      <c r="V1371" s="5"/>
    </row>
    <row r="1372" spans="1:22" x14ac:dyDescent="0.25">
      <c r="A1372" s="158" t="s">
        <v>474</v>
      </c>
      <c r="B1372" s="158" t="s">
        <v>106</v>
      </c>
      <c r="C1372" s="158" t="s">
        <v>20</v>
      </c>
      <c r="D1372" s="158" t="s">
        <v>21</v>
      </c>
      <c r="E1372" s="157">
        <v>2232</v>
      </c>
      <c r="F1372" s="158" t="s">
        <v>525</v>
      </c>
      <c r="G1372" s="159">
        <v>8834322.9600000009</v>
      </c>
      <c r="H1372" s="159">
        <v>0</v>
      </c>
      <c r="I1372" s="159">
        <v>3712552.56</v>
      </c>
      <c r="J1372" s="159">
        <v>42</v>
      </c>
      <c r="K1372" t="str">
        <f>VLOOKUP($C1372,Lists!$C$3:$M$118,7,FALSE)</f>
        <v>COKE_RGB</v>
      </c>
      <c r="S1372" s="4"/>
      <c r="T1372" s="4"/>
      <c r="U1372" s="5"/>
      <c r="V1372" s="5"/>
    </row>
    <row r="1373" spans="1:22" x14ac:dyDescent="0.25">
      <c r="A1373" s="158" t="s">
        <v>474</v>
      </c>
      <c r="B1373" s="158" t="s">
        <v>106</v>
      </c>
      <c r="C1373" s="158" t="s">
        <v>58</v>
      </c>
      <c r="D1373" s="158" t="s">
        <v>537</v>
      </c>
      <c r="E1373" s="157">
        <v>144</v>
      </c>
      <c r="F1373" s="158" t="s">
        <v>525</v>
      </c>
      <c r="G1373" s="159">
        <v>348426.72</v>
      </c>
      <c r="H1373" s="159">
        <v>0</v>
      </c>
      <c r="I1373" s="159">
        <v>193042.08</v>
      </c>
      <c r="J1373" s="159">
        <v>55.4</v>
      </c>
      <c r="K1373" t="str">
        <f>VLOOKUP($C1373,Lists!$C$3:$M$118,7,FALSE)</f>
        <v>SOBO_PET</v>
      </c>
      <c r="S1373" s="4"/>
      <c r="T1373" s="4"/>
      <c r="U1373" s="5"/>
      <c r="V1373" s="5"/>
    </row>
    <row r="1374" spans="1:22" x14ac:dyDescent="0.25">
      <c r="A1374" s="158" t="s">
        <v>474</v>
      </c>
      <c r="B1374" s="158" t="s">
        <v>106</v>
      </c>
      <c r="C1374" s="158" t="s">
        <v>43</v>
      </c>
      <c r="D1374" s="158" t="s">
        <v>44</v>
      </c>
      <c r="E1374" s="157">
        <v>144</v>
      </c>
      <c r="F1374" s="158" t="s">
        <v>525</v>
      </c>
      <c r="G1374" s="159">
        <v>1112446.08</v>
      </c>
      <c r="H1374" s="159">
        <v>0</v>
      </c>
      <c r="I1374" s="159">
        <v>549351.36</v>
      </c>
      <c r="J1374" s="159">
        <v>49.4</v>
      </c>
      <c r="K1374" t="str">
        <f>VLOOKUP($C1374,Lists!$C$3:$M$118,7,FALSE)</f>
        <v>Beers</v>
      </c>
      <c r="S1374" s="4"/>
      <c r="T1374" s="4"/>
      <c r="U1374" s="5"/>
      <c r="V1374" s="5"/>
    </row>
    <row r="1375" spans="1:22" x14ac:dyDescent="0.25">
      <c r="A1375" s="158" t="s">
        <v>474</v>
      </c>
      <c r="B1375" s="158" t="s">
        <v>106</v>
      </c>
      <c r="C1375" s="158" t="s">
        <v>59</v>
      </c>
      <c r="D1375" s="158" t="s">
        <v>60</v>
      </c>
      <c r="E1375" s="157">
        <v>288</v>
      </c>
      <c r="F1375" s="158" t="s">
        <v>525</v>
      </c>
      <c r="G1375" s="159">
        <v>1139912.6399999999</v>
      </c>
      <c r="H1375" s="159">
        <v>0</v>
      </c>
      <c r="I1375" s="159">
        <v>464135.04</v>
      </c>
      <c r="J1375" s="159">
        <v>40.700000000000003</v>
      </c>
      <c r="K1375" t="str">
        <f>VLOOKUP($C1375,Lists!$C$3:$M$118,7,FALSE)</f>
        <v>COKE_RGB</v>
      </c>
      <c r="S1375" s="4"/>
      <c r="T1375" s="4"/>
      <c r="U1375" s="5"/>
      <c r="V1375" s="5"/>
    </row>
    <row r="1376" spans="1:22" x14ac:dyDescent="0.25">
      <c r="A1376" s="158" t="s">
        <v>474</v>
      </c>
      <c r="B1376" s="158" t="s">
        <v>106</v>
      </c>
      <c r="C1376" s="158" t="s">
        <v>22</v>
      </c>
      <c r="D1376" s="158" t="s">
        <v>23</v>
      </c>
      <c r="E1376" s="157">
        <v>794</v>
      </c>
      <c r="F1376" s="158" t="s">
        <v>525</v>
      </c>
      <c r="G1376" s="159">
        <v>3142675.82</v>
      </c>
      <c r="H1376" s="159">
        <v>0</v>
      </c>
      <c r="I1376" s="159">
        <v>1266080.6399999999</v>
      </c>
      <c r="J1376" s="159">
        <v>40.299999999999997</v>
      </c>
      <c r="K1376" t="str">
        <f>VLOOKUP($C1376,Lists!$C$3:$M$118,7,FALSE)</f>
        <v>COKE_RGB</v>
      </c>
      <c r="S1376" s="4"/>
      <c r="T1376" s="4"/>
      <c r="U1376" s="5"/>
      <c r="V1376" s="5"/>
    </row>
    <row r="1377" spans="1:22" x14ac:dyDescent="0.25">
      <c r="A1377" s="158" t="s">
        <v>474</v>
      </c>
      <c r="B1377" s="158" t="s">
        <v>106</v>
      </c>
      <c r="C1377" s="158" t="s">
        <v>261</v>
      </c>
      <c r="D1377" s="158" t="s">
        <v>538</v>
      </c>
      <c r="E1377" s="157">
        <v>437</v>
      </c>
      <c r="F1377" s="158" t="s">
        <v>525</v>
      </c>
      <c r="G1377" s="159">
        <v>1729659.11</v>
      </c>
      <c r="H1377" s="159">
        <v>0</v>
      </c>
      <c r="I1377" s="159">
        <v>696822.72</v>
      </c>
      <c r="J1377" s="159">
        <v>40.299999999999997</v>
      </c>
      <c r="K1377" t="str">
        <f>VLOOKUP($C1377,Lists!$C$3:$M$118,7,FALSE)</f>
        <v>COKE_RGB</v>
      </c>
      <c r="S1377" s="4"/>
      <c r="T1377" s="4"/>
      <c r="U1377" s="5"/>
      <c r="V1377" s="5"/>
    </row>
    <row r="1378" spans="1:22" x14ac:dyDescent="0.25">
      <c r="A1378" s="158" t="s">
        <v>474</v>
      </c>
      <c r="B1378" s="158" t="s">
        <v>106</v>
      </c>
      <c r="C1378" s="158" t="s">
        <v>24</v>
      </c>
      <c r="D1378" s="158" t="s">
        <v>25</v>
      </c>
      <c r="E1378" s="157">
        <v>1152</v>
      </c>
      <c r="F1378" s="158" t="s">
        <v>525</v>
      </c>
      <c r="G1378" s="159">
        <v>7416311.04</v>
      </c>
      <c r="H1378" s="159">
        <v>0</v>
      </c>
      <c r="I1378" s="159">
        <v>3570785.28</v>
      </c>
      <c r="J1378" s="159">
        <v>48.1</v>
      </c>
      <c r="K1378" t="str">
        <f>VLOOKUP($C1378,Lists!$C$3:$M$118,7,FALSE)</f>
        <v>Beers</v>
      </c>
      <c r="S1378" s="4"/>
      <c r="T1378" s="4"/>
      <c r="U1378" s="5"/>
      <c r="V1378" s="5"/>
    </row>
    <row r="1379" spans="1:22" x14ac:dyDescent="0.25">
      <c r="A1379" s="158" t="s">
        <v>474</v>
      </c>
      <c r="B1379" s="158" t="s">
        <v>106</v>
      </c>
      <c r="C1379" s="158" t="s">
        <v>29</v>
      </c>
      <c r="D1379" s="158" t="s">
        <v>30</v>
      </c>
      <c r="E1379" s="157">
        <v>34</v>
      </c>
      <c r="F1379" s="158" t="s">
        <v>525</v>
      </c>
      <c r="G1379" s="159">
        <v>1237069.26</v>
      </c>
      <c r="H1379" s="159">
        <v>0</v>
      </c>
      <c r="I1379" s="159">
        <v>353069.26</v>
      </c>
      <c r="J1379" s="159">
        <v>28.5</v>
      </c>
      <c r="K1379" t="str">
        <f>VLOOKUP($C1379,Lists!$C$3:$M$118,7,FALSE)</f>
        <v>Spirits</v>
      </c>
      <c r="S1379" s="4"/>
      <c r="T1379" s="4"/>
      <c r="U1379" s="5"/>
      <c r="V1379" s="5"/>
    </row>
    <row r="1380" spans="1:22" x14ac:dyDescent="0.25">
      <c r="A1380" s="158" t="s">
        <v>474</v>
      </c>
      <c r="B1380" s="158" t="s">
        <v>106</v>
      </c>
      <c r="C1380" s="158" t="s">
        <v>31</v>
      </c>
      <c r="D1380" s="158" t="s">
        <v>32</v>
      </c>
      <c r="E1380" s="157">
        <v>5</v>
      </c>
      <c r="F1380" s="158" t="s">
        <v>525</v>
      </c>
      <c r="G1380" s="159">
        <v>170783.9</v>
      </c>
      <c r="H1380" s="159">
        <v>0</v>
      </c>
      <c r="I1380" s="159">
        <v>50783.9</v>
      </c>
      <c r="J1380" s="159">
        <v>29.7</v>
      </c>
      <c r="K1380" t="str">
        <f>VLOOKUP($C1380,Lists!$C$3:$M$118,7,FALSE)</f>
        <v>Spirits</v>
      </c>
      <c r="S1380" s="4"/>
      <c r="T1380" s="4"/>
      <c r="U1380" s="5"/>
      <c r="V1380" s="5"/>
    </row>
    <row r="1381" spans="1:22" x14ac:dyDescent="0.25">
      <c r="A1381" s="158" t="s">
        <v>474</v>
      </c>
      <c r="B1381" s="158" t="s">
        <v>106</v>
      </c>
      <c r="C1381" s="158" t="s">
        <v>33</v>
      </c>
      <c r="D1381" s="158" t="s">
        <v>34</v>
      </c>
      <c r="E1381" s="157">
        <v>9</v>
      </c>
      <c r="F1381" s="158" t="s">
        <v>525</v>
      </c>
      <c r="G1381" s="159">
        <v>501213.6</v>
      </c>
      <c r="H1381" s="159">
        <v>0</v>
      </c>
      <c r="I1381" s="159">
        <v>96213.6</v>
      </c>
      <c r="J1381" s="159">
        <v>19.2</v>
      </c>
      <c r="K1381" t="str">
        <f>VLOOKUP($C1381,Lists!$C$3:$M$118,7,FALSE)</f>
        <v>Spirits</v>
      </c>
      <c r="S1381" s="4"/>
      <c r="T1381" s="4"/>
      <c r="U1381" s="5"/>
      <c r="V1381" s="5"/>
    </row>
    <row r="1382" spans="1:22" x14ac:dyDescent="0.25">
      <c r="A1382" s="158" t="s">
        <v>474</v>
      </c>
      <c r="B1382" s="158" t="s">
        <v>106</v>
      </c>
      <c r="C1382" s="158" t="s">
        <v>37</v>
      </c>
      <c r="D1382" s="158" t="s">
        <v>38</v>
      </c>
      <c r="E1382" s="157">
        <v>643</v>
      </c>
      <c r="F1382" s="158" t="s">
        <v>525</v>
      </c>
      <c r="G1382" s="159">
        <v>2120845.48</v>
      </c>
      <c r="H1382" s="159">
        <v>0</v>
      </c>
      <c r="I1382" s="159">
        <v>993544.31</v>
      </c>
      <c r="J1382" s="159">
        <v>46.8</v>
      </c>
      <c r="K1382" t="str">
        <f>VLOOKUP($C1382,Lists!$C$3:$M$118,7,FALSE)</f>
        <v>SOBO_RGB</v>
      </c>
      <c r="S1382" s="4"/>
      <c r="T1382" s="4"/>
      <c r="U1382" s="5"/>
      <c r="V1382" s="5"/>
    </row>
    <row r="1383" spans="1:22" x14ac:dyDescent="0.25">
      <c r="A1383" s="158" t="s">
        <v>474</v>
      </c>
      <c r="B1383" s="158" t="s">
        <v>106</v>
      </c>
      <c r="C1383" s="158" t="s">
        <v>39</v>
      </c>
      <c r="D1383" s="158" t="s">
        <v>40</v>
      </c>
      <c r="E1383" s="157">
        <v>504</v>
      </c>
      <c r="F1383" s="158" t="s">
        <v>525</v>
      </c>
      <c r="G1383" s="159">
        <v>1662373.44</v>
      </c>
      <c r="H1383" s="159">
        <v>0</v>
      </c>
      <c r="I1383" s="159">
        <v>771881.04</v>
      </c>
      <c r="J1383" s="159">
        <v>46.4</v>
      </c>
      <c r="K1383" t="str">
        <f>VLOOKUP($C1383,Lists!$C$3:$M$118,7,FALSE)</f>
        <v>SOBO_RGB</v>
      </c>
      <c r="S1383" s="4"/>
      <c r="T1383" s="4"/>
      <c r="U1383" s="5"/>
      <c r="V1383" s="5"/>
    </row>
    <row r="1384" spans="1:22" x14ac:dyDescent="0.25">
      <c r="A1384" s="158" t="s">
        <v>474</v>
      </c>
      <c r="B1384" s="158" t="s">
        <v>106</v>
      </c>
      <c r="C1384" s="158" t="s">
        <v>88</v>
      </c>
      <c r="D1384" s="158" t="s">
        <v>527</v>
      </c>
      <c r="E1384" s="157">
        <v>288</v>
      </c>
      <c r="F1384" s="158" t="s">
        <v>525</v>
      </c>
      <c r="G1384" s="159">
        <v>812995.2</v>
      </c>
      <c r="H1384" s="159">
        <v>0</v>
      </c>
      <c r="I1384" s="159">
        <v>476985.59999999998</v>
      </c>
      <c r="J1384" s="159">
        <v>58.7</v>
      </c>
      <c r="K1384" t="str">
        <f>VLOOKUP($C1384,Lists!$C$3:$M$118,7,FALSE)</f>
        <v>SOBO_PET</v>
      </c>
      <c r="S1384" s="4"/>
      <c r="T1384" s="4"/>
      <c r="U1384" s="5"/>
      <c r="V1384" s="5"/>
    </row>
    <row r="1385" spans="1:22" x14ac:dyDescent="0.25">
      <c r="A1385" s="158" t="s">
        <v>474</v>
      </c>
      <c r="B1385" s="158" t="s">
        <v>106</v>
      </c>
      <c r="C1385" s="158" t="s">
        <v>45</v>
      </c>
      <c r="D1385" s="158" t="s">
        <v>46</v>
      </c>
      <c r="E1385" s="157">
        <v>360</v>
      </c>
      <c r="F1385" s="158" t="s">
        <v>525</v>
      </c>
      <c r="G1385" s="159">
        <v>1424890.8</v>
      </c>
      <c r="H1385" s="159">
        <v>0</v>
      </c>
      <c r="I1385" s="159">
        <v>701809.2</v>
      </c>
      <c r="J1385" s="159">
        <v>49.3</v>
      </c>
      <c r="K1385" t="str">
        <f>VLOOKUP($C1385,Lists!$C$3:$M$118,7,FALSE)</f>
        <v>SOBO_RGB</v>
      </c>
      <c r="S1385" s="4"/>
      <c r="T1385" s="4"/>
      <c r="U1385" s="5"/>
      <c r="V1385" s="5"/>
    </row>
    <row r="1386" spans="1:22" x14ac:dyDescent="0.25">
      <c r="A1386" s="158" t="s">
        <v>474</v>
      </c>
      <c r="B1386" s="158" t="s">
        <v>106</v>
      </c>
      <c r="C1386" s="158" t="s">
        <v>47</v>
      </c>
      <c r="D1386" s="158" t="s">
        <v>48</v>
      </c>
      <c r="E1386" s="157">
        <v>430</v>
      </c>
      <c r="F1386" s="158" t="s">
        <v>525</v>
      </c>
      <c r="G1386" s="159">
        <v>1701952.9</v>
      </c>
      <c r="H1386" s="159">
        <v>0</v>
      </c>
      <c r="I1386" s="159">
        <v>742751.89</v>
      </c>
      <c r="J1386" s="159">
        <v>43.6</v>
      </c>
      <c r="K1386" t="str">
        <f>VLOOKUP($C1386,Lists!$C$3:$M$118,7,FALSE)</f>
        <v>COKE_RGB</v>
      </c>
      <c r="S1386" s="4"/>
      <c r="T1386" s="4"/>
      <c r="U1386" s="5"/>
      <c r="V1386" s="5"/>
    </row>
    <row r="1387" spans="1:22" x14ac:dyDescent="0.25">
      <c r="A1387" s="158" t="s">
        <v>474</v>
      </c>
      <c r="B1387" s="158" t="s">
        <v>106</v>
      </c>
      <c r="C1387" s="158" t="s">
        <v>51</v>
      </c>
      <c r="D1387" s="158" t="s">
        <v>52</v>
      </c>
      <c r="E1387" s="157">
        <v>144</v>
      </c>
      <c r="F1387" s="158" t="s">
        <v>525</v>
      </c>
      <c r="G1387" s="159">
        <v>1443942.72</v>
      </c>
      <c r="H1387" s="159">
        <v>0</v>
      </c>
      <c r="I1387" s="159">
        <v>456052.31</v>
      </c>
      <c r="J1387" s="159">
        <v>31.6</v>
      </c>
      <c r="K1387" t="str">
        <f>VLOOKUP($C1387,Lists!$C$3:$M$118,7,FALSE)</f>
        <v>Squash</v>
      </c>
      <c r="S1387" s="4"/>
      <c r="T1387" s="4"/>
      <c r="U1387" s="5"/>
      <c r="V1387" s="5"/>
    </row>
    <row r="1388" spans="1:22" x14ac:dyDescent="0.25">
      <c r="A1388" s="158" t="s">
        <v>474</v>
      </c>
      <c r="B1388" s="158" t="s">
        <v>106</v>
      </c>
      <c r="C1388" s="158" t="s">
        <v>104</v>
      </c>
      <c r="D1388" s="158" t="s">
        <v>105</v>
      </c>
      <c r="E1388" s="157">
        <v>72</v>
      </c>
      <c r="F1388" s="158" t="s">
        <v>525</v>
      </c>
      <c r="G1388" s="159">
        <v>237481.92</v>
      </c>
      <c r="H1388" s="159">
        <v>0</v>
      </c>
      <c r="I1388" s="159">
        <v>102170.16</v>
      </c>
      <c r="J1388" s="159">
        <v>43</v>
      </c>
      <c r="K1388" t="str">
        <f>VLOOKUP($C1388,Lists!$C$3:$M$118,7,FALSE)</f>
        <v>SOBO_RGB</v>
      </c>
      <c r="S1388" s="4"/>
      <c r="T1388" s="4"/>
      <c r="U1388" s="5"/>
      <c r="V1388" s="5"/>
    </row>
    <row r="1389" spans="1:22" x14ac:dyDescent="0.25">
      <c r="A1389" s="158" t="s">
        <v>474</v>
      </c>
      <c r="B1389" s="158" t="s">
        <v>106</v>
      </c>
      <c r="C1389" s="158" t="s">
        <v>26</v>
      </c>
      <c r="D1389" s="158" t="s">
        <v>27</v>
      </c>
      <c r="E1389" s="157">
        <v>431.91667000000001</v>
      </c>
      <c r="F1389" s="158" t="s">
        <v>525</v>
      </c>
      <c r="G1389" s="159">
        <v>942614.94</v>
      </c>
      <c r="H1389" s="159">
        <v>0</v>
      </c>
      <c r="I1389" s="159">
        <v>415572.94</v>
      </c>
      <c r="J1389" s="159">
        <v>44.1</v>
      </c>
      <c r="K1389" t="str">
        <f>VLOOKUP($C1389,Lists!$C$3:$M$118,7,FALSE)</f>
        <v>Water</v>
      </c>
      <c r="S1389" s="4"/>
      <c r="T1389" s="4"/>
      <c r="U1389" s="5"/>
      <c r="V1389" s="5"/>
    </row>
    <row r="1390" spans="1:22" x14ac:dyDescent="0.25">
      <c r="A1390" s="158" t="s">
        <v>475</v>
      </c>
      <c r="B1390" s="158" t="s">
        <v>476</v>
      </c>
      <c r="C1390" s="158" t="s">
        <v>41</v>
      </c>
      <c r="D1390" s="158" t="s">
        <v>42</v>
      </c>
      <c r="E1390" s="157">
        <v>71</v>
      </c>
      <c r="F1390" s="158" t="s">
        <v>525</v>
      </c>
      <c r="G1390" s="159">
        <v>548497.72</v>
      </c>
      <c r="H1390" s="159">
        <v>0</v>
      </c>
      <c r="I1390" s="159">
        <v>230062.72</v>
      </c>
      <c r="J1390" s="159">
        <v>41.9</v>
      </c>
      <c r="K1390" t="str">
        <f>VLOOKUP($C1390,Lists!$C$3:$M$118,7,FALSE)</f>
        <v>Alcomix</v>
      </c>
      <c r="S1390" s="4"/>
      <c r="T1390" s="4"/>
      <c r="U1390" s="5"/>
      <c r="V1390" s="5"/>
    </row>
    <row r="1391" spans="1:22" x14ac:dyDescent="0.25">
      <c r="A1391" s="158" t="s">
        <v>475</v>
      </c>
      <c r="B1391" s="158" t="s">
        <v>476</v>
      </c>
      <c r="C1391" s="158" t="s">
        <v>10</v>
      </c>
      <c r="D1391" s="158" t="s">
        <v>11</v>
      </c>
      <c r="E1391" s="157">
        <v>143</v>
      </c>
      <c r="F1391" s="158" t="s">
        <v>525</v>
      </c>
      <c r="G1391" s="159">
        <v>1104720.76</v>
      </c>
      <c r="H1391" s="159">
        <v>0</v>
      </c>
      <c r="I1391" s="159">
        <v>463365.76</v>
      </c>
      <c r="J1391" s="159">
        <v>41.9</v>
      </c>
      <c r="K1391" t="str">
        <f>VLOOKUP($C1391,Lists!$C$3:$M$118,7,FALSE)</f>
        <v>Alcomix</v>
      </c>
      <c r="S1391" s="4"/>
      <c r="T1391" s="4"/>
      <c r="U1391" s="5"/>
      <c r="V1391" s="5"/>
    </row>
    <row r="1392" spans="1:22" x14ac:dyDescent="0.25">
      <c r="A1392" s="158" t="s">
        <v>475</v>
      </c>
      <c r="B1392" s="158" t="s">
        <v>476</v>
      </c>
      <c r="C1392" s="158" t="s">
        <v>12</v>
      </c>
      <c r="D1392" s="158" t="s">
        <v>13</v>
      </c>
      <c r="E1392" s="157">
        <v>3451</v>
      </c>
      <c r="F1392" s="158" t="s">
        <v>525</v>
      </c>
      <c r="G1392" s="159">
        <v>22216744.27</v>
      </c>
      <c r="H1392" s="159">
        <v>0</v>
      </c>
      <c r="I1392" s="159">
        <v>9709457.5199999996</v>
      </c>
      <c r="J1392" s="159">
        <v>43.7</v>
      </c>
      <c r="K1392" t="str">
        <f>VLOOKUP($C1392,Lists!$C$3:$M$118,7,FALSE)</f>
        <v>Beers</v>
      </c>
      <c r="S1392" s="4"/>
      <c r="T1392" s="4"/>
      <c r="U1392" s="5"/>
      <c r="V1392" s="5"/>
    </row>
    <row r="1393" spans="1:22" x14ac:dyDescent="0.25">
      <c r="A1393" s="158" t="s">
        <v>475</v>
      </c>
      <c r="B1393" s="158" t="s">
        <v>476</v>
      </c>
      <c r="C1393" s="158" t="s">
        <v>14</v>
      </c>
      <c r="D1393" s="158" t="s">
        <v>15</v>
      </c>
      <c r="E1393" s="157">
        <v>715</v>
      </c>
      <c r="F1393" s="158" t="s">
        <v>525</v>
      </c>
      <c r="G1393" s="159">
        <v>5523603.7999999998</v>
      </c>
      <c r="H1393" s="159">
        <v>0</v>
      </c>
      <c r="I1393" s="159">
        <v>2727682.1</v>
      </c>
      <c r="J1393" s="159">
        <v>49.4</v>
      </c>
      <c r="K1393" t="str">
        <f>VLOOKUP($C1393,Lists!$C$3:$M$118,7,FALSE)</f>
        <v>Beers</v>
      </c>
      <c r="S1393" s="4"/>
      <c r="T1393" s="4"/>
      <c r="U1393" s="5"/>
      <c r="V1393" s="5"/>
    </row>
    <row r="1394" spans="1:22" x14ac:dyDescent="0.25">
      <c r="A1394" s="158" t="s">
        <v>475</v>
      </c>
      <c r="B1394" s="158" t="s">
        <v>476</v>
      </c>
      <c r="C1394" s="158" t="s">
        <v>54</v>
      </c>
      <c r="D1394" s="158" t="s">
        <v>55</v>
      </c>
      <c r="E1394" s="157">
        <v>148</v>
      </c>
      <c r="F1394" s="158" t="s">
        <v>525</v>
      </c>
      <c r="G1394" s="159">
        <v>1143347.3600000001</v>
      </c>
      <c r="H1394" s="159">
        <v>0</v>
      </c>
      <c r="I1394" s="159">
        <v>600224.36</v>
      </c>
      <c r="J1394" s="159">
        <v>52.5</v>
      </c>
      <c r="K1394" t="str">
        <f>VLOOKUP($C1394,Lists!$C$3:$M$118,7,FALSE)</f>
        <v>Beers</v>
      </c>
      <c r="S1394" s="4"/>
      <c r="T1394" s="4"/>
      <c r="U1394" s="5"/>
      <c r="V1394" s="5"/>
    </row>
    <row r="1395" spans="1:22" x14ac:dyDescent="0.25">
      <c r="A1395" s="158" t="s">
        <v>475</v>
      </c>
      <c r="B1395" s="158" t="s">
        <v>476</v>
      </c>
      <c r="C1395" s="158" t="s">
        <v>16</v>
      </c>
      <c r="D1395" s="158" t="s">
        <v>17</v>
      </c>
      <c r="E1395" s="157">
        <v>1720</v>
      </c>
      <c r="F1395" s="158" t="s">
        <v>525</v>
      </c>
      <c r="G1395" s="159">
        <v>13287550.4</v>
      </c>
      <c r="H1395" s="159">
        <v>0</v>
      </c>
      <c r="I1395" s="159">
        <v>6561696.7999999998</v>
      </c>
      <c r="J1395" s="159">
        <v>49.4</v>
      </c>
      <c r="K1395" t="str">
        <f>VLOOKUP($C1395,Lists!$C$3:$M$118,7,FALSE)</f>
        <v>Beers</v>
      </c>
      <c r="S1395" s="4"/>
      <c r="T1395" s="4"/>
      <c r="U1395" s="5"/>
      <c r="V1395" s="5"/>
    </row>
    <row r="1396" spans="1:22" x14ac:dyDescent="0.25">
      <c r="A1396" s="158" t="s">
        <v>475</v>
      </c>
      <c r="B1396" s="158" t="s">
        <v>476</v>
      </c>
      <c r="C1396" s="158" t="s">
        <v>56</v>
      </c>
      <c r="D1396" s="158" t="s">
        <v>57</v>
      </c>
      <c r="E1396" s="157">
        <v>100</v>
      </c>
      <c r="F1396" s="158" t="s">
        <v>525</v>
      </c>
      <c r="G1396" s="159">
        <v>772532</v>
      </c>
      <c r="H1396" s="159">
        <v>0</v>
      </c>
      <c r="I1396" s="159">
        <v>405557</v>
      </c>
      <c r="J1396" s="159">
        <v>52.5</v>
      </c>
      <c r="K1396" t="str">
        <f>VLOOKUP($C1396,Lists!$C$3:$M$118,7,FALSE)</f>
        <v>Beers</v>
      </c>
      <c r="S1396" s="4"/>
      <c r="T1396" s="4"/>
      <c r="U1396" s="5"/>
      <c r="V1396" s="5"/>
    </row>
    <row r="1397" spans="1:22" x14ac:dyDescent="0.25">
      <c r="A1397" s="158" t="s">
        <v>475</v>
      </c>
      <c r="B1397" s="158" t="s">
        <v>476</v>
      </c>
      <c r="C1397" s="158" t="s">
        <v>18</v>
      </c>
      <c r="D1397" s="158" t="s">
        <v>19</v>
      </c>
      <c r="E1397" s="157">
        <v>214</v>
      </c>
      <c r="F1397" s="158" t="s">
        <v>525</v>
      </c>
      <c r="G1397" s="159">
        <v>2204292.02</v>
      </c>
      <c r="H1397" s="159">
        <v>0</v>
      </c>
      <c r="I1397" s="159">
        <v>1142959.02</v>
      </c>
      <c r="J1397" s="159">
        <v>51.9</v>
      </c>
      <c r="K1397" t="str">
        <f>VLOOKUP($C1397,Lists!$C$3:$M$118,7,FALSE)</f>
        <v>Beers</v>
      </c>
      <c r="S1397" s="4"/>
      <c r="T1397" s="4"/>
      <c r="U1397" s="5"/>
      <c r="V1397" s="5"/>
    </row>
    <row r="1398" spans="1:22" x14ac:dyDescent="0.25">
      <c r="A1398" s="158" t="s">
        <v>475</v>
      </c>
      <c r="B1398" s="158" t="s">
        <v>476</v>
      </c>
      <c r="C1398" s="158" t="s">
        <v>20</v>
      </c>
      <c r="D1398" s="158" t="s">
        <v>21</v>
      </c>
      <c r="E1398" s="157">
        <v>1507</v>
      </c>
      <c r="F1398" s="158" t="s">
        <v>525</v>
      </c>
      <c r="G1398" s="159">
        <v>5964751.21</v>
      </c>
      <c r="H1398" s="159">
        <v>0</v>
      </c>
      <c r="I1398" s="159">
        <v>2506638.31</v>
      </c>
      <c r="J1398" s="159">
        <v>42</v>
      </c>
      <c r="K1398" t="str">
        <f>VLOOKUP($C1398,Lists!$C$3:$M$118,7,FALSE)</f>
        <v>COKE_RGB</v>
      </c>
      <c r="S1398" s="4"/>
      <c r="T1398" s="4"/>
      <c r="U1398" s="5"/>
      <c r="V1398" s="5"/>
    </row>
    <row r="1399" spans="1:22" x14ac:dyDescent="0.25">
      <c r="A1399" s="158" t="s">
        <v>475</v>
      </c>
      <c r="B1399" s="158" t="s">
        <v>476</v>
      </c>
      <c r="C1399" s="158" t="s">
        <v>28</v>
      </c>
      <c r="D1399" s="158" t="s">
        <v>530</v>
      </c>
      <c r="E1399" s="157">
        <v>288</v>
      </c>
      <c r="F1399" s="158" t="s">
        <v>525</v>
      </c>
      <c r="G1399" s="159">
        <v>812995.2</v>
      </c>
      <c r="H1399" s="159">
        <v>0</v>
      </c>
      <c r="I1399" s="159">
        <v>410068.8</v>
      </c>
      <c r="J1399" s="159">
        <v>50.4</v>
      </c>
      <c r="K1399" t="str">
        <f>VLOOKUP($C1399,Lists!$C$3:$M$118,7,FALSE)</f>
        <v>COKE_PET</v>
      </c>
      <c r="S1399" s="4"/>
      <c r="T1399" s="4"/>
      <c r="U1399" s="5"/>
      <c r="V1399" s="5"/>
    </row>
    <row r="1400" spans="1:22" x14ac:dyDescent="0.25">
      <c r="A1400" s="158" t="s">
        <v>475</v>
      </c>
      <c r="B1400" s="158" t="s">
        <v>476</v>
      </c>
      <c r="C1400" s="158" t="s">
        <v>58</v>
      </c>
      <c r="D1400" s="158" t="s">
        <v>537</v>
      </c>
      <c r="E1400" s="157">
        <v>574</v>
      </c>
      <c r="F1400" s="158" t="s">
        <v>525</v>
      </c>
      <c r="G1400" s="159">
        <v>1388867.62</v>
      </c>
      <c r="H1400" s="159">
        <v>0</v>
      </c>
      <c r="I1400" s="159">
        <v>769487.18</v>
      </c>
      <c r="J1400" s="159">
        <v>55.4</v>
      </c>
      <c r="K1400" t="str">
        <f>VLOOKUP($C1400,Lists!$C$3:$M$118,7,FALSE)</f>
        <v>SOBO_PET</v>
      </c>
      <c r="S1400" s="4"/>
      <c r="T1400" s="4"/>
      <c r="U1400" s="5"/>
      <c r="V1400" s="5"/>
    </row>
    <row r="1401" spans="1:22" x14ac:dyDescent="0.25">
      <c r="A1401" s="158" t="s">
        <v>475</v>
      </c>
      <c r="B1401" s="158" t="s">
        <v>476</v>
      </c>
      <c r="C1401" s="158" t="s">
        <v>43</v>
      </c>
      <c r="D1401" s="158" t="s">
        <v>44</v>
      </c>
      <c r="E1401" s="157">
        <v>144</v>
      </c>
      <c r="F1401" s="158" t="s">
        <v>525</v>
      </c>
      <c r="G1401" s="159">
        <v>1112446.08</v>
      </c>
      <c r="H1401" s="159">
        <v>0</v>
      </c>
      <c r="I1401" s="159">
        <v>549351.36</v>
      </c>
      <c r="J1401" s="159">
        <v>49.4</v>
      </c>
      <c r="K1401" t="str">
        <f>VLOOKUP($C1401,Lists!$C$3:$M$118,7,FALSE)</f>
        <v>Beers</v>
      </c>
      <c r="S1401" s="4"/>
      <c r="T1401" s="4"/>
      <c r="U1401" s="5"/>
      <c r="V1401" s="5"/>
    </row>
    <row r="1402" spans="1:22" x14ac:dyDescent="0.25">
      <c r="A1402" s="158" t="s">
        <v>475</v>
      </c>
      <c r="B1402" s="158" t="s">
        <v>476</v>
      </c>
      <c r="C1402" s="158" t="s">
        <v>59</v>
      </c>
      <c r="D1402" s="158" t="s">
        <v>60</v>
      </c>
      <c r="E1402" s="157">
        <v>142</v>
      </c>
      <c r="F1402" s="158" t="s">
        <v>525</v>
      </c>
      <c r="G1402" s="159">
        <v>562040.26</v>
      </c>
      <c r="H1402" s="159">
        <v>0</v>
      </c>
      <c r="I1402" s="159">
        <v>228844.36</v>
      </c>
      <c r="J1402" s="159">
        <v>40.700000000000003</v>
      </c>
      <c r="K1402" t="str">
        <f>VLOOKUP($C1402,Lists!$C$3:$M$118,7,FALSE)</f>
        <v>COKE_RGB</v>
      </c>
      <c r="S1402" s="4"/>
      <c r="T1402" s="4"/>
      <c r="U1402" s="5"/>
      <c r="V1402" s="5"/>
    </row>
    <row r="1403" spans="1:22" x14ac:dyDescent="0.25">
      <c r="A1403" s="158" t="s">
        <v>475</v>
      </c>
      <c r="B1403" s="158" t="s">
        <v>476</v>
      </c>
      <c r="C1403" s="158" t="s">
        <v>22</v>
      </c>
      <c r="D1403" s="158" t="s">
        <v>23</v>
      </c>
      <c r="E1403" s="157">
        <v>432</v>
      </c>
      <c r="F1403" s="158" t="s">
        <v>525</v>
      </c>
      <c r="G1403" s="159">
        <v>1709868.96</v>
      </c>
      <c r="H1403" s="159">
        <v>0</v>
      </c>
      <c r="I1403" s="159">
        <v>688849.92000000004</v>
      </c>
      <c r="J1403" s="159">
        <v>40.299999999999997</v>
      </c>
      <c r="K1403" t="str">
        <f>VLOOKUP($C1403,Lists!$C$3:$M$118,7,FALSE)</f>
        <v>COKE_RGB</v>
      </c>
      <c r="S1403" s="4"/>
      <c r="T1403" s="4"/>
      <c r="U1403" s="5"/>
      <c r="V1403" s="5"/>
    </row>
    <row r="1404" spans="1:22" x14ac:dyDescent="0.25">
      <c r="A1404" s="158" t="s">
        <v>475</v>
      </c>
      <c r="B1404" s="158" t="s">
        <v>476</v>
      </c>
      <c r="C1404" s="158" t="s">
        <v>67</v>
      </c>
      <c r="D1404" s="158" t="s">
        <v>533</v>
      </c>
      <c r="E1404" s="157">
        <v>143</v>
      </c>
      <c r="F1404" s="158" t="s">
        <v>525</v>
      </c>
      <c r="G1404" s="159">
        <v>403674.7</v>
      </c>
      <c r="H1404" s="159">
        <v>0</v>
      </c>
      <c r="I1404" s="159">
        <v>198572.66</v>
      </c>
      <c r="J1404" s="159">
        <v>49.2</v>
      </c>
      <c r="K1404" t="str">
        <f>VLOOKUP($C1404,Lists!$C$3:$M$118,7,FALSE)</f>
        <v>COKE_PET</v>
      </c>
      <c r="S1404" s="4"/>
      <c r="T1404" s="4"/>
      <c r="U1404" s="5"/>
      <c r="V1404" s="5"/>
    </row>
    <row r="1405" spans="1:22" x14ac:dyDescent="0.25">
      <c r="A1405" s="158" t="s">
        <v>475</v>
      </c>
      <c r="B1405" s="158" t="s">
        <v>476</v>
      </c>
      <c r="C1405" s="158" t="s">
        <v>261</v>
      </c>
      <c r="D1405" s="158" t="s">
        <v>538</v>
      </c>
      <c r="E1405" s="157">
        <v>72</v>
      </c>
      <c r="F1405" s="158" t="s">
        <v>525</v>
      </c>
      <c r="G1405" s="159">
        <v>284978.15999999997</v>
      </c>
      <c r="H1405" s="159">
        <v>0</v>
      </c>
      <c r="I1405" s="159">
        <v>114808.32000000001</v>
      </c>
      <c r="J1405" s="159">
        <v>40.299999999999997</v>
      </c>
      <c r="K1405" t="str">
        <f>VLOOKUP($C1405,Lists!$C$3:$M$118,7,FALSE)</f>
        <v>COKE_RGB</v>
      </c>
      <c r="S1405" s="4"/>
      <c r="T1405" s="4"/>
      <c r="U1405" s="5"/>
      <c r="V1405" s="5"/>
    </row>
    <row r="1406" spans="1:22" x14ac:dyDescent="0.25">
      <c r="A1406" s="158" t="s">
        <v>475</v>
      </c>
      <c r="B1406" s="158" t="s">
        <v>476</v>
      </c>
      <c r="C1406" s="158" t="s">
        <v>24</v>
      </c>
      <c r="D1406" s="158" t="s">
        <v>25</v>
      </c>
      <c r="E1406" s="157">
        <v>288</v>
      </c>
      <c r="F1406" s="158" t="s">
        <v>525</v>
      </c>
      <c r="G1406" s="159">
        <v>1854077.76</v>
      </c>
      <c r="H1406" s="159">
        <v>0</v>
      </c>
      <c r="I1406" s="159">
        <v>892696.32</v>
      </c>
      <c r="J1406" s="159">
        <v>48.1</v>
      </c>
      <c r="K1406" t="str">
        <f>VLOOKUP($C1406,Lists!$C$3:$M$118,7,FALSE)</f>
        <v>Beers</v>
      </c>
      <c r="S1406" s="4"/>
      <c r="T1406" s="4"/>
      <c r="U1406" s="5"/>
      <c r="V1406" s="5"/>
    </row>
    <row r="1407" spans="1:22" x14ac:dyDescent="0.25">
      <c r="A1407" s="158" t="s">
        <v>475</v>
      </c>
      <c r="B1407" s="158" t="s">
        <v>476</v>
      </c>
      <c r="C1407" s="158" t="s">
        <v>29</v>
      </c>
      <c r="D1407" s="158" t="s">
        <v>30</v>
      </c>
      <c r="E1407" s="157">
        <v>50</v>
      </c>
      <c r="F1407" s="158" t="s">
        <v>525</v>
      </c>
      <c r="G1407" s="159">
        <v>1819219.5</v>
      </c>
      <c r="H1407" s="159">
        <v>0</v>
      </c>
      <c r="I1407" s="159">
        <v>519219.5</v>
      </c>
      <c r="J1407" s="159">
        <v>28.5</v>
      </c>
      <c r="K1407" t="str">
        <f>VLOOKUP($C1407,Lists!$C$3:$M$118,7,FALSE)</f>
        <v>Spirits</v>
      </c>
      <c r="S1407" s="4"/>
      <c r="T1407" s="4"/>
      <c r="U1407" s="5"/>
      <c r="V1407" s="5"/>
    </row>
    <row r="1408" spans="1:22" x14ac:dyDescent="0.25">
      <c r="A1408" s="158" t="s">
        <v>475</v>
      </c>
      <c r="B1408" s="158" t="s">
        <v>476</v>
      </c>
      <c r="C1408" s="158" t="s">
        <v>33</v>
      </c>
      <c r="D1408" s="158" t="s">
        <v>34</v>
      </c>
      <c r="E1408" s="157">
        <v>15</v>
      </c>
      <c r="F1408" s="158" t="s">
        <v>525</v>
      </c>
      <c r="G1408" s="159">
        <v>835356</v>
      </c>
      <c r="H1408" s="159">
        <v>0</v>
      </c>
      <c r="I1408" s="159">
        <v>160356</v>
      </c>
      <c r="J1408" s="159">
        <v>19.2</v>
      </c>
      <c r="K1408" t="str">
        <f>VLOOKUP($C1408,Lists!$C$3:$M$118,7,FALSE)</f>
        <v>Spirits</v>
      </c>
      <c r="S1408" s="4"/>
      <c r="T1408" s="4"/>
      <c r="U1408" s="5"/>
      <c r="V1408" s="5"/>
    </row>
    <row r="1409" spans="1:22" x14ac:dyDescent="0.25">
      <c r="A1409" s="158" t="s">
        <v>475</v>
      </c>
      <c r="B1409" s="158" t="s">
        <v>476</v>
      </c>
      <c r="C1409" s="158" t="s">
        <v>37</v>
      </c>
      <c r="D1409" s="158" t="s">
        <v>38</v>
      </c>
      <c r="E1409" s="157">
        <v>358</v>
      </c>
      <c r="F1409" s="158" t="s">
        <v>525</v>
      </c>
      <c r="G1409" s="159">
        <v>1180812.8799999999</v>
      </c>
      <c r="H1409" s="159">
        <v>0</v>
      </c>
      <c r="I1409" s="159">
        <v>553170.86</v>
      </c>
      <c r="J1409" s="159">
        <v>46.8</v>
      </c>
      <c r="K1409" t="str">
        <f>VLOOKUP($C1409,Lists!$C$3:$M$118,7,FALSE)</f>
        <v>SOBO_RGB</v>
      </c>
      <c r="S1409" s="4"/>
      <c r="T1409" s="4"/>
      <c r="U1409" s="5"/>
      <c r="V1409" s="5"/>
    </row>
    <row r="1410" spans="1:22" x14ac:dyDescent="0.25">
      <c r="A1410" s="158" t="s">
        <v>475</v>
      </c>
      <c r="B1410" s="158" t="s">
        <v>476</v>
      </c>
      <c r="C1410" s="158" t="s">
        <v>39</v>
      </c>
      <c r="D1410" s="158" t="s">
        <v>40</v>
      </c>
      <c r="E1410" s="157">
        <v>216</v>
      </c>
      <c r="F1410" s="158" t="s">
        <v>525</v>
      </c>
      <c r="G1410" s="159">
        <v>712445.76</v>
      </c>
      <c r="H1410" s="159">
        <v>0</v>
      </c>
      <c r="I1410" s="159">
        <v>330806.15999999997</v>
      </c>
      <c r="J1410" s="159">
        <v>46.4</v>
      </c>
      <c r="K1410" t="str">
        <f>VLOOKUP($C1410,Lists!$C$3:$M$118,7,FALSE)</f>
        <v>SOBO_RGB</v>
      </c>
      <c r="S1410" s="4"/>
      <c r="T1410" s="4"/>
      <c r="U1410" s="5"/>
      <c r="V1410" s="5"/>
    </row>
    <row r="1411" spans="1:22" x14ac:dyDescent="0.25">
      <c r="A1411" s="158" t="s">
        <v>475</v>
      </c>
      <c r="B1411" s="158" t="s">
        <v>476</v>
      </c>
      <c r="C1411" s="158" t="s">
        <v>45</v>
      </c>
      <c r="D1411" s="158" t="s">
        <v>46</v>
      </c>
      <c r="E1411" s="157">
        <v>144</v>
      </c>
      <c r="F1411" s="158" t="s">
        <v>525</v>
      </c>
      <c r="G1411" s="159">
        <v>569956.31999999995</v>
      </c>
      <c r="H1411" s="159">
        <v>0</v>
      </c>
      <c r="I1411" s="159">
        <v>280723.68</v>
      </c>
      <c r="J1411" s="159">
        <v>49.3</v>
      </c>
      <c r="K1411" t="str">
        <f>VLOOKUP($C1411,Lists!$C$3:$M$118,7,FALSE)</f>
        <v>SOBO_RGB</v>
      </c>
      <c r="S1411" s="4"/>
      <c r="T1411" s="4"/>
      <c r="U1411" s="5"/>
      <c r="V1411" s="5"/>
    </row>
    <row r="1412" spans="1:22" x14ac:dyDescent="0.25">
      <c r="A1412" s="158" t="s">
        <v>475</v>
      </c>
      <c r="B1412" s="158" t="s">
        <v>476</v>
      </c>
      <c r="C1412" s="158" t="s">
        <v>47</v>
      </c>
      <c r="D1412" s="158" t="s">
        <v>48</v>
      </c>
      <c r="E1412" s="157">
        <v>144</v>
      </c>
      <c r="F1412" s="158" t="s">
        <v>525</v>
      </c>
      <c r="G1412" s="159">
        <v>569956.31999999995</v>
      </c>
      <c r="H1412" s="159">
        <v>0</v>
      </c>
      <c r="I1412" s="159">
        <v>248735.52</v>
      </c>
      <c r="J1412" s="159">
        <v>43.6</v>
      </c>
      <c r="K1412" t="str">
        <f>VLOOKUP($C1412,Lists!$C$3:$M$118,7,FALSE)</f>
        <v>COKE_RGB</v>
      </c>
      <c r="S1412" s="4"/>
      <c r="T1412" s="4"/>
      <c r="U1412" s="5"/>
      <c r="V1412" s="5"/>
    </row>
    <row r="1413" spans="1:22" x14ac:dyDescent="0.25">
      <c r="A1413" s="158" t="s">
        <v>475</v>
      </c>
      <c r="B1413" s="158" t="s">
        <v>476</v>
      </c>
      <c r="C1413" s="158" t="s">
        <v>68</v>
      </c>
      <c r="D1413" s="158" t="s">
        <v>534</v>
      </c>
      <c r="E1413" s="157">
        <v>144</v>
      </c>
      <c r="F1413" s="158" t="s">
        <v>525</v>
      </c>
      <c r="G1413" s="159">
        <v>406497.6</v>
      </c>
      <c r="H1413" s="159">
        <v>0</v>
      </c>
      <c r="I1413" s="159">
        <v>198080.64000000001</v>
      </c>
      <c r="J1413" s="159">
        <v>48.7</v>
      </c>
      <c r="K1413" t="str">
        <f>VLOOKUP($C1413,Lists!$C$3:$M$118,7,FALSE)</f>
        <v>COKE_PET</v>
      </c>
      <c r="S1413" s="4"/>
      <c r="T1413" s="4"/>
      <c r="U1413" s="5"/>
      <c r="V1413" s="5"/>
    </row>
    <row r="1414" spans="1:22" x14ac:dyDescent="0.25">
      <c r="A1414" s="158" t="s">
        <v>475</v>
      </c>
      <c r="B1414" s="158" t="s">
        <v>476</v>
      </c>
      <c r="C1414" s="158" t="s">
        <v>49</v>
      </c>
      <c r="D1414" s="158" t="s">
        <v>50</v>
      </c>
      <c r="E1414" s="157">
        <v>72</v>
      </c>
      <c r="F1414" s="158" t="s">
        <v>525</v>
      </c>
      <c r="G1414" s="159">
        <v>721971.36</v>
      </c>
      <c r="H1414" s="159">
        <v>0</v>
      </c>
      <c r="I1414" s="159">
        <v>229947.84</v>
      </c>
      <c r="J1414" s="159">
        <v>31.8</v>
      </c>
      <c r="K1414" t="str">
        <f>VLOOKUP($C1414,Lists!$C$3:$M$118,7,FALSE)</f>
        <v>Squash</v>
      </c>
      <c r="S1414" s="4"/>
      <c r="T1414" s="4"/>
      <c r="U1414" s="5"/>
      <c r="V1414" s="5"/>
    </row>
    <row r="1415" spans="1:22" x14ac:dyDescent="0.25">
      <c r="A1415" s="158" t="s">
        <v>475</v>
      </c>
      <c r="B1415" s="158" t="s">
        <v>476</v>
      </c>
      <c r="C1415" s="158" t="s">
        <v>51</v>
      </c>
      <c r="D1415" s="158" t="s">
        <v>52</v>
      </c>
      <c r="E1415" s="157">
        <v>287</v>
      </c>
      <c r="F1415" s="158" t="s">
        <v>525</v>
      </c>
      <c r="G1415" s="159">
        <v>2877858.06</v>
      </c>
      <c r="H1415" s="159">
        <v>0</v>
      </c>
      <c r="I1415" s="159">
        <v>908937.61</v>
      </c>
      <c r="J1415" s="159">
        <v>31.6</v>
      </c>
      <c r="K1415" t="str">
        <f>VLOOKUP($C1415,Lists!$C$3:$M$118,7,FALSE)</f>
        <v>Squash</v>
      </c>
      <c r="S1415" s="4"/>
      <c r="T1415" s="4"/>
      <c r="U1415" s="5"/>
      <c r="V1415" s="5"/>
    </row>
    <row r="1416" spans="1:22" x14ac:dyDescent="0.25">
      <c r="A1416" s="158" t="s">
        <v>477</v>
      </c>
      <c r="B1416" s="158" t="s">
        <v>345</v>
      </c>
      <c r="C1416" s="158" t="s">
        <v>10</v>
      </c>
      <c r="D1416" s="158" t="s">
        <v>11</v>
      </c>
      <c r="E1416" s="157">
        <v>144</v>
      </c>
      <c r="F1416" s="158" t="s">
        <v>525</v>
      </c>
      <c r="G1416" s="159">
        <v>1112446.08</v>
      </c>
      <c r="H1416" s="159">
        <v>0</v>
      </c>
      <c r="I1416" s="159">
        <v>466606.08000000002</v>
      </c>
      <c r="J1416" s="159">
        <v>41.9</v>
      </c>
      <c r="K1416" t="str">
        <f>VLOOKUP($C1416,Lists!$C$3:$M$118,7,FALSE)</f>
        <v>Alcomix</v>
      </c>
      <c r="S1416" s="4"/>
      <c r="T1416" s="4"/>
      <c r="U1416" s="5"/>
      <c r="V1416" s="5"/>
    </row>
    <row r="1417" spans="1:22" x14ac:dyDescent="0.25">
      <c r="A1417" s="158" t="s">
        <v>477</v>
      </c>
      <c r="B1417" s="158" t="s">
        <v>345</v>
      </c>
      <c r="C1417" s="158" t="s">
        <v>12</v>
      </c>
      <c r="D1417" s="158" t="s">
        <v>13</v>
      </c>
      <c r="E1417" s="157">
        <v>2300</v>
      </c>
      <c r="F1417" s="158" t="s">
        <v>525</v>
      </c>
      <c r="G1417" s="159">
        <v>14806871</v>
      </c>
      <c r="H1417" s="159">
        <v>0</v>
      </c>
      <c r="I1417" s="159">
        <v>6471096</v>
      </c>
      <c r="J1417" s="159">
        <v>43.7</v>
      </c>
      <c r="K1417" t="str">
        <f>VLOOKUP($C1417,Lists!$C$3:$M$118,7,FALSE)</f>
        <v>Beers</v>
      </c>
      <c r="S1417" s="4"/>
      <c r="T1417" s="4"/>
      <c r="U1417" s="5"/>
      <c r="V1417" s="5"/>
    </row>
    <row r="1418" spans="1:22" x14ac:dyDescent="0.25">
      <c r="A1418" s="158" t="s">
        <v>477</v>
      </c>
      <c r="B1418" s="158" t="s">
        <v>345</v>
      </c>
      <c r="C1418" s="158" t="s">
        <v>14</v>
      </c>
      <c r="D1418" s="158" t="s">
        <v>15</v>
      </c>
      <c r="E1418" s="157">
        <v>1940</v>
      </c>
      <c r="F1418" s="158" t="s">
        <v>525</v>
      </c>
      <c r="G1418" s="159">
        <v>14987120.800000001</v>
      </c>
      <c r="H1418" s="159">
        <v>0</v>
      </c>
      <c r="I1418" s="159">
        <v>7400983.5999999996</v>
      </c>
      <c r="J1418" s="159">
        <v>49.4</v>
      </c>
      <c r="K1418" t="str">
        <f>VLOOKUP($C1418,Lists!$C$3:$M$118,7,FALSE)</f>
        <v>Beers</v>
      </c>
      <c r="S1418" s="4"/>
      <c r="T1418" s="4"/>
      <c r="U1418" s="5"/>
      <c r="V1418" s="5"/>
    </row>
    <row r="1419" spans="1:22" x14ac:dyDescent="0.25">
      <c r="A1419" s="158" t="s">
        <v>477</v>
      </c>
      <c r="B1419" s="158" t="s">
        <v>345</v>
      </c>
      <c r="C1419" s="158" t="s">
        <v>54</v>
      </c>
      <c r="D1419" s="158" t="s">
        <v>55</v>
      </c>
      <c r="E1419" s="157">
        <v>100</v>
      </c>
      <c r="F1419" s="158" t="s">
        <v>525</v>
      </c>
      <c r="G1419" s="159">
        <v>772532</v>
      </c>
      <c r="H1419" s="159">
        <v>0</v>
      </c>
      <c r="I1419" s="159">
        <v>405557</v>
      </c>
      <c r="J1419" s="159">
        <v>52.5</v>
      </c>
      <c r="K1419" t="str">
        <f>VLOOKUP($C1419,Lists!$C$3:$M$118,7,FALSE)</f>
        <v>Beers</v>
      </c>
      <c r="S1419" s="4"/>
      <c r="T1419" s="4"/>
      <c r="U1419" s="5"/>
      <c r="V1419" s="5"/>
    </row>
    <row r="1420" spans="1:22" x14ac:dyDescent="0.25">
      <c r="A1420" s="158" t="s">
        <v>477</v>
      </c>
      <c r="B1420" s="158" t="s">
        <v>345</v>
      </c>
      <c r="C1420" s="158" t="s">
        <v>16</v>
      </c>
      <c r="D1420" s="158" t="s">
        <v>17</v>
      </c>
      <c r="E1420" s="157">
        <v>2011</v>
      </c>
      <c r="F1420" s="158" t="s">
        <v>525</v>
      </c>
      <c r="G1420" s="159">
        <v>15535618.52</v>
      </c>
      <c r="H1420" s="159">
        <v>0</v>
      </c>
      <c r="I1420" s="159">
        <v>7671844.3399999999</v>
      </c>
      <c r="J1420" s="159">
        <v>49.4</v>
      </c>
      <c r="K1420" t="str">
        <f>VLOOKUP($C1420,Lists!$C$3:$M$118,7,FALSE)</f>
        <v>Beers</v>
      </c>
      <c r="S1420" s="4"/>
      <c r="T1420" s="4"/>
      <c r="U1420" s="5"/>
      <c r="V1420" s="5"/>
    </row>
    <row r="1421" spans="1:22" x14ac:dyDescent="0.25">
      <c r="A1421" s="158" t="s">
        <v>477</v>
      </c>
      <c r="B1421" s="158" t="s">
        <v>345</v>
      </c>
      <c r="C1421" s="158" t="s">
        <v>56</v>
      </c>
      <c r="D1421" s="158" t="s">
        <v>57</v>
      </c>
      <c r="E1421" s="157">
        <v>100</v>
      </c>
      <c r="F1421" s="158" t="s">
        <v>525</v>
      </c>
      <c r="G1421" s="159">
        <v>772532</v>
      </c>
      <c r="H1421" s="159">
        <v>0</v>
      </c>
      <c r="I1421" s="159">
        <v>405557</v>
      </c>
      <c r="J1421" s="159">
        <v>52.5</v>
      </c>
      <c r="K1421" t="str">
        <f>VLOOKUP($C1421,Lists!$C$3:$M$118,7,FALSE)</f>
        <v>Beers</v>
      </c>
      <c r="S1421" s="4"/>
      <c r="T1421" s="4"/>
      <c r="U1421" s="5"/>
      <c r="V1421" s="5"/>
    </row>
    <row r="1422" spans="1:22" x14ac:dyDescent="0.25">
      <c r="A1422" s="158" t="s">
        <v>477</v>
      </c>
      <c r="B1422" s="158" t="s">
        <v>345</v>
      </c>
      <c r="C1422" s="158" t="s">
        <v>18</v>
      </c>
      <c r="D1422" s="158" t="s">
        <v>19</v>
      </c>
      <c r="E1422" s="157">
        <v>791</v>
      </c>
      <c r="F1422" s="158" t="s">
        <v>525</v>
      </c>
      <c r="G1422" s="159">
        <v>8147640.1299999999</v>
      </c>
      <c r="H1422" s="159">
        <v>0</v>
      </c>
      <c r="I1422" s="159">
        <v>4224675.63</v>
      </c>
      <c r="J1422" s="159">
        <v>51.9</v>
      </c>
      <c r="K1422" t="str">
        <f>VLOOKUP($C1422,Lists!$C$3:$M$118,7,FALSE)</f>
        <v>Beers</v>
      </c>
      <c r="S1422" s="4"/>
      <c r="T1422" s="4"/>
      <c r="U1422" s="5"/>
      <c r="V1422" s="5"/>
    </row>
    <row r="1423" spans="1:22" x14ac:dyDescent="0.25">
      <c r="A1423" s="158" t="s">
        <v>477</v>
      </c>
      <c r="B1423" s="158" t="s">
        <v>345</v>
      </c>
      <c r="C1423" s="158" t="s">
        <v>20</v>
      </c>
      <c r="D1423" s="158" t="s">
        <v>21</v>
      </c>
      <c r="E1423" s="157">
        <v>2156</v>
      </c>
      <c r="F1423" s="158" t="s">
        <v>525</v>
      </c>
      <c r="G1423" s="159">
        <v>8533512.6799999997</v>
      </c>
      <c r="H1423" s="159">
        <v>0</v>
      </c>
      <c r="I1423" s="159">
        <v>3586139.48</v>
      </c>
      <c r="J1423" s="159">
        <v>42</v>
      </c>
      <c r="K1423" t="str">
        <f>VLOOKUP($C1423,Lists!$C$3:$M$118,7,FALSE)</f>
        <v>COKE_RGB</v>
      </c>
      <c r="S1423" s="4"/>
      <c r="T1423" s="4"/>
      <c r="U1423" s="5"/>
      <c r="V1423" s="5"/>
    </row>
    <row r="1424" spans="1:22" x14ac:dyDescent="0.25">
      <c r="A1424" s="158" t="s">
        <v>477</v>
      </c>
      <c r="B1424" s="158" t="s">
        <v>345</v>
      </c>
      <c r="C1424" s="158" t="s">
        <v>28</v>
      </c>
      <c r="D1424" s="158" t="s">
        <v>530</v>
      </c>
      <c r="E1424" s="157">
        <v>288</v>
      </c>
      <c r="F1424" s="158" t="s">
        <v>525</v>
      </c>
      <c r="G1424" s="159">
        <v>812995.2</v>
      </c>
      <c r="H1424" s="159">
        <v>0</v>
      </c>
      <c r="I1424" s="159">
        <v>410068.8</v>
      </c>
      <c r="J1424" s="159">
        <v>50.4</v>
      </c>
      <c r="K1424" t="str">
        <f>VLOOKUP($C1424,Lists!$C$3:$M$118,7,FALSE)</f>
        <v>COKE_PET</v>
      </c>
      <c r="S1424" s="4"/>
      <c r="T1424" s="4"/>
      <c r="U1424" s="5"/>
      <c r="V1424" s="5"/>
    </row>
    <row r="1425" spans="1:22" x14ac:dyDescent="0.25">
      <c r="A1425" s="158" t="s">
        <v>477</v>
      </c>
      <c r="B1425" s="158" t="s">
        <v>345</v>
      </c>
      <c r="C1425" s="158" t="s">
        <v>58</v>
      </c>
      <c r="D1425" s="158" t="s">
        <v>537</v>
      </c>
      <c r="E1425" s="157">
        <v>288</v>
      </c>
      <c r="F1425" s="158" t="s">
        <v>525</v>
      </c>
      <c r="G1425" s="159">
        <v>696853.44</v>
      </c>
      <c r="H1425" s="159">
        <v>0</v>
      </c>
      <c r="I1425" s="159">
        <v>386084.15</v>
      </c>
      <c r="J1425" s="159">
        <v>55.4</v>
      </c>
      <c r="K1425" t="str">
        <f>VLOOKUP($C1425,Lists!$C$3:$M$118,7,FALSE)</f>
        <v>SOBO_PET</v>
      </c>
      <c r="S1425" s="4"/>
      <c r="T1425" s="4"/>
      <c r="U1425" s="5"/>
      <c r="V1425" s="5"/>
    </row>
    <row r="1426" spans="1:22" x14ac:dyDescent="0.25">
      <c r="A1426" s="158" t="s">
        <v>477</v>
      </c>
      <c r="B1426" s="158" t="s">
        <v>345</v>
      </c>
      <c r="C1426" s="158" t="s">
        <v>78</v>
      </c>
      <c r="D1426" s="158" t="s">
        <v>526</v>
      </c>
      <c r="E1426" s="157">
        <v>143</v>
      </c>
      <c r="F1426" s="158" t="s">
        <v>525</v>
      </c>
      <c r="G1426" s="159">
        <v>346007.09</v>
      </c>
      <c r="H1426" s="159">
        <v>0</v>
      </c>
      <c r="I1426" s="159">
        <v>188915.87</v>
      </c>
      <c r="J1426" s="159">
        <v>54.6</v>
      </c>
      <c r="K1426" t="str">
        <f>VLOOKUP($C1426,Lists!$C$3:$M$118,7,FALSE)</f>
        <v>SOBO_PET</v>
      </c>
      <c r="S1426" s="4"/>
      <c r="T1426" s="4"/>
      <c r="U1426" s="5"/>
      <c r="V1426" s="5"/>
    </row>
    <row r="1427" spans="1:22" x14ac:dyDescent="0.25">
      <c r="A1427" s="158" t="s">
        <v>477</v>
      </c>
      <c r="B1427" s="158" t="s">
        <v>345</v>
      </c>
      <c r="C1427" s="158" t="s">
        <v>43</v>
      </c>
      <c r="D1427" s="158" t="s">
        <v>44</v>
      </c>
      <c r="E1427" s="157">
        <v>432</v>
      </c>
      <c r="F1427" s="158" t="s">
        <v>525</v>
      </c>
      <c r="G1427" s="159">
        <v>3337338.24</v>
      </c>
      <c r="H1427" s="159">
        <v>0</v>
      </c>
      <c r="I1427" s="159">
        <v>1648054.08</v>
      </c>
      <c r="J1427" s="159">
        <v>49.4</v>
      </c>
      <c r="K1427" t="str">
        <f>VLOOKUP($C1427,Lists!$C$3:$M$118,7,FALSE)</f>
        <v>Beers</v>
      </c>
      <c r="S1427" s="4"/>
      <c r="T1427" s="4"/>
      <c r="U1427" s="5"/>
      <c r="V1427" s="5"/>
    </row>
    <row r="1428" spans="1:22" x14ac:dyDescent="0.25">
      <c r="A1428" s="158" t="s">
        <v>477</v>
      </c>
      <c r="B1428" s="158" t="s">
        <v>345</v>
      </c>
      <c r="C1428" s="158" t="s">
        <v>59</v>
      </c>
      <c r="D1428" s="158" t="s">
        <v>60</v>
      </c>
      <c r="E1428" s="157">
        <v>215</v>
      </c>
      <c r="F1428" s="158" t="s">
        <v>525</v>
      </c>
      <c r="G1428" s="159">
        <v>850976.45</v>
      </c>
      <c r="H1428" s="159">
        <v>0</v>
      </c>
      <c r="I1428" s="159">
        <v>346489.7</v>
      </c>
      <c r="J1428" s="159">
        <v>40.700000000000003</v>
      </c>
      <c r="K1428" t="str">
        <f>VLOOKUP($C1428,Lists!$C$3:$M$118,7,FALSE)</f>
        <v>COKE_RGB</v>
      </c>
      <c r="S1428" s="4"/>
      <c r="T1428" s="4"/>
      <c r="U1428" s="5"/>
      <c r="V1428" s="5"/>
    </row>
    <row r="1429" spans="1:22" x14ac:dyDescent="0.25">
      <c r="A1429" s="158" t="s">
        <v>477</v>
      </c>
      <c r="B1429" s="158" t="s">
        <v>345</v>
      </c>
      <c r="C1429" s="158" t="s">
        <v>22</v>
      </c>
      <c r="D1429" s="158" t="s">
        <v>23</v>
      </c>
      <c r="E1429" s="157">
        <v>1079</v>
      </c>
      <c r="F1429" s="158" t="s">
        <v>525</v>
      </c>
      <c r="G1429" s="159">
        <v>4270714.37</v>
      </c>
      <c r="H1429" s="159">
        <v>0</v>
      </c>
      <c r="I1429" s="159">
        <v>1720530.24</v>
      </c>
      <c r="J1429" s="159">
        <v>40.299999999999997</v>
      </c>
      <c r="K1429" t="str">
        <f>VLOOKUP($C1429,Lists!$C$3:$M$118,7,FALSE)</f>
        <v>COKE_RGB</v>
      </c>
      <c r="S1429" s="4"/>
      <c r="T1429" s="4"/>
      <c r="U1429" s="5"/>
      <c r="V1429" s="5"/>
    </row>
    <row r="1430" spans="1:22" x14ac:dyDescent="0.25">
      <c r="A1430" s="158" t="s">
        <v>477</v>
      </c>
      <c r="B1430" s="158" t="s">
        <v>345</v>
      </c>
      <c r="C1430" s="158" t="s">
        <v>261</v>
      </c>
      <c r="D1430" s="158" t="s">
        <v>538</v>
      </c>
      <c r="E1430" s="157">
        <v>144</v>
      </c>
      <c r="F1430" s="158" t="s">
        <v>525</v>
      </c>
      <c r="G1430" s="159">
        <v>569956.31999999995</v>
      </c>
      <c r="H1430" s="159">
        <v>0</v>
      </c>
      <c r="I1430" s="159">
        <v>229616.64000000001</v>
      </c>
      <c r="J1430" s="159">
        <v>40.299999999999997</v>
      </c>
      <c r="K1430" t="str">
        <f>VLOOKUP($C1430,Lists!$C$3:$M$118,7,FALSE)</f>
        <v>COKE_RGB</v>
      </c>
      <c r="S1430" s="4"/>
      <c r="T1430" s="4"/>
      <c r="U1430" s="5"/>
      <c r="V1430" s="5"/>
    </row>
    <row r="1431" spans="1:22" x14ac:dyDescent="0.25">
      <c r="A1431" s="158" t="s">
        <v>477</v>
      </c>
      <c r="B1431" s="158" t="s">
        <v>345</v>
      </c>
      <c r="C1431" s="158" t="s">
        <v>24</v>
      </c>
      <c r="D1431" s="158" t="s">
        <v>25</v>
      </c>
      <c r="E1431" s="157">
        <v>1151</v>
      </c>
      <c r="F1431" s="158" t="s">
        <v>525</v>
      </c>
      <c r="G1431" s="159">
        <v>7409873.2699999996</v>
      </c>
      <c r="H1431" s="159">
        <v>0</v>
      </c>
      <c r="I1431" s="159">
        <v>3567685.64</v>
      </c>
      <c r="J1431" s="159">
        <v>48.1</v>
      </c>
      <c r="K1431" t="str">
        <f>VLOOKUP($C1431,Lists!$C$3:$M$118,7,FALSE)</f>
        <v>Beers</v>
      </c>
      <c r="S1431" s="4"/>
      <c r="T1431" s="4"/>
      <c r="U1431" s="5"/>
      <c r="V1431" s="5"/>
    </row>
    <row r="1432" spans="1:22" x14ac:dyDescent="0.25">
      <c r="A1432" s="158" t="s">
        <v>477</v>
      </c>
      <c r="B1432" s="158" t="s">
        <v>345</v>
      </c>
      <c r="C1432" s="158" t="s">
        <v>29</v>
      </c>
      <c r="D1432" s="158" t="s">
        <v>30</v>
      </c>
      <c r="E1432" s="157">
        <v>110</v>
      </c>
      <c r="F1432" s="158" t="s">
        <v>525</v>
      </c>
      <c r="G1432" s="159">
        <v>4002282.9</v>
      </c>
      <c r="H1432" s="159">
        <v>0</v>
      </c>
      <c r="I1432" s="159">
        <v>1142282.8999999999</v>
      </c>
      <c r="J1432" s="159">
        <v>28.5</v>
      </c>
      <c r="K1432" t="str">
        <f>VLOOKUP($C1432,Lists!$C$3:$M$118,7,FALSE)</f>
        <v>Spirits</v>
      </c>
      <c r="S1432" s="4"/>
      <c r="T1432" s="4"/>
      <c r="U1432" s="5"/>
      <c r="V1432" s="5"/>
    </row>
    <row r="1433" spans="1:22" x14ac:dyDescent="0.25">
      <c r="A1433" s="158" t="s">
        <v>477</v>
      </c>
      <c r="B1433" s="158" t="s">
        <v>345</v>
      </c>
      <c r="C1433" s="158" t="s">
        <v>33</v>
      </c>
      <c r="D1433" s="158" t="s">
        <v>34</v>
      </c>
      <c r="E1433" s="157">
        <v>30</v>
      </c>
      <c r="F1433" s="158" t="s">
        <v>525</v>
      </c>
      <c r="G1433" s="159">
        <v>1670712</v>
      </c>
      <c r="H1433" s="159">
        <v>0</v>
      </c>
      <c r="I1433" s="159">
        <v>320712</v>
      </c>
      <c r="J1433" s="159">
        <v>19.2</v>
      </c>
      <c r="K1433" t="str">
        <f>VLOOKUP($C1433,Lists!$C$3:$M$118,7,FALSE)</f>
        <v>Spirits</v>
      </c>
      <c r="S1433" s="4"/>
      <c r="T1433" s="4"/>
      <c r="U1433" s="5"/>
      <c r="V1433" s="5"/>
    </row>
    <row r="1434" spans="1:22" x14ac:dyDescent="0.25">
      <c r="A1434" s="158" t="s">
        <v>477</v>
      </c>
      <c r="B1434" s="158" t="s">
        <v>345</v>
      </c>
      <c r="C1434" s="158" t="s">
        <v>37</v>
      </c>
      <c r="D1434" s="158" t="s">
        <v>38</v>
      </c>
      <c r="E1434" s="157">
        <v>645</v>
      </c>
      <c r="F1434" s="158" t="s">
        <v>525</v>
      </c>
      <c r="G1434" s="159">
        <v>2127442.2000000002</v>
      </c>
      <c r="H1434" s="159">
        <v>0</v>
      </c>
      <c r="I1434" s="159">
        <v>996634.65</v>
      </c>
      <c r="J1434" s="159">
        <v>46.8</v>
      </c>
      <c r="K1434" t="str">
        <f>VLOOKUP($C1434,Lists!$C$3:$M$118,7,FALSE)</f>
        <v>SOBO_RGB</v>
      </c>
      <c r="S1434" s="4"/>
      <c r="T1434" s="4"/>
      <c r="U1434" s="5"/>
      <c r="V1434" s="5"/>
    </row>
    <row r="1435" spans="1:22" x14ac:dyDescent="0.25">
      <c r="A1435" s="158" t="s">
        <v>477</v>
      </c>
      <c r="B1435" s="158" t="s">
        <v>345</v>
      </c>
      <c r="C1435" s="158" t="s">
        <v>39</v>
      </c>
      <c r="D1435" s="158" t="s">
        <v>40</v>
      </c>
      <c r="E1435" s="157">
        <v>647</v>
      </c>
      <c r="F1435" s="158" t="s">
        <v>525</v>
      </c>
      <c r="G1435" s="159">
        <v>2134038.92</v>
      </c>
      <c r="H1435" s="159">
        <v>0</v>
      </c>
      <c r="I1435" s="159">
        <v>990886.97</v>
      </c>
      <c r="J1435" s="159">
        <v>46.4</v>
      </c>
      <c r="K1435" t="str">
        <f>VLOOKUP($C1435,Lists!$C$3:$M$118,7,FALSE)</f>
        <v>SOBO_RGB</v>
      </c>
      <c r="S1435" s="4"/>
      <c r="T1435" s="4"/>
      <c r="U1435" s="5"/>
      <c r="V1435" s="5"/>
    </row>
    <row r="1436" spans="1:22" x14ac:dyDescent="0.25">
      <c r="A1436" s="158" t="s">
        <v>477</v>
      </c>
      <c r="B1436" s="158" t="s">
        <v>345</v>
      </c>
      <c r="C1436" s="158" t="s">
        <v>45</v>
      </c>
      <c r="D1436" s="158" t="s">
        <v>46</v>
      </c>
      <c r="E1436" s="157">
        <v>215</v>
      </c>
      <c r="F1436" s="158" t="s">
        <v>525</v>
      </c>
      <c r="G1436" s="159">
        <v>850976.45</v>
      </c>
      <c r="H1436" s="159">
        <v>0</v>
      </c>
      <c r="I1436" s="159">
        <v>419136.05</v>
      </c>
      <c r="J1436" s="159">
        <v>49.3</v>
      </c>
      <c r="K1436" t="str">
        <f>VLOOKUP($C1436,Lists!$C$3:$M$118,7,FALSE)</f>
        <v>SOBO_RGB</v>
      </c>
      <c r="S1436" s="4"/>
      <c r="T1436" s="4"/>
      <c r="U1436" s="5"/>
      <c r="V1436" s="5"/>
    </row>
    <row r="1437" spans="1:22" x14ac:dyDescent="0.25">
      <c r="A1437" s="158" t="s">
        <v>477</v>
      </c>
      <c r="B1437" s="158" t="s">
        <v>345</v>
      </c>
      <c r="C1437" s="158" t="s">
        <v>47</v>
      </c>
      <c r="D1437" s="158" t="s">
        <v>48</v>
      </c>
      <c r="E1437" s="157">
        <v>504</v>
      </c>
      <c r="F1437" s="158" t="s">
        <v>525</v>
      </c>
      <c r="G1437" s="159">
        <v>1994847.12</v>
      </c>
      <c r="H1437" s="159">
        <v>0</v>
      </c>
      <c r="I1437" s="159">
        <v>870574.32</v>
      </c>
      <c r="J1437" s="159">
        <v>43.6</v>
      </c>
      <c r="K1437" t="str">
        <f>VLOOKUP($C1437,Lists!$C$3:$M$118,7,FALSE)</f>
        <v>COKE_RGB</v>
      </c>
      <c r="S1437" s="4"/>
      <c r="T1437" s="4"/>
      <c r="U1437" s="5"/>
      <c r="V1437" s="5"/>
    </row>
    <row r="1438" spans="1:22" x14ac:dyDescent="0.25">
      <c r="A1438" s="158" t="s">
        <v>477</v>
      </c>
      <c r="B1438" s="158" t="s">
        <v>345</v>
      </c>
      <c r="C1438" s="158" t="s">
        <v>49</v>
      </c>
      <c r="D1438" s="158" t="s">
        <v>50</v>
      </c>
      <c r="E1438" s="157">
        <v>72</v>
      </c>
      <c r="F1438" s="158" t="s">
        <v>525</v>
      </c>
      <c r="G1438" s="159">
        <v>721971.36</v>
      </c>
      <c r="H1438" s="159">
        <v>0</v>
      </c>
      <c r="I1438" s="159">
        <v>229947.84</v>
      </c>
      <c r="J1438" s="159">
        <v>31.8</v>
      </c>
      <c r="K1438" t="str">
        <f>VLOOKUP($C1438,Lists!$C$3:$M$118,7,FALSE)</f>
        <v>Squash</v>
      </c>
      <c r="S1438" s="4"/>
      <c r="T1438" s="4"/>
      <c r="U1438" s="5"/>
      <c r="V1438" s="5"/>
    </row>
    <row r="1439" spans="1:22" x14ac:dyDescent="0.25">
      <c r="A1439" s="158" t="s">
        <v>477</v>
      </c>
      <c r="B1439" s="158" t="s">
        <v>345</v>
      </c>
      <c r="C1439" s="158" t="s">
        <v>51</v>
      </c>
      <c r="D1439" s="158" t="s">
        <v>52</v>
      </c>
      <c r="E1439" s="157">
        <v>144</v>
      </c>
      <c r="F1439" s="158" t="s">
        <v>525</v>
      </c>
      <c r="G1439" s="159">
        <v>1443942.72</v>
      </c>
      <c r="H1439" s="159">
        <v>0</v>
      </c>
      <c r="I1439" s="159">
        <v>456052.32</v>
      </c>
      <c r="J1439" s="159">
        <v>31.6</v>
      </c>
      <c r="K1439" t="str">
        <f>VLOOKUP($C1439,Lists!$C$3:$M$118,7,FALSE)</f>
        <v>Squash</v>
      </c>
      <c r="S1439" s="4"/>
      <c r="T1439" s="4"/>
      <c r="U1439" s="5"/>
      <c r="V1439" s="5"/>
    </row>
    <row r="1440" spans="1:22" x14ac:dyDescent="0.25">
      <c r="A1440" s="158" t="s">
        <v>477</v>
      </c>
      <c r="B1440" s="158" t="s">
        <v>345</v>
      </c>
      <c r="C1440" s="158" t="s">
        <v>26</v>
      </c>
      <c r="D1440" s="158" t="s">
        <v>27</v>
      </c>
      <c r="E1440" s="157">
        <v>288</v>
      </c>
      <c r="F1440" s="158" t="s">
        <v>525</v>
      </c>
      <c r="G1440" s="159">
        <v>628531.19999999995</v>
      </c>
      <c r="H1440" s="159">
        <v>0</v>
      </c>
      <c r="I1440" s="159">
        <v>277102.07</v>
      </c>
      <c r="J1440" s="159">
        <v>44.1</v>
      </c>
      <c r="K1440" t="str">
        <f>VLOOKUP($C1440,Lists!$C$3:$M$118,7,FALSE)</f>
        <v>Water</v>
      </c>
      <c r="S1440" s="4"/>
      <c r="T1440" s="4"/>
      <c r="U1440" s="5"/>
      <c r="V1440" s="5"/>
    </row>
    <row r="1441" spans="1:22" x14ac:dyDescent="0.25">
      <c r="A1441" s="158" t="s">
        <v>478</v>
      </c>
      <c r="B1441" s="158" t="s">
        <v>107</v>
      </c>
      <c r="C1441" s="158" t="s">
        <v>10</v>
      </c>
      <c r="D1441" s="158" t="s">
        <v>11</v>
      </c>
      <c r="E1441" s="157">
        <v>144</v>
      </c>
      <c r="F1441" s="158" t="s">
        <v>525</v>
      </c>
      <c r="G1441" s="159">
        <v>1112446.08</v>
      </c>
      <c r="H1441" s="159">
        <v>0</v>
      </c>
      <c r="I1441" s="159">
        <v>466606.08000000002</v>
      </c>
      <c r="J1441" s="159">
        <v>41.9</v>
      </c>
      <c r="K1441" t="str">
        <f>VLOOKUP($C1441,Lists!$C$3:$M$118,7,FALSE)</f>
        <v>Alcomix</v>
      </c>
      <c r="S1441" s="4"/>
      <c r="T1441" s="4"/>
      <c r="U1441" s="5"/>
      <c r="V1441" s="5"/>
    </row>
    <row r="1442" spans="1:22" x14ac:dyDescent="0.25">
      <c r="A1442" s="158" t="s">
        <v>478</v>
      </c>
      <c r="B1442" s="158" t="s">
        <v>107</v>
      </c>
      <c r="C1442" s="158" t="s">
        <v>12</v>
      </c>
      <c r="D1442" s="158" t="s">
        <v>13</v>
      </c>
      <c r="E1442" s="157">
        <v>5392</v>
      </c>
      <c r="F1442" s="158" t="s">
        <v>525</v>
      </c>
      <c r="G1442" s="159">
        <v>34712455.840000004</v>
      </c>
      <c r="H1442" s="159">
        <v>0</v>
      </c>
      <c r="I1442" s="159">
        <v>15170499.84</v>
      </c>
      <c r="J1442" s="159">
        <v>43.7</v>
      </c>
      <c r="K1442" t="str">
        <f>VLOOKUP($C1442,Lists!$C$3:$M$118,7,FALSE)</f>
        <v>Beers</v>
      </c>
      <c r="S1442" s="4"/>
      <c r="T1442" s="4"/>
      <c r="U1442" s="5"/>
      <c r="V1442" s="5"/>
    </row>
    <row r="1443" spans="1:22" x14ac:dyDescent="0.25">
      <c r="A1443" s="158" t="s">
        <v>478</v>
      </c>
      <c r="B1443" s="158" t="s">
        <v>107</v>
      </c>
      <c r="C1443" s="158" t="s">
        <v>14</v>
      </c>
      <c r="D1443" s="158" t="s">
        <v>15</v>
      </c>
      <c r="E1443" s="157">
        <v>3378</v>
      </c>
      <c r="F1443" s="158" t="s">
        <v>525</v>
      </c>
      <c r="G1443" s="159">
        <v>26096130.960000001</v>
      </c>
      <c r="H1443" s="159">
        <v>0</v>
      </c>
      <c r="I1443" s="159">
        <v>12886867.32</v>
      </c>
      <c r="J1443" s="159">
        <v>49.4</v>
      </c>
      <c r="K1443" t="str">
        <f>VLOOKUP($C1443,Lists!$C$3:$M$118,7,FALSE)</f>
        <v>Beers</v>
      </c>
      <c r="S1443" s="4"/>
      <c r="T1443" s="4"/>
      <c r="U1443" s="5"/>
      <c r="V1443" s="5"/>
    </row>
    <row r="1444" spans="1:22" x14ac:dyDescent="0.25">
      <c r="A1444" s="158" t="s">
        <v>478</v>
      </c>
      <c r="B1444" s="158" t="s">
        <v>107</v>
      </c>
      <c r="C1444" s="158" t="s">
        <v>54</v>
      </c>
      <c r="D1444" s="158" t="s">
        <v>55</v>
      </c>
      <c r="E1444" s="157">
        <v>846</v>
      </c>
      <c r="F1444" s="158" t="s">
        <v>525</v>
      </c>
      <c r="G1444" s="159">
        <v>6535620.7199999997</v>
      </c>
      <c r="H1444" s="159">
        <v>0</v>
      </c>
      <c r="I1444" s="159">
        <v>3431012.22</v>
      </c>
      <c r="J1444" s="159">
        <v>52.5</v>
      </c>
      <c r="K1444" t="str">
        <f>VLOOKUP($C1444,Lists!$C$3:$M$118,7,FALSE)</f>
        <v>Beers</v>
      </c>
      <c r="S1444" s="4"/>
      <c r="T1444" s="4"/>
      <c r="U1444" s="5"/>
      <c r="V1444" s="5"/>
    </row>
    <row r="1445" spans="1:22" x14ac:dyDescent="0.25">
      <c r="A1445" s="158" t="s">
        <v>478</v>
      </c>
      <c r="B1445" s="158" t="s">
        <v>107</v>
      </c>
      <c r="C1445" s="158" t="s">
        <v>16</v>
      </c>
      <c r="D1445" s="158" t="s">
        <v>17</v>
      </c>
      <c r="E1445" s="157">
        <v>4813</v>
      </c>
      <c r="F1445" s="158" t="s">
        <v>525</v>
      </c>
      <c r="G1445" s="159">
        <v>37181965.159999996</v>
      </c>
      <c r="H1445" s="159">
        <v>0</v>
      </c>
      <c r="I1445" s="159">
        <v>18361306.219999999</v>
      </c>
      <c r="J1445" s="159">
        <v>49.4</v>
      </c>
      <c r="K1445" t="str">
        <f>VLOOKUP($C1445,Lists!$C$3:$M$118,7,FALSE)</f>
        <v>Beers</v>
      </c>
      <c r="S1445" s="4"/>
      <c r="T1445" s="4"/>
      <c r="U1445" s="5"/>
      <c r="V1445" s="5"/>
    </row>
    <row r="1446" spans="1:22" x14ac:dyDescent="0.25">
      <c r="A1446" s="158" t="s">
        <v>478</v>
      </c>
      <c r="B1446" s="158" t="s">
        <v>107</v>
      </c>
      <c r="C1446" s="158" t="s">
        <v>56</v>
      </c>
      <c r="D1446" s="158" t="s">
        <v>57</v>
      </c>
      <c r="E1446" s="157">
        <v>300</v>
      </c>
      <c r="F1446" s="158" t="s">
        <v>525</v>
      </c>
      <c r="G1446" s="159">
        <v>2317596</v>
      </c>
      <c r="H1446" s="159">
        <v>0</v>
      </c>
      <c r="I1446" s="159">
        <v>1216671</v>
      </c>
      <c r="J1446" s="159">
        <v>52.5</v>
      </c>
      <c r="K1446" t="str">
        <f>VLOOKUP($C1446,Lists!$C$3:$M$118,7,FALSE)</f>
        <v>Beers</v>
      </c>
      <c r="S1446" s="4"/>
      <c r="T1446" s="4"/>
      <c r="U1446" s="5"/>
      <c r="V1446" s="5"/>
    </row>
    <row r="1447" spans="1:22" x14ac:dyDescent="0.25">
      <c r="A1447" s="158" t="s">
        <v>478</v>
      </c>
      <c r="B1447" s="158" t="s">
        <v>107</v>
      </c>
      <c r="C1447" s="158" t="s">
        <v>18</v>
      </c>
      <c r="D1447" s="158" t="s">
        <v>19</v>
      </c>
      <c r="E1447" s="157">
        <v>502</v>
      </c>
      <c r="F1447" s="158" t="s">
        <v>525</v>
      </c>
      <c r="G1447" s="159">
        <v>5170815.8600000003</v>
      </c>
      <c r="H1447" s="159">
        <v>0</v>
      </c>
      <c r="I1447" s="159">
        <v>2681146.86</v>
      </c>
      <c r="J1447" s="159">
        <v>51.9</v>
      </c>
      <c r="K1447" t="str">
        <f>VLOOKUP($C1447,Lists!$C$3:$M$118,7,FALSE)</f>
        <v>Beers</v>
      </c>
      <c r="S1447" s="4"/>
      <c r="T1447" s="4"/>
      <c r="U1447" s="5"/>
      <c r="V1447" s="5"/>
    </row>
    <row r="1448" spans="1:22" x14ac:dyDescent="0.25">
      <c r="A1448" s="158" t="s">
        <v>478</v>
      </c>
      <c r="B1448" s="158" t="s">
        <v>107</v>
      </c>
      <c r="C1448" s="158" t="s">
        <v>20</v>
      </c>
      <c r="D1448" s="158" t="s">
        <v>21</v>
      </c>
      <c r="E1448" s="157">
        <v>3667</v>
      </c>
      <c r="F1448" s="158" t="s">
        <v>525</v>
      </c>
      <c r="G1448" s="159">
        <v>14514096.01</v>
      </c>
      <c r="H1448" s="159">
        <v>0</v>
      </c>
      <c r="I1448" s="159">
        <v>6099431.1100000003</v>
      </c>
      <c r="J1448" s="159">
        <v>42</v>
      </c>
      <c r="K1448" t="str">
        <f>VLOOKUP($C1448,Lists!$C$3:$M$118,7,FALSE)</f>
        <v>COKE_RGB</v>
      </c>
      <c r="S1448" s="4"/>
      <c r="T1448" s="4"/>
      <c r="U1448" s="5"/>
      <c r="V1448" s="5"/>
    </row>
    <row r="1449" spans="1:22" x14ac:dyDescent="0.25">
      <c r="A1449" s="158" t="s">
        <v>478</v>
      </c>
      <c r="B1449" s="158" t="s">
        <v>107</v>
      </c>
      <c r="C1449" s="158" t="s">
        <v>58</v>
      </c>
      <c r="D1449" s="158" t="s">
        <v>537</v>
      </c>
      <c r="E1449" s="157">
        <v>719</v>
      </c>
      <c r="F1449" s="158" t="s">
        <v>525</v>
      </c>
      <c r="G1449" s="159">
        <v>1739713.97</v>
      </c>
      <c r="H1449" s="159">
        <v>0</v>
      </c>
      <c r="I1449" s="159">
        <v>963869.83</v>
      </c>
      <c r="J1449" s="159">
        <v>55.4</v>
      </c>
      <c r="K1449" t="str">
        <f>VLOOKUP($C1449,Lists!$C$3:$M$118,7,FALSE)</f>
        <v>SOBO_PET</v>
      </c>
      <c r="S1449" s="4"/>
      <c r="T1449" s="4"/>
      <c r="U1449" s="5"/>
      <c r="V1449" s="5"/>
    </row>
    <row r="1450" spans="1:22" x14ac:dyDescent="0.25">
      <c r="A1450" s="158" t="s">
        <v>478</v>
      </c>
      <c r="B1450" s="158" t="s">
        <v>107</v>
      </c>
      <c r="C1450" s="158" t="s">
        <v>43</v>
      </c>
      <c r="D1450" s="158" t="s">
        <v>44</v>
      </c>
      <c r="E1450" s="157">
        <v>360</v>
      </c>
      <c r="F1450" s="158" t="s">
        <v>525</v>
      </c>
      <c r="G1450" s="159">
        <v>2781115.2</v>
      </c>
      <c r="H1450" s="159">
        <v>0</v>
      </c>
      <c r="I1450" s="159">
        <v>1373378.4</v>
      </c>
      <c r="J1450" s="159">
        <v>49.4</v>
      </c>
      <c r="K1450" t="str">
        <f>VLOOKUP($C1450,Lists!$C$3:$M$118,7,FALSE)</f>
        <v>Beers</v>
      </c>
      <c r="S1450" s="4"/>
      <c r="T1450" s="4"/>
      <c r="U1450" s="5"/>
      <c r="V1450" s="5"/>
    </row>
    <row r="1451" spans="1:22" x14ac:dyDescent="0.25">
      <c r="A1451" s="158" t="s">
        <v>478</v>
      </c>
      <c r="B1451" s="158" t="s">
        <v>107</v>
      </c>
      <c r="C1451" s="158" t="s">
        <v>22</v>
      </c>
      <c r="D1451" s="158" t="s">
        <v>23</v>
      </c>
      <c r="E1451" s="157">
        <v>1580</v>
      </c>
      <c r="F1451" s="158" t="s">
        <v>525</v>
      </c>
      <c r="G1451" s="159">
        <v>6253687.4000000004</v>
      </c>
      <c r="H1451" s="159">
        <v>0</v>
      </c>
      <c r="I1451" s="159">
        <v>2519404.7999999998</v>
      </c>
      <c r="J1451" s="159">
        <v>40.299999999999997</v>
      </c>
      <c r="K1451" t="str">
        <f>VLOOKUP($C1451,Lists!$C$3:$M$118,7,FALSE)</f>
        <v>COKE_RGB</v>
      </c>
      <c r="S1451" s="4"/>
      <c r="T1451" s="4"/>
      <c r="U1451" s="5"/>
      <c r="V1451" s="5"/>
    </row>
    <row r="1452" spans="1:22" x14ac:dyDescent="0.25">
      <c r="A1452" s="158" t="s">
        <v>478</v>
      </c>
      <c r="B1452" s="158" t="s">
        <v>107</v>
      </c>
      <c r="C1452" s="158" t="s">
        <v>67</v>
      </c>
      <c r="D1452" s="158" t="s">
        <v>533</v>
      </c>
      <c r="E1452" s="157">
        <v>432</v>
      </c>
      <c r="F1452" s="158" t="s">
        <v>525</v>
      </c>
      <c r="G1452" s="159">
        <v>1219492.8</v>
      </c>
      <c r="H1452" s="159">
        <v>0</v>
      </c>
      <c r="I1452" s="159">
        <v>599883.84</v>
      </c>
      <c r="J1452" s="159">
        <v>49.2</v>
      </c>
      <c r="K1452" t="str">
        <f>VLOOKUP($C1452,Lists!$C$3:$M$118,7,FALSE)</f>
        <v>COKE_PET</v>
      </c>
      <c r="S1452" s="4"/>
      <c r="T1452" s="4"/>
      <c r="U1452" s="5"/>
      <c r="V1452" s="5"/>
    </row>
    <row r="1453" spans="1:22" x14ac:dyDescent="0.25">
      <c r="A1453" s="158" t="s">
        <v>478</v>
      </c>
      <c r="B1453" s="158" t="s">
        <v>107</v>
      </c>
      <c r="C1453" s="158" t="s">
        <v>24</v>
      </c>
      <c r="D1453" s="158" t="s">
        <v>25</v>
      </c>
      <c r="E1453" s="157">
        <v>1724</v>
      </c>
      <c r="F1453" s="158" t="s">
        <v>525</v>
      </c>
      <c r="G1453" s="159">
        <v>11098715.48</v>
      </c>
      <c r="H1453" s="159">
        <v>0</v>
      </c>
      <c r="I1453" s="159">
        <v>5343779.3600000003</v>
      </c>
      <c r="J1453" s="159">
        <v>48.1</v>
      </c>
      <c r="K1453" t="str">
        <f>VLOOKUP($C1453,Lists!$C$3:$M$118,7,FALSE)</f>
        <v>Beers</v>
      </c>
      <c r="S1453" s="4"/>
      <c r="T1453" s="4"/>
      <c r="U1453" s="5"/>
      <c r="V1453" s="5"/>
    </row>
    <row r="1454" spans="1:22" x14ac:dyDescent="0.25">
      <c r="A1454" s="158" t="s">
        <v>478</v>
      </c>
      <c r="B1454" s="158" t="s">
        <v>107</v>
      </c>
      <c r="C1454" s="158" t="s">
        <v>29</v>
      </c>
      <c r="D1454" s="158" t="s">
        <v>30</v>
      </c>
      <c r="E1454" s="157">
        <v>115</v>
      </c>
      <c r="F1454" s="158" t="s">
        <v>525</v>
      </c>
      <c r="G1454" s="159">
        <v>4184204.85</v>
      </c>
      <c r="H1454" s="159">
        <v>0</v>
      </c>
      <c r="I1454" s="159">
        <v>1194204.8500000001</v>
      </c>
      <c r="J1454" s="159">
        <v>28.5</v>
      </c>
      <c r="K1454" t="str">
        <f>VLOOKUP($C1454,Lists!$C$3:$M$118,7,FALSE)</f>
        <v>Spirits</v>
      </c>
      <c r="S1454" s="4"/>
      <c r="T1454" s="4"/>
      <c r="U1454" s="5"/>
      <c r="V1454" s="5"/>
    </row>
    <row r="1455" spans="1:22" x14ac:dyDescent="0.25">
      <c r="A1455" s="158" t="s">
        <v>478</v>
      </c>
      <c r="B1455" s="158" t="s">
        <v>107</v>
      </c>
      <c r="C1455" s="158" t="s">
        <v>33</v>
      </c>
      <c r="D1455" s="158" t="s">
        <v>34</v>
      </c>
      <c r="E1455" s="157">
        <v>40</v>
      </c>
      <c r="F1455" s="158" t="s">
        <v>525</v>
      </c>
      <c r="G1455" s="159">
        <v>2227616</v>
      </c>
      <c r="H1455" s="159">
        <v>0</v>
      </c>
      <c r="I1455" s="159">
        <v>427616</v>
      </c>
      <c r="J1455" s="159">
        <v>19.2</v>
      </c>
      <c r="K1455" t="str">
        <f>VLOOKUP($C1455,Lists!$C$3:$M$118,7,FALSE)</f>
        <v>Spirits</v>
      </c>
      <c r="S1455" s="4"/>
      <c r="T1455" s="4"/>
      <c r="U1455" s="5"/>
      <c r="V1455" s="5"/>
    </row>
    <row r="1456" spans="1:22" x14ac:dyDescent="0.25">
      <c r="A1456" s="158" t="s">
        <v>478</v>
      </c>
      <c r="B1456" s="158" t="s">
        <v>107</v>
      </c>
      <c r="C1456" s="158" t="s">
        <v>37</v>
      </c>
      <c r="D1456" s="158" t="s">
        <v>38</v>
      </c>
      <c r="E1456" s="157">
        <v>1006</v>
      </c>
      <c r="F1456" s="158" t="s">
        <v>525</v>
      </c>
      <c r="G1456" s="159">
        <v>3318150.16</v>
      </c>
      <c r="H1456" s="159">
        <v>0</v>
      </c>
      <c r="I1456" s="159">
        <v>1554441.02</v>
      </c>
      <c r="J1456" s="159">
        <v>46.8</v>
      </c>
      <c r="K1456" t="str">
        <f>VLOOKUP($C1456,Lists!$C$3:$M$118,7,FALSE)</f>
        <v>SOBO_RGB</v>
      </c>
      <c r="S1456" s="4"/>
      <c r="T1456" s="4"/>
      <c r="U1456" s="5"/>
      <c r="V1456" s="5"/>
    </row>
    <row r="1457" spans="1:22" x14ac:dyDescent="0.25">
      <c r="A1457" s="158" t="s">
        <v>478</v>
      </c>
      <c r="B1457" s="158" t="s">
        <v>107</v>
      </c>
      <c r="C1457" s="158" t="s">
        <v>39</v>
      </c>
      <c r="D1457" s="158" t="s">
        <v>40</v>
      </c>
      <c r="E1457" s="157">
        <v>1004</v>
      </c>
      <c r="F1457" s="158" t="s">
        <v>525</v>
      </c>
      <c r="G1457" s="159">
        <v>3311553.44</v>
      </c>
      <c r="H1457" s="159">
        <v>0</v>
      </c>
      <c r="I1457" s="159">
        <v>1537636.04</v>
      </c>
      <c r="J1457" s="159">
        <v>46.4</v>
      </c>
      <c r="K1457" t="str">
        <f>VLOOKUP($C1457,Lists!$C$3:$M$118,7,FALSE)</f>
        <v>SOBO_RGB</v>
      </c>
      <c r="S1457" s="4"/>
      <c r="T1457" s="4"/>
      <c r="U1457" s="5"/>
      <c r="V1457" s="5"/>
    </row>
    <row r="1458" spans="1:22" x14ac:dyDescent="0.25">
      <c r="A1458" s="158" t="s">
        <v>478</v>
      </c>
      <c r="B1458" s="158" t="s">
        <v>107</v>
      </c>
      <c r="C1458" s="158" t="s">
        <v>47</v>
      </c>
      <c r="D1458" s="158" t="s">
        <v>48</v>
      </c>
      <c r="E1458" s="157">
        <v>359</v>
      </c>
      <c r="F1458" s="158" t="s">
        <v>525</v>
      </c>
      <c r="G1458" s="159">
        <v>1420932.77</v>
      </c>
      <c r="H1458" s="159">
        <v>0</v>
      </c>
      <c r="I1458" s="159">
        <v>620111.47</v>
      </c>
      <c r="J1458" s="159">
        <v>43.6</v>
      </c>
      <c r="K1458" t="str">
        <f>VLOOKUP($C1458,Lists!$C$3:$M$118,7,FALSE)</f>
        <v>COKE_RGB</v>
      </c>
      <c r="S1458" s="4"/>
      <c r="T1458" s="4"/>
      <c r="U1458" s="5"/>
      <c r="V1458" s="5"/>
    </row>
    <row r="1459" spans="1:22" x14ac:dyDescent="0.25">
      <c r="A1459" s="158" t="s">
        <v>478</v>
      </c>
      <c r="B1459" s="158" t="s">
        <v>107</v>
      </c>
      <c r="C1459" s="158" t="s">
        <v>68</v>
      </c>
      <c r="D1459" s="158" t="s">
        <v>534</v>
      </c>
      <c r="E1459" s="157">
        <v>0</v>
      </c>
      <c r="F1459" s="158" t="s">
        <v>525</v>
      </c>
      <c r="G1459" s="159">
        <v>0</v>
      </c>
      <c r="H1459" s="159">
        <v>0</v>
      </c>
      <c r="I1459" s="159">
        <v>0.01</v>
      </c>
      <c r="J1459" s="159">
        <v>0</v>
      </c>
      <c r="K1459" t="str">
        <f>VLOOKUP($C1459,Lists!$C$3:$M$118,7,FALSE)</f>
        <v>COKE_PET</v>
      </c>
      <c r="S1459" s="4"/>
      <c r="T1459" s="4"/>
      <c r="U1459" s="5"/>
      <c r="V1459" s="5"/>
    </row>
    <row r="1460" spans="1:22" x14ac:dyDescent="0.25">
      <c r="A1460" s="158" t="s">
        <v>478</v>
      </c>
      <c r="B1460" s="158" t="s">
        <v>107</v>
      </c>
      <c r="C1460" s="158" t="s">
        <v>49</v>
      </c>
      <c r="D1460" s="158" t="s">
        <v>50</v>
      </c>
      <c r="E1460" s="157">
        <v>72</v>
      </c>
      <c r="F1460" s="158" t="s">
        <v>525</v>
      </c>
      <c r="G1460" s="159">
        <v>721971.36</v>
      </c>
      <c r="H1460" s="159">
        <v>0</v>
      </c>
      <c r="I1460" s="159">
        <v>229947.84</v>
      </c>
      <c r="J1460" s="159">
        <v>31.8</v>
      </c>
      <c r="K1460" t="str">
        <f>VLOOKUP($C1460,Lists!$C$3:$M$118,7,FALSE)</f>
        <v>Squash</v>
      </c>
      <c r="S1460" s="4"/>
      <c r="T1460" s="4"/>
      <c r="U1460" s="5"/>
      <c r="V1460" s="5"/>
    </row>
    <row r="1461" spans="1:22" x14ac:dyDescent="0.25">
      <c r="A1461" s="158" t="s">
        <v>478</v>
      </c>
      <c r="B1461" s="158" t="s">
        <v>107</v>
      </c>
      <c r="C1461" s="158" t="s">
        <v>51</v>
      </c>
      <c r="D1461" s="158" t="s">
        <v>52</v>
      </c>
      <c r="E1461" s="157">
        <v>144</v>
      </c>
      <c r="F1461" s="158" t="s">
        <v>525</v>
      </c>
      <c r="G1461" s="159">
        <v>1443942.72</v>
      </c>
      <c r="H1461" s="159">
        <v>0</v>
      </c>
      <c r="I1461" s="159">
        <v>456052.32</v>
      </c>
      <c r="J1461" s="159">
        <v>31.6</v>
      </c>
      <c r="K1461" t="str">
        <f>VLOOKUP($C1461,Lists!$C$3:$M$118,7,FALSE)</f>
        <v>Squash</v>
      </c>
      <c r="S1461" s="4"/>
      <c r="T1461" s="4"/>
      <c r="U1461" s="5"/>
      <c r="V1461" s="5"/>
    </row>
    <row r="1462" spans="1:22" x14ac:dyDescent="0.25">
      <c r="A1462" s="158" t="s">
        <v>686</v>
      </c>
      <c r="B1462" s="158" t="s">
        <v>687</v>
      </c>
      <c r="C1462" s="158" t="s">
        <v>12</v>
      </c>
      <c r="D1462" s="158" t="s">
        <v>13</v>
      </c>
      <c r="E1462" s="157">
        <v>216</v>
      </c>
      <c r="F1462" s="158" t="s">
        <v>525</v>
      </c>
      <c r="G1462" s="159">
        <v>1416795.84</v>
      </c>
      <c r="H1462" s="159">
        <v>0</v>
      </c>
      <c r="I1462" s="159">
        <v>633957.82999999996</v>
      </c>
      <c r="J1462" s="159">
        <v>44.7</v>
      </c>
      <c r="K1462" t="str">
        <f>VLOOKUP($C1462,Lists!$C$3:$M$118,7,FALSE)</f>
        <v>Beers</v>
      </c>
      <c r="S1462" s="4"/>
      <c r="T1462" s="4"/>
      <c r="U1462" s="5"/>
      <c r="V1462" s="5"/>
    </row>
    <row r="1463" spans="1:22" x14ac:dyDescent="0.25">
      <c r="A1463" s="158" t="s">
        <v>686</v>
      </c>
      <c r="B1463" s="158" t="s">
        <v>687</v>
      </c>
      <c r="C1463" s="158" t="s">
        <v>78</v>
      </c>
      <c r="D1463" s="158" t="s">
        <v>526</v>
      </c>
      <c r="E1463" s="157">
        <v>72</v>
      </c>
      <c r="F1463" s="158" t="s">
        <v>525</v>
      </c>
      <c r="G1463" s="159">
        <v>177563.51999999999</v>
      </c>
      <c r="H1463" s="159">
        <v>0</v>
      </c>
      <c r="I1463" s="159">
        <v>98468.64</v>
      </c>
      <c r="J1463" s="159">
        <v>55.5</v>
      </c>
      <c r="K1463" t="str">
        <f>VLOOKUP($C1463,Lists!$C$3:$M$118,7,FALSE)</f>
        <v>SOBO_PET</v>
      </c>
      <c r="S1463" s="4"/>
      <c r="T1463" s="4"/>
      <c r="U1463" s="5"/>
      <c r="V1463" s="5"/>
    </row>
    <row r="1464" spans="1:22" x14ac:dyDescent="0.25">
      <c r="A1464" s="158" t="s">
        <v>688</v>
      </c>
      <c r="B1464" s="158" t="s">
        <v>689</v>
      </c>
      <c r="C1464" s="158" t="s">
        <v>12</v>
      </c>
      <c r="D1464" s="158" t="s">
        <v>13</v>
      </c>
      <c r="E1464" s="157">
        <v>432</v>
      </c>
      <c r="F1464" s="158" t="s">
        <v>525</v>
      </c>
      <c r="G1464" s="159">
        <v>2833591.68</v>
      </c>
      <c r="H1464" s="159">
        <v>0</v>
      </c>
      <c r="I1464" s="159">
        <v>1267915.68</v>
      </c>
      <c r="J1464" s="159">
        <v>44.7</v>
      </c>
      <c r="K1464" t="str">
        <f>VLOOKUP($C1464,Lists!$C$3:$M$118,7,FALSE)</f>
        <v>Beers</v>
      </c>
      <c r="S1464" s="4"/>
      <c r="T1464" s="4"/>
      <c r="U1464" s="5"/>
      <c r="V1464" s="5"/>
    </row>
    <row r="1465" spans="1:22" x14ac:dyDescent="0.25">
      <c r="A1465" s="158" t="s">
        <v>688</v>
      </c>
      <c r="B1465" s="158" t="s">
        <v>689</v>
      </c>
      <c r="C1465" s="158" t="s">
        <v>14</v>
      </c>
      <c r="D1465" s="158" t="s">
        <v>15</v>
      </c>
      <c r="E1465" s="157">
        <v>360</v>
      </c>
      <c r="F1465" s="158" t="s">
        <v>525</v>
      </c>
      <c r="G1465" s="159">
        <v>2833588.8</v>
      </c>
      <c r="H1465" s="159">
        <v>0</v>
      </c>
      <c r="I1465" s="159">
        <v>1425852</v>
      </c>
      <c r="J1465" s="159">
        <v>50.3</v>
      </c>
      <c r="K1465" t="str">
        <f>VLOOKUP($C1465,Lists!$C$3:$M$118,7,FALSE)</f>
        <v>Beers</v>
      </c>
      <c r="S1465" s="4"/>
      <c r="T1465" s="4"/>
      <c r="U1465" s="5"/>
      <c r="V1465" s="5"/>
    </row>
    <row r="1466" spans="1:22" x14ac:dyDescent="0.25">
      <c r="A1466" s="158" t="s">
        <v>688</v>
      </c>
      <c r="B1466" s="158" t="s">
        <v>689</v>
      </c>
      <c r="C1466" s="158" t="s">
        <v>16</v>
      </c>
      <c r="D1466" s="158" t="s">
        <v>17</v>
      </c>
      <c r="E1466" s="157">
        <v>576</v>
      </c>
      <c r="F1466" s="158" t="s">
        <v>525</v>
      </c>
      <c r="G1466" s="159">
        <v>4533742.08</v>
      </c>
      <c r="H1466" s="159">
        <v>0</v>
      </c>
      <c r="I1466" s="159">
        <v>2281363.2000000002</v>
      </c>
      <c r="J1466" s="159">
        <v>50.3</v>
      </c>
      <c r="K1466" t="str">
        <f>VLOOKUP($C1466,Lists!$C$3:$M$118,7,FALSE)</f>
        <v>Beers</v>
      </c>
      <c r="S1466" s="4"/>
      <c r="T1466" s="4"/>
      <c r="U1466" s="5"/>
      <c r="V1466" s="5"/>
    </row>
    <row r="1467" spans="1:22" x14ac:dyDescent="0.25">
      <c r="A1467" s="158" t="s">
        <v>688</v>
      </c>
      <c r="B1467" s="158" t="s">
        <v>689</v>
      </c>
      <c r="C1467" s="158" t="s">
        <v>20</v>
      </c>
      <c r="D1467" s="158" t="s">
        <v>21</v>
      </c>
      <c r="E1467" s="157">
        <v>287</v>
      </c>
      <c r="F1467" s="158" t="s">
        <v>525</v>
      </c>
      <c r="G1467" s="159">
        <v>1157387.77</v>
      </c>
      <c r="H1467" s="159">
        <v>0</v>
      </c>
      <c r="I1467" s="159">
        <v>498808.87</v>
      </c>
      <c r="J1467" s="159">
        <v>43.1</v>
      </c>
      <c r="K1467" t="str">
        <f>VLOOKUP($C1467,Lists!$C$3:$M$118,7,FALSE)</f>
        <v>COKE_RGB</v>
      </c>
      <c r="S1467" s="4"/>
      <c r="T1467" s="4"/>
      <c r="U1467" s="5"/>
      <c r="V1467" s="5"/>
    </row>
    <row r="1468" spans="1:22" x14ac:dyDescent="0.25">
      <c r="A1468" s="158" t="s">
        <v>688</v>
      </c>
      <c r="B1468" s="158" t="s">
        <v>689</v>
      </c>
      <c r="C1468" s="158" t="s">
        <v>22</v>
      </c>
      <c r="D1468" s="158" t="s">
        <v>23</v>
      </c>
      <c r="E1468" s="157">
        <v>144</v>
      </c>
      <c r="F1468" s="158" t="s">
        <v>525</v>
      </c>
      <c r="G1468" s="159">
        <v>580710.24</v>
      </c>
      <c r="H1468" s="159">
        <v>0</v>
      </c>
      <c r="I1468" s="159">
        <v>240370.56</v>
      </c>
      <c r="J1468" s="159">
        <v>41.4</v>
      </c>
      <c r="K1468" t="str">
        <f>VLOOKUP($C1468,Lists!$C$3:$M$118,7,FALSE)</f>
        <v>COKE_RGB</v>
      </c>
      <c r="S1468" s="4"/>
      <c r="T1468" s="4"/>
      <c r="U1468" s="5"/>
      <c r="V1468" s="5"/>
    </row>
    <row r="1469" spans="1:22" x14ac:dyDescent="0.25">
      <c r="A1469" s="158" t="s">
        <v>688</v>
      </c>
      <c r="B1469" s="158" t="s">
        <v>689</v>
      </c>
      <c r="C1469" s="158" t="s">
        <v>47</v>
      </c>
      <c r="D1469" s="158" t="s">
        <v>48</v>
      </c>
      <c r="E1469" s="157">
        <v>72</v>
      </c>
      <c r="F1469" s="158" t="s">
        <v>525</v>
      </c>
      <c r="G1469" s="159">
        <v>290355.12</v>
      </c>
      <c r="H1469" s="159">
        <v>0</v>
      </c>
      <c r="I1469" s="159">
        <v>129744.72</v>
      </c>
      <c r="J1469" s="159">
        <v>44.7</v>
      </c>
      <c r="K1469" t="str">
        <f>VLOOKUP($C1469,Lists!$C$3:$M$118,7,FALSE)</f>
        <v>COKE_RGB</v>
      </c>
      <c r="S1469" s="4"/>
      <c r="T1469" s="4"/>
      <c r="U1469" s="5"/>
      <c r="V1469" s="5"/>
    </row>
    <row r="1470" spans="1:22" x14ac:dyDescent="0.25">
      <c r="A1470" s="158" t="s">
        <v>479</v>
      </c>
      <c r="B1470" s="158" t="s">
        <v>480</v>
      </c>
      <c r="C1470" s="158" t="s">
        <v>41</v>
      </c>
      <c r="D1470" s="158" t="s">
        <v>42</v>
      </c>
      <c r="E1470" s="157">
        <v>267</v>
      </c>
      <c r="F1470" s="158" t="s">
        <v>525</v>
      </c>
      <c r="G1470" s="159">
        <v>2062660.44</v>
      </c>
      <c r="H1470" s="159">
        <v>0</v>
      </c>
      <c r="I1470" s="159">
        <v>865165.44</v>
      </c>
      <c r="J1470" s="159">
        <v>41.9</v>
      </c>
      <c r="K1470" t="str">
        <f>VLOOKUP($C1470,Lists!$C$3:$M$118,7,FALSE)</f>
        <v>Alcomix</v>
      </c>
      <c r="S1470" s="4"/>
      <c r="T1470" s="4"/>
      <c r="U1470" s="5"/>
      <c r="V1470" s="5"/>
    </row>
    <row r="1471" spans="1:22" x14ac:dyDescent="0.25">
      <c r="A1471" s="158" t="s">
        <v>479</v>
      </c>
      <c r="B1471" s="158" t="s">
        <v>480</v>
      </c>
      <c r="C1471" s="158" t="s">
        <v>10</v>
      </c>
      <c r="D1471" s="158" t="s">
        <v>11</v>
      </c>
      <c r="E1471" s="157">
        <v>431</v>
      </c>
      <c r="F1471" s="158" t="s">
        <v>525</v>
      </c>
      <c r="G1471" s="159">
        <v>3329612.92</v>
      </c>
      <c r="H1471" s="159">
        <v>0</v>
      </c>
      <c r="I1471" s="159">
        <v>1396577.92</v>
      </c>
      <c r="J1471" s="159">
        <v>41.9</v>
      </c>
      <c r="K1471" t="str">
        <f>VLOOKUP($C1471,Lists!$C$3:$M$118,7,FALSE)</f>
        <v>Alcomix</v>
      </c>
      <c r="S1471" s="4"/>
      <c r="T1471" s="4"/>
      <c r="U1471" s="5"/>
      <c r="V1471" s="5"/>
    </row>
    <row r="1472" spans="1:22" x14ac:dyDescent="0.25">
      <c r="A1472" s="158" t="s">
        <v>479</v>
      </c>
      <c r="B1472" s="158" t="s">
        <v>480</v>
      </c>
      <c r="C1472" s="158" t="s">
        <v>12</v>
      </c>
      <c r="D1472" s="158" t="s">
        <v>13</v>
      </c>
      <c r="E1472" s="157">
        <v>8058</v>
      </c>
      <c r="F1472" s="158" t="s">
        <v>525</v>
      </c>
      <c r="G1472" s="159">
        <v>51875550.659999996</v>
      </c>
      <c r="H1472" s="159">
        <v>0</v>
      </c>
      <c r="I1472" s="159">
        <v>22671344.16</v>
      </c>
      <c r="J1472" s="159">
        <v>43.7</v>
      </c>
      <c r="K1472" t="str">
        <f>VLOOKUP($C1472,Lists!$C$3:$M$118,7,FALSE)</f>
        <v>Beers</v>
      </c>
      <c r="S1472" s="4"/>
      <c r="T1472" s="4"/>
      <c r="U1472" s="5"/>
      <c r="V1472" s="5"/>
    </row>
    <row r="1473" spans="1:22" x14ac:dyDescent="0.25">
      <c r="A1473" s="158" t="s">
        <v>479</v>
      </c>
      <c r="B1473" s="158" t="s">
        <v>480</v>
      </c>
      <c r="C1473" s="158" t="s">
        <v>14</v>
      </c>
      <c r="D1473" s="158" t="s">
        <v>15</v>
      </c>
      <c r="E1473" s="157">
        <v>2732</v>
      </c>
      <c r="F1473" s="158" t="s">
        <v>525</v>
      </c>
      <c r="G1473" s="159">
        <v>21105574.239999998</v>
      </c>
      <c r="H1473" s="159">
        <v>0</v>
      </c>
      <c r="I1473" s="159">
        <v>10422416.08</v>
      </c>
      <c r="J1473" s="159">
        <v>49.4</v>
      </c>
      <c r="K1473" t="str">
        <f>VLOOKUP($C1473,Lists!$C$3:$M$118,7,FALSE)</f>
        <v>Beers</v>
      </c>
      <c r="S1473" s="4"/>
      <c r="T1473" s="4"/>
      <c r="U1473" s="5"/>
      <c r="V1473" s="5"/>
    </row>
    <row r="1474" spans="1:22" x14ac:dyDescent="0.25">
      <c r="A1474" s="158" t="s">
        <v>479</v>
      </c>
      <c r="B1474" s="158" t="s">
        <v>480</v>
      </c>
      <c r="C1474" s="158" t="s">
        <v>54</v>
      </c>
      <c r="D1474" s="158" t="s">
        <v>55</v>
      </c>
      <c r="E1474" s="157">
        <v>499</v>
      </c>
      <c r="F1474" s="158" t="s">
        <v>525</v>
      </c>
      <c r="G1474" s="159">
        <v>3854934.68</v>
      </c>
      <c r="H1474" s="159">
        <v>0</v>
      </c>
      <c r="I1474" s="159">
        <v>2023729.43</v>
      </c>
      <c r="J1474" s="159">
        <v>52.5</v>
      </c>
      <c r="K1474" t="str">
        <f>VLOOKUP($C1474,Lists!$C$3:$M$118,7,FALSE)</f>
        <v>Beers</v>
      </c>
      <c r="S1474" s="4"/>
      <c r="T1474" s="4"/>
      <c r="U1474" s="5"/>
      <c r="V1474" s="5"/>
    </row>
    <row r="1475" spans="1:22" x14ac:dyDescent="0.25">
      <c r="A1475" s="158" t="s">
        <v>479</v>
      </c>
      <c r="B1475" s="158" t="s">
        <v>480</v>
      </c>
      <c r="C1475" s="158" t="s">
        <v>16</v>
      </c>
      <c r="D1475" s="158" t="s">
        <v>17</v>
      </c>
      <c r="E1475" s="157">
        <v>4303</v>
      </c>
      <c r="F1475" s="158" t="s">
        <v>525</v>
      </c>
      <c r="G1475" s="159">
        <v>33242051.960000001</v>
      </c>
      <c r="H1475" s="159">
        <v>0</v>
      </c>
      <c r="I1475" s="159">
        <v>16415686.82</v>
      </c>
      <c r="J1475" s="159">
        <v>49.4</v>
      </c>
      <c r="K1475" t="str">
        <f>VLOOKUP($C1475,Lists!$C$3:$M$118,7,FALSE)</f>
        <v>Beers</v>
      </c>
      <c r="S1475" s="4"/>
      <c r="T1475" s="4"/>
      <c r="U1475" s="5"/>
      <c r="V1475" s="5"/>
    </row>
    <row r="1476" spans="1:22" x14ac:dyDescent="0.25">
      <c r="A1476" s="158" t="s">
        <v>479</v>
      </c>
      <c r="B1476" s="158" t="s">
        <v>480</v>
      </c>
      <c r="C1476" s="158" t="s">
        <v>56</v>
      </c>
      <c r="D1476" s="158" t="s">
        <v>57</v>
      </c>
      <c r="E1476" s="157">
        <v>299</v>
      </c>
      <c r="F1476" s="158" t="s">
        <v>525</v>
      </c>
      <c r="G1476" s="159">
        <v>2309870.6800000002</v>
      </c>
      <c r="H1476" s="159">
        <v>0</v>
      </c>
      <c r="I1476" s="159">
        <v>1212615.43</v>
      </c>
      <c r="J1476" s="159">
        <v>52.5</v>
      </c>
      <c r="K1476" t="str">
        <f>VLOOKUP($C1476,Lists!$C$3:$M$118,7,FALSE)</f>
        <v>Beers</v>
      </c>
      <c r="S1476" s="4"/>
      <c r="T1476" s="4"/>
      <c r="U1476" s="5"/>
      <c r="V1476" s="5"/>
    </row>
    <row r="1477" spans="1:22" x14ac:dyDescent="0.25">
      <c r="A1477" s="158" t="s">
        <v>479</v>
      </c>
      <c r="B1477" s="158" t="s">
        <v>480</v>
      </c>
      <c r="C1477" s="158" t="s">
        <v>18</v>
      </c>
      <c r="D1477" s="158" t="s">
        <v>19</v>
      </c>
      <c r="E1477" s="157">
        <v>431</v>
      </c>
      <c r="F1477" s="158" t="s">
        <v>525</v>
      </c>
      <c r="G1477" s="159">
        <v>4439485.33</v>
      </c>
      <c r="H1477" s="159">
        <v>0</v>
      </c>
      <c r="I1477" s="159">
        <v>2301940.83</v>
      </c>
      <c r="J1477" s="159">
        <v>51.9</v>
      </c>
      <c r="K1477" t="str">
        <f>VLOOKUP($C1477,Lists!$C$3:$M$118,7,FALSE)</f>
        <v>Beers</v>
      </c>
      <c r="S1477" s="4"/>
      <c r="T1477" s="4"/>
      <c r="U1477" s="5"/>
      <c r="V1477" s="5"/>
    </row>
    <row r="1478" spans="1:22" x14ac:dyDescent="0.25">
      <c r="A1478" s="158" t="s">
        <v>479</v>
      </c>
      <c r="B1478" s="158" t="s">
        <v>480</v>
      </c>
      <c r="C1478" s="158" t="s">
        <v>20</v>
      </c>
      <c r="D1478" s="158" t="s">
        <v>21</v>
      </c>
      <c r="E1478" s="157">
        <v>6466</v>
      </c>
      <c r="F1478" s="158" t="s">
        <v>525</v>
      </c>
      <c r="G1478" s="159">
        <v>25592621.98</v>
      </c>
      <c r="H1478" s="159">
        <v>0</v>
      </c>
      <c r="I1478" s="159">
        <v>10755091.76</v>
      </c>
      <c r="J1478" s="159">
        <v>42</v>
      </c>
      <c r="K1478" t="str">
        <f>VLOOKUP($C1478,Lists!$C$3:$M$118,7,FALSE)</f>
        <v>COKE_RGB</v>
      </c>
      <c r="S1478" s="4"/>
      <c r="T1478" s="4"/>
      <c r="U1478" s="5"/>
      <c r="V1478" s="5"/>
    </row>
    <row r="1479" spans="1:22" x14ac:dyDescent="0.25">
      <c r="A1479" s="158" t="s">
        <v>479</v>
      </c>
      <c r="B1479" s="158" t="s">
        <v>480</v>
      </c>
      <c r="C1479" s="158" t="s">
        <v>28</v>
      </c>
      <c r="D1479" s="158" t="s">
        <v>530</v>
      </c>
      <c r="E1479" s="157">
        <v>144</v>
      </c>
      <c r="F1479" s="158" t="s">
        <v>525</v>
      </c>
      <c r="G1479" s="159">
        <v>406497.6</v>
      </c>
      <c r="H1479" s="159">
        <v>0</v>
      </c>
      <c r="I1479" s="159">
        <v>205034.4</v>
      </c>
      <c r="J1479" s="159">
        <v>50.4</v>
      </c>
      <c r="K1479" t="str">
        <f>VLOOKUP($C1479,Lists!$C$3:$M$118,7,FALSE)</f>
        <v>COKE_PET</v>
      </c>
      <c r="S1479" s="4"/>
      <c r="T1479" s="4"/>
      <c r="U1479" s="5"/>
      <c r="V1479" s="5"/>
    </row>
    <row r="1480" spans="1:22" x14ac:dyDescent="0.25">
      <c r="A1480" s="158" t="s">
        <v>479</v>
      </c>
      <c r="B1480" s="158" t="s">
        <v>480</v>
      </c>
      <c r="C1480" s="158" t="s">
        <v>58</v>
      </c>
      <c r="D1480" s="158" t="s">
        <v>537</v>
      </c>
      <c r="E1480" s="157">
        <v>1007</v>
      </c>
      <c r="F1480" s="158" t="s">
        <v>525</v>
      </c>
      <c r="G1480" s="159">
        <v>2436567.41</v>
      </c>
      <c r="H1480" s="159">
        <v>0</v>
      </c>
      <c r="I1480" s="159">
        <v>1349953.99</v>
      </c>
      <c r="J1480" s="159">
        <v>55.4</v>
      </c>
      <c r="K1480" t="str">
        <f>VLOOKUP($C1480,Lists!$C$3:$M$118,7,FALSE)</f>
        <v>SOBO_PET</v>
      </c>
      <c r="S1480" s="4"/>
      <c r="T1480" s="4"/>
      <c r="U1480" s="5"/>
      <c r="V1480" s="5"/>
    </row>
    <row r="1481" spans="1:22" x14ac:dyDescent="0.25">
      <c r="A1481" s="158" t="s">
        <v>479</v>
      </c>
      <c r="B1481" s="158" t="s">
        <v>480</v>
      </c>
      <c r="C1481" s="158" t="s">
        <v>78</v>
      </c>
      <c r="D1481" s="158" t="s">
        <v>526</v>
      </c>
      <c r="E1481" s="157">
        <v>574</v>
      </c>
      <c r="F1481" s="158" t="s">
        <v>525</v>
      </c>
      <c r="G1481" s="159">
        <v>1388867.62</v>
      </c>
      <c r="H1481" s="159">
        <v>0</v>
      </c>
      <c r="I1481" s="159">
        <v>758305.65</v>
      </c>
      <c r="J1481" s="159">
        <v>54.6</v>
      </c>
      <c r="K1481" t="str">
        <f>VLOOKUP($C1481,Lists!$C$3:$M$118,7,FALSE)</f>
        <v>SOBO_PET</v>
      </c>
      <c r="S1481" s="4"/>
      <c r="T1481" s="4"/>
      <c r="U1481" s="5"/>
      <c r="V1481" s="5"/>
    </row>
    <row r="1482" spans="1:22" x14ac:dyDescent="0.25">
      <c r="A1482" s="158" t="s">
        <v>479</v>
      </c>
      <c r="B1482" s="158" t="s">
        <v>480</v>
      </c>
      <c r="C1482" s="158" t="s">
        <v>43</v>
      </c>
      <c r="D1482" s="158" t="s">
        <v>44</v>
      </c>
      <c r="E1482" s="157">
        <v>359</v>
      </c>
      <c r="F1482" s="158" t="s">
        <v>525</v>
      </c>
      <c r="G1482" s="159">
        <v>2773389.88</v>
      </c>
      <c r="H1482" s="159">
        <v>0</v>
      </c>
      <c r="I1482" s="159">
        <v>1369563.46</v>
      </c>
      <c r="J1482" s="159">
        <v>49.4</v>
      </c>
      <c r="K1482" t="str">
        <f>VLOOKUP($C1482,Lists!$C$3:$M$118,7,FALSE)</f>
        <v>Beers</v>
      </c>
      <c r="S1482" s="4"/>
      <c r="T1482" s="4"/>
      <c r="U1482" s="5"/>
      <c r="V1482" s="5"/>
    </row>
    <row r="1483" spans="1:22" x14ac:dyDescent="0.25">
      <c r="A1483" s="158" t="s">
        <v>479</v>
      </c>
      <c r="B1483" s="158" t="s">
        <v>480</v>
      </c>
      <c r="C1483" s="158" t="s">
        <v>59</v>
      </c>
      <c r="D1483" s="158" t="s">
        <v>60</v>
      </c>
      <c r="E1483" s="157">
        <v>358</v>
      </c>
      <c r="F1483" s="158" t="s">
        <v>525</v>
      </c>
      <c r="G1483" s="159">
        <v>1416974.74</v>
      </c>
      <c r="H1483" s="159">
        <v>0</v>
      </c>
      <c r="I1483" s="159">
        <v>576945.64</v>
      </c>
      <c r="J1483" s="159">
        <v>40.700000000000003</v>
      </c>
      <c r="K1483" t="str">
        <f>VLOOKUP($C1483,Lists!$C$3:$M$118,7,FALSE)</f>
        <v>COKE_RGB</v>
      </c>
      <c r="S1483" s="4"/>
      <c r="T1483" s="4"/>
      <c r="U1483" s="5"/>
      <c r="V1483" s="5"/>
    </row>
    <row r="1484" spans="1:22" x14ac:dyDescent="0.25">
      <c r="A1484" s="158" t="s">
        <v>479</v>
      </c>
      <c r="B1484" s="158" t="s">
        <v>480</v>
      </c>
      <c r="C1484" s="158" t="s">
        <v>22</v>
      </c>
      <c r="D1484" s="158" t="s">
        <v>23</v>
      </c>
      <c r="E1484" s="157">
        <v>2012</v>
      </c>
      <c r="F1484" s="158" t="s">
        <v>525</v>
      </c>
      <c r="G1484" s="159">
        <v>7963556.3600000003</v>
      </c>
      <c r="H1484" s="159">
        <v>0</v>
      </c>
      <c r="I1484" s="159">
        <v>3208254.72</v>
      </c>
      <c r="J1484" s="159">
        <v>40.299999999999997</v>
      </c>
      <c r="K1484" t="str">
        <f>VLOOKUP($C1484,Lists!$C$3:$M$118,7,FALSE)</f>
        <v>COKE_RGB</v>
      </c>
      <c r="S1484" s="4"/>
      <c r="T1484" s="4"/>
      <c r="U1484" s="5"/>
      <c r="V1484" s="5"/>
    </row>
    <row r="1485" spans="1:22" x14ac:dyDescent="0.25">
      <c r="A1485" s="158" t="s">
        <v>479</v>
      </c>
      <c r="B1485" s="158" t="s">
        <v>480</v>
      </c>
      <c r="C1485" s="158" t="s">
        <v>67</v>
      </c>
      <c r="D1485" s="158" t="s">
        <v>533</v>
      </c>
      <c r="E1485" s="157">
        <v>144</v>
      </c>
      <c r="F1485" s="158" t="s">
        <v>525</v>
      </c>
      <c r="G1485" s="159">
        <v>406497.6</v>
      </c>
      <c r="H1485" s="159">
        <v>0</v>
      </c>
      <c r="I1485" s="159">
        <v>199961.28</v>
      </c>
      <c r="J1485" s="159">
        <v>49.2</v>
      </c>
      <c r="K1485" t="str">
        <f>VLOOKUP($C1485,Lists!$C$3:$M$118,7,FALSE)</f>
        <v>COKE_PET</v>
      </c>
      <c r="S1485" s="4"/>
      <c r="T1485" s="4"/>
      <c r="U1485" s="5"/>
      <c r="V1485" s="5"/>
    </row>
    <row r="1486" spans="1:22" x14ac:dyDescent="0.25">
      <c r="A1486" s="158" t="s">
        <v>479</v>
      </c>
      <c r="B1486" s="158" t="s">
        <v>480</v>
      </c>
      <c r="C1486" s="158" t="s">
        <v>261</v>
      </c>
      <c r="D1486" s="158" t="s">
        <v>538</v>
      </c>
      <c r="E1486" s="157">
        <v>287</v>
      </c>
      <c r="F1486" s="158" t="s">
        <v>525</v>
      </c>
      <c r="G1486" s="159">
        <v>1135954.6100000001</v>
      </c>
      <c r="H1486" s="159">
        <v>0</v>
      </c>
      <c r="I1486" s="159">
        <v>457638.72</v>
      </c>
      <c r="J1486" s="159">
        <v>40.299999999999997</v>
      </c>
      <c r="K1486" t="str">
        <f>VLOOKUP($C1486,Lists!$C$3:$M$118,7,FALSE)</f>
        <v>COKE_RGB</v>
      </c>
      <c r="S1486" s="4"/>
      <c r="T1486" s="4"/>
      <c r="U1486" s="5"/>
      <c r="V1486" s="5"/>
    </row>
    <row r="1487" spans="1:22" x14ac:dyDescent="0.25">
      <c r="A1487" s="158" t="s">
        <v>479</v>
      </c>
      <c r="B1487" s="158" t="s">
        <v>480</v>
      </c>
      <c r="C1487" s="158" t="s">
        <v>24</v>
      </c>
      <c r="D1487" s="158" t="s">
        <v>25</v>
      </c>
      <c r="E1487" s="157">
        <v>503</v>
      </c>
      <c r="F1487" s="158" t="s">
        <v>525</v>
      </c>
      <c r="G1487" s="159">
        <v>3238198.31</v>
      </c>
      <c r="H1487" s="159">
        <v>0</v>
      </c>
      <c r="I1487" s="159">
        <v>1559118.92</v>
      </c>
      <c r="J1487" s="159">
        <v>48.1</v>
      </c>
      <c r="K1487" t="str">
        <f>VLOOKUP($C1487,Lists!$C$3:$M$118,7,FALSE)</f>
        <v>Beers</v>
      </c>
      <c r="S1487" s="4"/>
      <c r="T1487" s="4"/>
      <c r="U1487" s="5"/>
      <c r="V1487" s="5"/>
    </row>
    <row r="1488" spans="1:22" x14ac:dyDescent="0.25">
      <c r="A1488" s="158" t="s">
        <v>479</v>
      </c>
      <c r="B1488" s="158" t="s">
        <v>480</v>
      </c>
      <c r="C1488" s="158" t="s">
        <v>29</v>
      </c>
      <c r="D1488" s="158" t="s">
        <v>30</v>
      </c>
      <c r="E1488" s="157">
        <v>181</v>
      </c>
      <c r="F1488" s="158" t="s">
        <v>525</v>
      </c>
      <c r="G1488" s="159">
        <v>6585574.5899999999</v>
      </c>
      <c r="H1488" s="159">
        <v>0</v>
      </c>
      <c r="I1488" s="159">
        <v>1879574.59</v>
      </c>
      <c r="J1488" s="159">
        <v>28.5</v>
      </c>
      <c r="K1488" t="str">
        <f>VLOOKUP($C1488,Lists!$C$3:$M$118,7,FALSE)</f>
        <v>Spirits</v>
      </c>
      <c r="S1488" s="4"/>
      <c r="T1488" s="4"/>
      <c r="U1488" s="5"/>
      <c r="V1488" s="5"/>
    </row>
    <row r="1489" spans="1:22" x14ac:dyDescent="0.25">
      <c r="A1489" s="158" t="s">
        <v>479</v>
      </c>
      <c r="B1489" s="158" t="s">
        <v>480</v>
      </c>
      <c r="C1489" s="158" t="s">
        <v>33</v>
      </c>
      <c r="D1489" s="158" t="s">
        <v>34</v>
      </c>
      <c r="E1489" s="157">
        <v>33</v>
      </c>
      <c r="F1489" s="158" t="s">
        <v>525</v>
      </c>
      <c r="G1489" s="159">
        <v>1837783.2</v>
      </c>
      <c r="H1489" s="159">
        <v>0</v>
      </c>
      <c r="I1489" s="159">
        <v>352783.2</v>
      </c>
      <c r="J1489" s="159">
        <v>19.2</v>
      </c>
      <c r="K1489" t="str">
        <f>VLOOKUP($C1489,Lists!$C$3:$M$118,7,FALSE)</f>
        <v>Spirits</v>
      </c>
      <c r="S1489" s="4"/>
      <c r="T1489" s="4"/>
      <c r="U1489" s="5"/>
      <c r="V1489" s="5"/>
    </row>
    <row r="1490" spans="1:22" x14ac:dyDescent="0.25">
      <c r="A1490" s="158" t="s">
        <v>479</v>
      </c>
      <c r="B1490" s="158" t="s">
        <v>480</v>
      </c>
      <c r="C1490" s="158" t="s">
        <v>37</v>
      </c>
      <c r="D1490" s="158" t="s">
        <v>38</v>
      </c>
      <c r="E1490" s="157">
        <v>1580</v>
      </c>
      <c r="F1490" s="158" t="s">
        <v>525</v>
      </c>
      <c r="G1490" s="159">
        <v>5211408.8</v>
      </c>
      <c r="H1490" s="159">
        <v>0</v>
      </c>
      <c r="I1490" s="159">
        <v>2441368.59</v>
      </c>
      <c r="J1490" s="159">
        <v>46.8</v>
      </c>
      <c r="K1490" t="str">
        <f>VLOOKUP($C1490,Lists!$C$3:$M$118,7,FALSE)</f>
        <v>SOBO_RGB</v>
      </c>
      <c r="S1490" s="4"/>
      <c r="T1490" s="4"/>
      <c r="U1490" s="5"/>
      <c r="V1490" s="5"/>
    </row>
    <row r="1491" spans="1:22" x14ac:dyDescent="0.25">
      <c r="A1491" s="158" t="s">
        <v>479</v>
      </c>
      <c r="B1491" s="158" t="s">
        <v>480</v>
      </c>
      <c r="C1491" s="158" t="s">
        <v>39</v>
      </c>
      <c r="D1491" s="158" t="s">
        <v>40</v>
      </c>
      <c r="E1491" s="157">
        <v>1943</v>
      </c>
      <c r="F1491" s="158" t="s">
        <v>525</v>
      </c>
      <c r="G1491" s="159">
        <v>6408713.4800000004</v>
      </c>
      <c r="H1491" s="159">
        <v>0</v>
      </c>
      <c r="I1491" s="159">
        <v>2975723.91</v>
      </c>
      <c r="J1491" s="159">
        <v>46.4</v>
      </c>
      <c r="K1491" t="str">
        <f>VLOOKUP($C1491,Lists!$C$3:$M$118,7,FALSE)</f>
        <v>SOBO_RGB</v>
      </c>
      <c r="S1491" s="4"/>
      <c r="T1491" s="4"/>
      <c r="U1491" s="5"/>
      <c r="V1491" s="5"/>
    </row>
    <row r="1492" spans="1:22" x14ac:dyDescent="0.25">
      <c r="A1492" s="158" t="s">
        <v>479</v>
      </c>
      <c r="B1492" s="158" t="s">
        <v>480</v>
      </c>
      <c r="C1492" s="158" t="s">
        <v>88</v>
      </c>
      <c r="D1492" s="158" t="s">
        <v>527</v>
      </c>
      <c r="E1492" s="157">
        <v>216</v>
      </c>
      <c r="F1492" s="158" t="s">
        <v>525</v>
      </c>
      <c r="G1492" s="159">
        <v>609746.4</v>
      </c>
      <c r="H1492" s="159">
        <v>0</v>
      </c>
      <c r="I1492" s="159">
        <v>357739.2</v>
      </c>
      <c r="J1492" s="159">
        <v>58.7</v>
      </c>
      <c r="K1492" t="str">
        <f>VLOOKUP($C1492,Lists!$C$3:$M$118,7,FALSE)</f>
        <v>SOBO_PET</v>
      </c>
      <c r="S1492" s="4"/>
      <c r="T1492" s="4"/>
      <c r="U1492" s="5"/>
      <c r="V1492" s="5"/>
    </row>
    <row r="1493" spans="1:22" x14ac:dyDescent="0.25">
      <c r="A1493" s="158" t="s">
        <v>479</v>
      </c>
      <c r="B1493" s="158" t="s">
        <v>480</v>
      </c>
      <c r="C1493" s="158" t="s">
        <v>45</v>
      </c>
      <c r="D1493" s="158" t="s">
        <v>46</v>
      </c>
      <c r="E1493" s="157">
        <v>648</v>
      </c>
      <c r="F1493" s="158" t="s">
        <v>525</v>
      </c>
      <c r="G1493" s="159">
        <v>2564803.44</v>
      </c>
      <c r="H1493" s="159">
        <v>0</v>
      </c>
      <c r="I1493" s="159">
        <v>1263256.56</v>
      </c>
      <c r="J1493" s="159">
        <v>49.3</v>
      </c>
      <c r="K1493" t="str">
        <f>VLOOKUP($C1493,Lists!$C$3:$M$118,7,FALSE)</f>
        <v>SOBO_RGB</v>
      </c>
      <c r="S1493" s="4"/>
      <c r="T1493" s="4"/>
      <c r="U1493" s="5"/>
      <c r="V1493" s="5"/>
    </row>
    <row r="1494" spans="1:22" x14ac:dyDescent="0.25">
      <c r="A1494" s="158" t="s">
        <v>479</v>
      </c>
      <c r="B1494" s="158" t="s">
        <v>480</v>
      </c>
      <c r="C1494" s="158" t="s">
        <v>47</v>
      </c>
      <c r="D1494" s="158" t="s">
        <v>48</v>
      </c>
      <c r="E1494" s="157">
        <v>861</v>
      </c>
      <c r="F1494" s="158" t="s">
        <v>525</v>
      </c>
      <c r="G1494" s="159">
        <v>3407863.83</v>
      </c>
      <c r="H1494" s="159">
        <v>0</v>
      </c>
      <c r="I1494" s="159">
        <v>1487231.11</v>
      </c>
      <c r="J1494" s="159">
        <v>43.6</v>
      </c>
      <c r="K1494" t="str">
        <f>VLOOKUP($C1494,Lists!$C$3:$M$118,7,FALSE)</f>
        <v>COKE_RGB</v>
      </c>
      <c r="S1494" s="4"/>
      <c r="T1494" s="4"/>
      <c r="U1494" s="5"/>
      <c r="V1494" s="5"/>
    </row>
    <row r="1495" spans="1:22" x14ac:dyDescent="0.25">
      <c r="A1495" s="158" t="s">
        <v>479</v>
      </c>
      <c r="B1495" s="158" t="s">
        <v>480</v>
      </c>
      <c r="C1495" s="158" t="s">
        <v>68</v>
      </c>
      <c r="D1495" s="158" t="s">
        <v>534</v>
      </c>
      <c r="E1495" s="157">
        <v>144</v>
      </c>
      <c r="F1495" s="158" t="s">
        <v>525</v>
      </c>
      <c r="G1495" s="159">
        <v>406497.6</v>
      </c>
      <c r="H1495" s="159">
        <v>0</v>
      </c>
      <c r="I1495" s="159">
        <v>198080.64000000001</v>
      </c>
      <c r="J1495" s="159">
        <v>48.7</v>
      </c>
      <c r="K1495" t="str">
        <f>VLOOKUP($C1495,Lists!$C$3:$M$118,7,FALSE)</f>
        <v>COKE_PET</v>
      </c>
      <c r="S1495" s="4"/>
      <c r="T1495" s="4"/>
      <c r="U1495" s="5"/>
      <c r="V1495" s="5"/>
    </row>
    <row r="1496" spans="1:22" x14ac:dyDescent="0.25">
      <c r="A1496" s="158" t="s">
        <v>479</v>
      </c>
      <c r="B1496" s="158" t="s">
        <v>480</v>
      </c>
      <c r="C1496" s="158" t="s">
        <v>49</v>
      </c>
      <c r="D1496" s="158" t="s">
        <v>50</v>
      </c>
      <c r="E1496" s="157">
        <v>71</v>
      </c>
      <c r="F1496" s="158" t="s">
        <v>525</v>
      </c>
      <c r="G1496" s="159">
        <v>711943.98</v>
      </c>
      <c r="H1496" s="159">
        <v>0</v>
      </c>
      <c r="I1496" s="159">
        <v>226754.12</v>
      </c>
      <c r="J1496" s="159">
        <v>31.8</v>
      </c>
      <c r="K1496" t="str">
        <f>VLOOKUP($C1496,Lists!$C$3:$M$118,7,FALSE)</f>
        <v>Squash</v>
      </c>
      <c r="S1496" s="4"/>
      <c r="T1496" s="4"/>
      <c r="U1496" s="5"/>
      <c r="V1496" s="5"/>
    </row>
    <row r="1497" spans="1:22" x14ac:dyDescent="0.25">
      <c r="A1497" s="158" t="s">
        <v>479</v>
      </c>
      <c r="B1497" s="158" t="s">
        <v>480</v>
      </c>
      <c r="C1497" s="158" t="s">
        <v>51</v>
      </c>
      <c r="D1497" s="158" t="s">
        <v>52</v>
      </c>
      <c r="E1497" s="157">
        <v>431</v>
      </c>
      <c r="F1497" s="158" t="s">
        <v>525</v>
      </c>
      <c r="G1497" s="159">
        <v>4321800.78</v>
      </c>
      <c r="H1497" s="159">
        <v>0</v>
      </c>
      <c r="I1497" s="159">
        <v>1364989.93</v>
      </c>
      <c r="J1497" s="159">
        <v>31.6</v>
      </c>
      <c r="K1497" t="str">
        <f>VLOOKUP($C1497,Lists!$C$3:$M$118,7,FALSE)</f>
        <v>Squash</v>
      </c>
      <c r="S1497" s="4"/>
      <c r="T1497" s="4"/>
      <c r="U1497" s="5"/>
      <c r="V1497" s="5"/>
    </row>
    <row r="1498" spans="1:22" x14ac:dyDescent="0.25">
      <c r="A1498" s="158" t="s">
        <v>479</v>
      </c>
      <c r="B1498" s="158" t="s">
        <v>480</v>
      </c>
      <c r="C1498" s="158" t="s">
        <v>26</v>
      </c>
      <c r="D1498" s="158" t="s">
        <v>27</v>
      </c>
      <c r="E1498" s="157">
        <v>432</v>
      </c>
      <c r="F1498" s="158" t="s">
        <v>525</v>
      </c>
      <c r="G1498" s="159">
        <v>942796.80000000005</v>
      </c>
      <c r="H1498" s="159">
        <v>0</v>
      </c>
      <c r="I1498" s="159">
        <v>415653.12</v>
      </c>
      <c r="J1498" s="159">
        <v>44.1</v>
      </c>
      <c r="K1498" t="str">
        <f>VLOOKUP($C1498,Lists!$C$3:$M$118,7,FALSE)</f>
        <v>Water</v>
      </c>
      <c r="S1498" s="4"/>
      <c r="T1498" s="4"/>
      <c r="U1498" s="5"/>
      <c r="V1498" s="5"/>
    </row>
    <row r="1499" spans="1:22" x14ac:dyDescent="0.25">
      <c r="A1499" s="158" t="s">
        <v>481</v>
      </c>
      <c r="B1499" s="158" t="s">
        <v>482</v>
      </c>
      <c r="C1499" s="158" t="s">
        <v>41</v>
      </c>
      <c r="D1499" s="158" t="s">
        <v>42</v>
      </c>
      <c r="E1499" s="157">
        <v>72</v>
      </c>
      <c r="F1499" s="158" t="s">
        <v>525</v>
      </c>
      <c r="G1499" s="159">
        <v>556223.04</v>
      </c>
      <c r="H1499" s="159">
        <v>0</v>
      </c>
      <c r="I1499" s="159">
        <v>233303.04000000001</v>
      </c>
      <c r="J1499" s="159">
        <v>41.9</v>
      </c>
      <c r="K1499" t="str">
        <f>VLOOKUP($C1499,Lists!$C$3:$M$118,7,FALSE)</f>
        <v>Alcomix</v>
      </c>
      <c r="S1499" s="4"/>
      <c r="T1499" s="4"/>
      <c r="U1499" s="5"/>
      <c r="V1499" s="5"/>
    </row>
    <row r="1500" spans="1:22" x14ac:dyDescent="0.25">
      <c r="A1500" s="158" t="s">
        <v>481</v>
      </c>
      <c r="B1500" s="158" t="s">
        <v>482</v>
      </c>
      <c r="C1500" s="158" t="s">
        <v>10</v>
      </c>
      <c r="D1500" s="158" t="s">
        <v>11</v>
      </c>
      <c r="E1500" s="157">
        <v>142</v>
      </c>
      <c r="F1500" s="158" t="s">
        <v>525</v>
      </c>
      <c r="G1500" s="159">
        <v>1096995.44</v>
      </c>
      <c r="H1500" s="159">
        <v>0</v>
      </c>
      <c r="I1500" s="159">
        <v>460125.44</v>
      </c>
      <c r="J1500" s="159">
        <v>41.9</v>
      </c>
      <c r="K1500" t="str">
        <f>VLOOKUP($C1500,Lists!$C$3:$M$118,7,FALSE)</f>
        <v>Alcomix</v>
      </c>
      <c r="S1500" s="4"/>
      <c r="T1500" s="4"/>
      <c r="U1500" s="5"/>
      <c r="V1500" s="5"/>
    </row>
    <row r="1501" spans="1:22" x14ac:dyDescent="0.25">
      <c r="A1501" s="158" t="s">
        <v>481</v>
      </c>
      <c r="B1501" s="158" t="s">
        <v>482</v>
      </c>
      <c r="C1501" s="158" t="s">
        <v>12</v>
      </c>
      <c r="D1501" s="158" t="s">
        <v>13</v>
      </c>
      <c r="E1501" s="157">
        <v>-6</v>
      </c>
      <c r="F1501" s="158" t="s">
        <v>525</v>
      </c>
      <c r="G1501" s="159">
        <v>-38626.620000000003</v>
      </c>
      <c r="H1501" s="159">
        <v>0</v>
      </c>
      <c r="I1501" s="159">
        <v>-16881.12</v>
      </c>
      <c r="J1501" s="159">
        <v>43.7</v>
      </c>
      <c r="K1501" t="str">
        <f>VLOOKUP($C1501,Lists!$C$3:$M$118,7,FALSE)</f>
        <v>Beers</v>
      </c>
      <c r="S1501" s="4"/>
      <c r="T1501" s="4"/>
      <c r="U1501" s="5"/>
      <c r="V1501" s="5"/>
    </row>
    <row r="1502" spans="1:22" x14ac:dyDescent="0.25">
      <c r="A1502" s="158" t="s">
        <v>481</v>
      </c>
      <c r="B1502" s="158" t="s">
        <v>482</v>
      </c>
      <c r="C1502" s="158" t="s">
        <v>14</v>
      </c>
      <c r="D1502" s="158" t="s">
        <v>15</v>
      </c>
      <c r="E1502" s="157">
        <v>142</v>
      </c>
      <c r="F1502" s="158" t="s">
        <v>525</v>
      </c>
      <c r="G1502" s="159">
        <v>1096995.44</v>
      </c>
      <c r="H1502" s="159">
        <v>0</v>
      </c>
      <c r="I1502" s="159">
        <v>541721.48</v>
      </c>
      <c r="J1502" s="159">
        <v>49.4</v>
      </c>
      <c r="K1502" t="str">
        <f>VLOOKUP($C1502,Lists!$C$3:$M$118,7,FALSE)</f>
        <v>Beers</v>
      </c>
      <c r="S1502" s="4"/>
      <c r="T1502" s="4"/>
      <c r="U1502" s="5"/>
      <c r="V1502" s="5"/>
    </row>
    <row r="1503" spans="1:22" x14ac:dyDescent="0.25">
      <c r="A1503" s="158" t="s">
        <v>481</v>
      </c>
      <c r="B1503" s="158" t="s">
        <v>482</v>
      </c>
      <c r="C1503" s="158" t="s">
        <v>16</v>
      </c>
      <c r="D1503" s="158" t="s">
        <v>17</v>
      </c>
      <c r="E1503" s="157">
        <v>490</v>
      </c>
      <c r="F1503" s="158" t="s">
        <v>525</v>
      </c>
      <c r="G1503" s="159">
        <v>3785406.8</v>
      </c>
      <c r="H1503" s="159">
        <v>0</v>
      </c>
      <c r="I1503" s="159">
        <v>1869320.6</v>
      </c>
      <c r="J1503" s="159">
        <v>49.4</v>
      </c>
      <c r="K1503" t="str">
        <f>VLOOKUP($C1503,Lists!$C$3:$M$118,7,FALSE)</f>
        <v>Beers</v>
      </c>
      <c r="S1503" s="4"/>
      <c r="T1503" s="4"/>
      <c r="U1503" s="5"/>
      <c r="V1503" s="5"/>
    </row>
    <row r="1504" spans="1:22" x14ac:dyDescent="0.25">
      <c r="A1504" s="158" t="s">
        <v>481</v>
      </c>
      <c r="B1504" s="158" t="s">
        <v>482</v>
      </c>
      <c r="C1504" s="158" t="s">
        <v>56</v>
      </c>
      <c r="D1504" s="158" t="s">
        <v>57</v>
      </c>
      <c r="E1504" s="157">
        <v>-1</v>
      </c>
      <c r="F1504" s="158" t="s">
        <v>525</v>
      </c>
      <c r="G1504" s="159">
        <v>-7725.32</v>
      </c>
      <c r="H1504" s="159">
        <v>0</v>
      </c>
      <c r="I1504" s="159">
        <v>-4055.57</v>
      </c>
      <c r="J1504" s="159">
        <v>52.5</v>
      </c>
      <c r="K1504" t="str">
        <f>VLOOKUP($C1504,Lists!$C$3:$M$118,7,FALSE)</f>
        <v>Beers</v>
      </c>
      <c r="S1504" s="4"/>
      <c r="T1504" s="4"/>
      <c r="U1504" s="5"/>
      <c r="V1504" s="5"/>
    </row>
    <row r="1505" spans="1:22" x14ac:dyDescent="0.25">
      <c r="A1505" s="158" t="s">
        <v>481</v>
      </c>
      <c r="B1505" s="158" t="s">
        <v>482</v>
      </c>
      <c r="C1505" s="158" t="s">
        <v>18</v>
      </c>
      <c r="D1505" s="158" t="s">
        <v>19</v>
      </c>
      <c r="E1505" s="157">
        <v>-4</v>
      </c>
      <c r="F1505" s="158" t="s">
        <v>525</v>
      </c>
      <c r="G1505" s="159">
        <v>-41201.72</v>
      </c>
      <c r="H1505" s="159">
        <v>0</v>
      </c>
      <c r="I1505" s="159">
        <v>-21363.72</v>
      </c>
      <c r="J1505" s="159">
        <v>51.9</v>
      </c>
      <c r="K1505" t="str">
        <f>VLOOKUP($C1505,Lists!$C$3:$M$118,7,FALSE)</f>
        <v>Beers</v>
      </c>
      <c r="S1505" s="4"/>
      <c r="T1505" s="4"/>
      <c r="U1505" s="5"/>
      <c r="V1505" s="5"/>
    </row>
    <row r="1506" spans="1:22" x14ac:dyDescent="0.25">
      <c r="A1506" s="158" t="s">
        <v>481</v>
      </c>
      <c r="B1506" s="158" t="s">
        <v>482</v>
      </c>
      <c r="C1506" s="158" t="s">
        <v>20</v>
      </c>
      <c r="D1506" s="158" t="s">
        <v>21</v>
      </c>
      <c r="E1506" s="157">
        <v>283</v>
      </c>
      <c r="F1506" s="158" t="s">
        <v>525</v>
      </c>
      <c r="G1506" s="159">
        <v>1120122.49</v>
      </c>
      <c r="H1506" s="159">
        <v>0</v>
      </c>
      <c r="I1506" s="159">
        <v>470722.39</v>
      </c>
      <c r="J1506" s="159">
        <v>42</v>
      </c>
      <c r="K1506" t="str">
        <f>VLOOKUP($C1506,Lists!$C$3:$M$118,7,FALSE)</f>
        <v>COKE_RGB</v>
      </c>
      <c r="S1506" s="4"/>
      <c r="T1506" s="4"/>
      <c r="U1506" s="5"/>
      <c r="V1506" s="5"/>
    </row>
    <row r="1507" spans="1:22" x14ac:dyDescent="0.25">
      <c r="A1507" s="158" t="s">
        <v>481</v>
      </c>
      <c r="B1507" s="158" t="s">
        <v>482</v>
      </c>
      <c r="C1507" s="158" t="s">
        <v>43</v>
      </c>
      <c r="D1507" s="158" t="s">
        <v>44</v>
      </c>
      <c r="E1507" s="157">
        <v>-2</v>
      </c>
      <c r="F1507" s="158" t="s">
        <v>525</v>
      </c>
      <c r="G1507" s="159">
        <v>-15450.64</v>
      </c>
      <c r="H1507" s="159">
        <v>0</v>
      </c>
      <c r="I1507" s="159">
        <v>-7629.88</v>
      </c>
      <c r="J1507" s="159">
        <v>49.4</v>
      </c>
      <c r="K1507" t="str">
        <f>VLOOKUP($C1507,Lists!$C$3:$M$118,7,FALSE)</f>
        <v>Beers</v>
      </c>
      <c r="S1507" s="4"/>
      <c r="T1507" s="4"/>
      <c r="U1507" s="5"/>
      <c r="V1507" s="5"/>
    </row>
    <row r="1508" spans="1:22" x14ac:dyDescent="0.25">
      <c r="A1508" s="158" t="s">
        <v>481</v>
      </c>
      <c r="B1508" s="158" t="s">
        <v>482</v>
      </c>
      <c r="C1508" s="158" t="s">
        <v>59</v>
      </c>
      <c r="D1508" s="158" t="s">
        <v>60</v>
      </c>
      <c r="E1508" s="157">
        <v>-1</v>
      </c>
      <c r="F1508" s="158" t="s">
        <v>525</v>
      </c>
      <c r="G1508" s="159">
        <v>-3958.03</v>
      </c>
      <c r="H1508" s="159">
        <v>0</v>
      </c>
      <c r="I1508" s="159">
        <v>-1611.58</v>
      </c>
      <c r="J1508" s="159">
        <v>40.700000000000003</v>
      </c>
      <c r="K1508" t="str">
        <f>VLOOKUP($C1508,Lists!$C$3:$M$118,7,FALSE)</f>
        <v>COKE_RGB</v>
      </c>
      <c r="S1508" s="4"/>
      <c r="T1508" s="4"/>
      <c r="U1508" s="5"/>
      <c r="V1508" s="5"/>
    </row>
    <row r="1509" spans="1:22" x14ac:dyDescent="0.25">
      <c r="A1509" s="158" t="s">
        <v>481</v>
      </c>
      <c r="B1509" s="158" t="s">
        <v>482</v>
      </c>
      <c r="C1509" s="158" t="s">
        <v>22</v>
      </c>
      <c r="D1509" s="158" t="s">
        <v>23</v>
      </c>
      <c r="E1509" s="157">
        <v>214</v>
      </c>
      <c r="F1509" s="158" t="s">
        <v>525</v>
      </c>
      <c r="G1509" s="159">
        <v>847018.42</v>
      </c>
      <c r="H1509" s="159">
        <v>0</v>
      </c>
      <c r="I1509" s="159">
        <v>341235.84</v>
      </c>
      <c r="J1509" s="159">
        <v>40.299999999999997</v>
      </c>
      <c r="K1509" t="str">
        <f>VLOOKUP($C1509,Lists!$C$3:$M$118,7,FALSE)</f>
        <v>COKE_RGB</v>
      </c>
      <c r="S1509" s="4"/>
      <c r="T1509" s="4"/>
      <c r="U1509" s="5"/>
      <c r="V1509" s="5"/>
    </row>
    <row r="1510" spans="1:22" x14ac:dyDescent="0.25">
      <c r="A1510" s="158" t="s">
        <v>481</v>
      </c>
      <c r="B1510" s="158" t="s">
        <v>482</v>
      </c>
      <c r="C1510" s="158" t="s">
        <v>24</v>
      </c>
      <c r="D1510" s="158" t="s">
        <v>25</v>
      </c>
      <c r="E1510" s="157">
        <v>-5</v>
      </c>
      <c r="F1510" s="158" t="s">
        <v>525</v>
      </c>
      <c r="G1510" s="159">
        <v>-32188.85</v>
      </c>
      <c r="H1510" s="159">
        <v>0</v>
      </c>
      <c r="I1510" s="159">
        <v>-15498.2</v>
      </c>
      <c r="J1510" s="159">
        <v>48.1</v>
      </c>
      <c r="K1510" t="str">
        <f>VLOOKUP($C1510,Lists!$C$3:$M$118,7,FALSE)</f>
        <v>Beers</v>
      </c>
      <c r="S1510" s="4"/>
      <c r="T1510" s="4"/>
      <c r="U1510" s="5"/>
      <c r="V1510" s="5"/>
    </row>
    <row r="1511" spans="1:22" x14ac:dyDescent="0.25">
      <c r="A1511" s="158" t="s">
        <v>481</v>
      </c>
      <c r="B1511" s="158" t="s">
        <v>482</v>
      </c>
      <c r="C1511" s="158" t="s">
        <v>37</v>
      </c>
      <c r="D1511" s="158" t="s">
        <v>38</v>
      </c>
      <c r="E1511" s="157">
        <v>213</v>
      </c>
      <c r="F1511" s="158" t="s">
        <v>525</v>
      </c>
      <c r="G1511" s="159">
        <v>702550.68</v>
      </c>
      <c r="H1511" s="159">
        <v>0</v>
      </c>
      <c r="I1511" s="159">
        <v>329121.21000000002</v>
      </c>
      <c r="J1511" s="159">
        <v>46.8</v>
      </c>
      <c r="K1511" t="str">
        <f>VLOOKUP($C1511,Lists!$C$3:$M$118,7,FALSE)</f>
        <v>SOBO_RGB</v>
      </c>
      <c r="S1511" s="4"/>
      <c r="T1511" s="4"/>
      <c r="U1511" s="5"/>
      <c r="V1511" s="5"/>
    </row>
    <row r="1512" spans="1:22" x14ac:dyDescent="0.25">
      <c r="A1512" s="158" t="s">
        <v>481</v>
      </c>
      <c r="B1512" s="158" t="s">
        <v>482</v>
      </c>
      <c r="C1512" s="158" t="s">
        <v>39</v>
      </c>
      <c r="D1512" s="158" t="s">
        <v>40</v>
      </c>
      <c r="E1512" s="157">
        <v>144</v>
      </c>
      <c r="F1512" s="158" t="s">
        <v>525</v>
      </c>
      <c r="G1512" s="159">
        <v>474963.84</v>
      </c>
      <c r="H1512" s="159">
        <v>0</v>
      </c>
      <c r="I1512" s="159">
        <v>220537.44</v>
      </c>
      <c r="J1512" s="159">
        <v>46.4</v>
      </c>
      <c r="K1512" t="str">
        <f>VLOOKUP($C1512,Lists!$C$3:$M$118,7,FALSE)</f>
        <v>SOBO_RGB</v>
      </c>
      <c r="S1512" s="4"/>
      <c r="T1512" s="4"/>
      <c r="U1512" s="5"/>
      <c r="V1512" s="5"/>
    </row>
    <row r="1513" spans="1:22" x14ac:dyDescent="0.25">
      <c r="A1513" s="158" t="s">
        <v>481</v>
      </c>
      <c r="B1513" s="158" t="s">
        <v>482</v>
      </c>
      <c r="C1513" s="158" t="s">
        <v>45</v>
      </c>
      <c r="D1513" s="158" t="s">
        <v>46</v>
      </c>
      <c r="E1513" s="157">
        <v>-1</v>
      </c>
      <c r="F1513" s="158" t="s">
        <v>525</v>
      </c>
      <c r="G1513" s="159">
        <v>-3958.03</v>
      </c>
      <c r="H1513" s="159">
        <v>0</v>
      </c>
      <c r="I1513" s="159">
        <v>-1949.47</v>
      </c>
      <c r="J1513" s="159">
        <v>49.3</v>
      </c>
      <c r="K1513" t="str">
        <f>VLOOKUP($C1513,Lists!$C$3:$M$118,7,FALSE)</f>
        <v>SOBO_RGB</v>
      </c>
      <c r="S1513" s="4"/>
      <c r="T1513" s="4"/>
      <c r="U1513" s="5"/>
      <c r="V1513" s="5"/>
    </row>
    <row r="1514" spans="1:22" x14ac:dyDescent="0.25">
      <c r="A1514" s="158" t="s">
        <v>481</v>
      </c>
      <c r="B1514" s="158" t="s">
        <v>482</v>
      </c>
      <c r="C1514" s="158" t="s">
        <v>49</v>
      </c>
      <c r="D1514" s="158" t="s">
        <v>50</v>
      </c>
      <c r="E1514" s="157">
        <v>-1</v>
      </c>
      <c r="F1514" s="158" t="s">
        <v>525</v>
      </c>
      <c r="G1514" s="159">
        <v>-10027.379999999999</v>
      </c>
      <c r="H1514" s="159">
        <v>0</v>
      </c>
      <c r="I1514" s="159">
        <v>-3193.72</v>
      </c>
      <c r="J1514" s="159">
        <v>31.8</v>
      </c>
      <c r="K1514" t="str">
        <f>VLOOKUP($C1514,Lists!$C$3:$M$118,7,FALSE)</f>
        <v>Squash</v>
      </c>
      <c r="S1514" s="4"/>
      <c r="T1514" s="4"/>
      <c r="U1514" s="5"/>
      <c r="V1514" s="5"/>
    </row>
    <row r="1515" spans="1:22" x14ac:dyDescent="0.25">
      <c r="A1515" s="158" t="s">
        <v>481</v>
      </c>
      <c r="B1515" s="158" t="s">
        <v>482</v>
      </c>
      <c r="C1515" s="158" t="s">
        <v>51</v>
      </c>
      <c r="D1515" s="158" t="s">
        <v>52</v>
      </c>
      <c r="E1515" s="157">
        <v>-1</v>
      </c>
      <c r="F1515" s="158" t="s">
        <v>525</v>
      </c>
      <c r="G1515" s="159">
        <v>-10027.379999999999</v>
      </c>
      <c r="H1515" s="159">
        <v>0</v>
      </c>
      <c r="I1515" s="159">
        <v>-3167.03</v>
      </c>
      <c r="J1515" s="159">
        <v>31.6</v>
      </c>
      <c r="K1515" t="str">
        <f>VLOOKUP($C1515,Lists!$C$3:$M$118,7,FALSE)</f>
        <v>Squash</v>
      </c>
      <c r="S1515" s="4"/>
      <c r="T1515" s="4"/>
      <c r="U1515" s="5"/>
      <c r="V1515" s="5"/>
    </row>
    <row r="1516" spans="1:22" x14ac:dyDescent="0.25">
      <c r="A1516" s="158" t="s">
        <v>483</v>
      </c>
      <c r="B1516" s="158" t="s">
        <v>484</v>
      </c>
      <c r="C1516" s="158" t="s">
        <v>41</v>
      </c>
      <c r="D1516" s="158" t="s">
        <v>42</v>
      </c>
      <c r="E1516" s="157">
        <v>72</v>
      </c>
      <c r="F1516" s="158" t="s">
        <v>525</v>
      </c>
      <c r="G1516" s="159">
        <v>556223.04</v>
      </c>
      <c r="H1516" s="159">
        <v>0</v>
      </c>
      <c r="I1516" s="159">
        <v>233303.04000000001</v>
      </c>
      <c r="J1516" s="159">
        <v>41.9</v>
      </c>
      <c r="K1516" t="str">
        <f>VLOOKUP($C1516,Lists!$C$3:$M$118,7,FALSE)</f>
        <v>Alcomix</v>
      </c>
      <c r="S1516" s="4"/>
      <c r="T1516" s="4"/>
      <c r="U1516" s="5"/>
      <c r="V1516" s="5"/>
    </row>
    <row r="1517" spans="1:22" x14ac:dyDescent="0.25">
      <c r="A1517" s="158" t="s">
        <v>483</v>
      </c>
      <c r="B1517" s="158" t="s">
        <v>484</v>
      </c>
      <c r="C1517" s="158" t="s">
        <v>10</v>
      </c>
      <c r="D1517" s="158" t="s">
        <v>11</v>
      </c>
      <c r="E1517" s="157">
        <v>143</v>
      </c>
      <c r="F1517" s="158" t="s">
        <v>525</v>
      </c>
      <c r="G1517" s="159">
        <v>1104720.76</v>
      </c>
      <c r="H1517" s="159">
        <v>0</v>
      </c>
      <c r="I1517" s="159">
        <v>463365.76</v>
      </c>
      <c r="J1517" s="159">
        <v>41.9</v>
      </c>
      <c r="K1517" t="str">
        <f>VLOOKUP($C1517,Lists!$C$3:$M$118,7,FALSE)</f>
        <v>Alcomix</v>
      </c>
      <c r="S1517" s="4"/>
      <c r="T1517" s="4"/>
      <c r="U1517" s="5"/>
      <c r="V1517" s="5"/>
    </row>
    <row r="1518" spans="1:22" x14ac:dyDescent="0.25">
      <c r="A1518" s="158" t="s">
        <v>483</v>
      </c>
      <c r="B1518" s="158" t="s">
        <v>484</v>
      </c>
      <c r="C1518" s="158" t="s">
        <v>12</v>
      </c>
      <c r="D1518" s="158" t="s">
        <v>13</v>
      </c>
      <c r="E1518" s="157">
        <v>2588</v>
      </c>
      <c r="F1518" s="158" t="s">
        <v>525</v>
      </c>
      <c r="G1518" s="159">
        <v>16660948.76</v>
      </c>
      <c r="H1518" s="159">
        <v>0</v>
      </c>
      <c r="I1518" s="159">
        <v>7281389.7599999998</v>
      </c>
      <c r="J1518" s="159">
        <v>43.7</v>
      </c>
      <c r="K1518" t="str">
        <f>VLOOKUP($C1518,Lists!$C$3:$M$118,7,FALSE)</f>
        <v>Beers</v>
      </c>
      <c r="S1518" s="4"/>
      <c r="T1518" s="4"/>
      <c r="U1518" s="5"/>
      <c r="V1518" s="5"/>
    </row>
    <row r="1519" spans="1:22" x14ac:dyDescent="0.25">
      <c r="A1519" s="158" t="s">
        <v>483</v>
      </c>
      <c r="B1519" s="158" t="s">
        <v>484</v>
      </c>
      <c r="C1519" s="158" t="s">
        <v>14</v>
      </c>
      <c r="D1519" s="158" t="s">
        <v>15</v>
      </c>
      <c r="E1519" s="157">
        <v>1439</v>
      </c>
      <c r="F1519" s="158" t="s">
        <v>525</v>
      </c>
      <c r="G1519" s="159">
        <v>11116735.48</v>
      </c>
      <c r="H1519" s="159">
        <v>0</v>
      </c>
      <c r="I1519" s="159">
        <v>5489698.6600000001</v>
      </c>
      <c r="J1519" s="159">
        <v>49.4</v>
      </c>
      <c r="K1519" t="str">
        <f>VLOOKUP($C1519,Lists!$C$3:$M$118,7,FALSE)</f>
        <v>Beers</v>
      </c>
      <c r="S1519" s="4"/>
      <c r="T1519" s="4"/>
      <c r="U1519" s="5"/>
      <c r="V1519" s="5"/>
    </row>
    <row r="1520" spans="1:22" x14ac:dyDescent="0.25">
      <c r="A1520" s="158" t="s">
        <v>483</v>
      </c>
      <c r="B1520" s="158" t="s">
        <v>484</v>
      </c>
      <c r="C1520" s="158" t="s">
        <v>54</v>
      </c>
      <c r="D1520" s="158" t="s">
        <v>55</v>
      </c>
      <c r="E1520" s="157">
        <v>400</v>
      </c>
      <c r="F1520" s="158" t="s">
        <v>525</v>
      </c>
      <c r="G1520" s="159">
        <v>3090128</v>
      </c>
      <c r="H1520" s="159">
        <v>0</v>
      </c>
      <c r="I1520" s="159">
        <v>1622228</v>
      </c>
      <c r="J1520" s="159">
        <v>52.5</v>
      </c>
      <c r="K1520" t="str">
        <f>VLOOKUP($C1520,Lists!$C$3:$M$118,7,FALSE)</f>
        <v>Beers</v>
      </c>
      <c r="S1520" s="4"/>
      <c r="T1520" s="4"/>
      <c r="U1520" s="5"/>
      <c r="V1520" s="5"/>
    </row>
    <row r="1521" spans="1:22" x14ac:dyDescent="0.25">
      <c r="A1521" s="158" t="s">
        <v>483</v>
      </c>
      <c r="B1521" s="158" t="s">
        <v>484</v>
      </c>
      <c r="C1521" s="158" t="s">
        <v>16</v>
      </c>
      <c r="D1521" s="158" t="s">
        <v>17</v>
      </c>
      <c r="E1521" s="157">
        <v>2445</v>
      </c>
      <c r="F1521" s="158" t="s">
        <v>525</v>
      </c>
      <c r="G1521" s="159">
        <v>18888407.399999999</v>
      </c>
      <c r="H1521" s="159">
        <v>0</v>
      </c>
      <c r="I1521" s="159">
        <v>9327528.2899999991</v>
      </c>
      <c r="J1521" s="159">
        <v>49.4</v>
      </c>
      <c r="K1521" t="str">
        <f>VLOOKUP($C1521,Lists!$C$3:$M$118,7,FALSE)</f>
        <v>Beers</v>
      </c>
      <c r="S1521" s="4"/>
      <c r="T1521" s="4"/>
      <c r="U1521" s="5"/>
      <c r="V1521" s="5"/>
    </row>
    <row r="1522" spans="1:22" x14ac:dyDescent="0.25">
      <c r="A1522" s="158" t="s">
        <v>483</v>
      </c>
      <c r="B1522" s="158" t="s">
        <v>484</v>
      </c>
      <c r="C1522" s="158" t="s">
        <v>56</v>
      </c>
      <c r="D1522" s="158" t="s">
        <v>57</v>
      </c>
      <c r="E1522" s="157">
        <v>250</v>
      </c>
      <c r="F1522" s="158" t="s">
        <v>525</v>
      </c>
      <c r="G1522" s="159">
        <v>1931330</v>
      </c>
      <c r="H1522" s="159">
        <v>0</v>
      </c>
      <c r="I1522" s="159">
        <v>1013892.5</v>
      </c>
      <c r="J1522" s="159">
        <v>52.5</v>
      </c>
      <c r="K1522" t="str">
        <f>VLOOKUP($C1522,Lists!$C$3:$M$118,7,FALSE)</f>
        <v>Beers</v>
      </c>
      <c r="S1522" s="4"/>
      <c r="T1522" s="4"/>
      <c r="U1522" s="5"/>
      <c r="V1522" s="5"/>
    </row>
    <row r="1523" spans="1:22" x14ac:dyDescent="0.25">
      <c r="A1523" s="158" t="s">
        <v>483</v>
      </c>
      <c r="B1523" s="158" t="s">
        <v>484</v>
      </c>
      <c r="C1523" s="158" t="s">
        <v>18</v>
      </c>
      <c r="D1523" s="158" t="s">
        <v>19</v>
      </c>
      <c r="E1523" s="157">
        <v>213</v>
      </c>
      <c r="F1523" s="158" t="s">
        <v>525</v>
      </c>
      <c r="G1523" s="159">
        <v>2193991.59</v>
      </c>
      <c r="H1523" s="159">
        <v>0</v>
      </c>
      <c r="I1523" s="159">
        <v>1137618.0900000001</v>
      </c>
      <c r="J1523" s="159">
        <v>51.9</v>
      </c>
      <c r="K1523" t="str">
        <f>VLOOKUP($C1523,Lists!$C$3:$M$118,7,FALSE)</f>
        <v>Beers</v>
      </c>
      <c r="S1523" s="4"/>
      <c r="T1523" s="4"/>
      <c r="U1523" s="5"/>
      <c r="V1523" s="5"/>
    </row>
    <row r="1524" spans="1:22" x14ac:dyDescent="0.25">
      <c r="A1524" s="158" t="s">
        <v>483</v>
      </c>
      <c r="B1524" s="158" t="s">
        <v>484</v>
      </c>
      <c r="C1524" s="158" t="s">
        <v>20</v>
      </c>
      <c r="D1524" s="158" t="s">
        <v>21</v>
      </c>
      <c r="E1524" s="157">
        <v>1511</v>
      </c>
      <c r="F1524" s="158" t="s">
        <v>525</v>
      </c>
      <c r="G1524" s="159">
        <v>5980583.3300000001</v>
      </c>
      <c r="H1524" s="159">
        <v>0</v>
      </c>
      <c r="I1524" s="159">
        <v>2513291.63</v>
      </c>
      <c r="J1524" s="159">
        <v>42</v>
      </c>
      <c r="K1524" t="str">
        <f>VLOOKUP($C1524,Lists!$C$3:$M$118,7,FALSE)</f>
        <v>COKE_RGB</v>
      </c>
      <c r="S1524" s="4"/>
      <c r="T1524" s="4"/>
      <c r="U1524" s="5"/>
      <c r="V1524" s="5"/>
    </row>
    <row r="1525" spans="1:22" x14ac:dyDescent="0.25">
      <c r="A1525" s="158" t="s">
        <v>483</v>
      </c>
      <c r="B1525" s="158" t="s">
        <v>484</v>
      </c>
      <c r="C1525" s="158" t="s">
        <v>28</v>
      </c>
      <c r="D1525" s="158" t="s">
        <v>530</v>
      </c>
      <c r="E1525" s="157">
        <v>144</v>
      </c>
      <c r="F1525" s="158" t="s">
        <v>525</v>
      </c>
      <c r="G1525" s="159">
        <v>406497.6</v>
      </c>
      <c r="H1525" s="159">
        <v>0</v>
      </c>
      <c r="I1525" s="159">
        <v>205034.4</v>
      </c>
      <c r="J1525" s="159">
        <v>50.4</v>
      </c>
      <c r="K1525" t="str">
        <f>VLOOKUP($C1525,Lists!$C$3:$M$118,7,FALSE)</f>
        <v>COKE_PET</v>
      </c>
      <c r="S1525" s="4"/>
      <c r="T1525" s="4"/>
      <c r="U1525" s="5"/>
      <c r="V1525" s="5"/>
    </row>
    <row r="1526" spans="1:22" x14ac:dyDescent="0.25">
      <c r="A1526" s="158" t="s">
        <v>483</v>
      </c>
      <c r="B1526" s="158" t="s">
        <v>484</v>
      </c>
      <c r="C1526" s="158" t="s">
        <v>43</v>
      </c>
      <c r="D1526" s="158" t="s">
        <v>44</v>
      </c>
      <c r="E1526" s="157">
        <v>359</v>
      </c>
      <c r="F1526" s="158" t="s">
        <v>525</v>
      </c>
      <c r="G1526" s="159">
        <v>2773389.88</v>
      </c>
      <c r="H1526" s="159">
        <v>0</v>
      </c>
      <c r="I1526" s="159">
        <v>1369563.46</v>
      </c>
      <c r="J1526" s="159">
        <v>49.4</v>
      </c>
      <c r="K1526" t="str">
        <f>VLOOKUP($C1526,Lists!$C$3:$M$118,7,FALSE)</f>
        <v>Beers</v>
      </c>
      <c r="S1526" s="4"/>
      <c r="T1526" s="4"/>
      <c r="U1526" s="5"/>
      <c r="V1526" s="5"/>
    </row>
    <row r="1527" spans="1:22" x14ac:dyDescent="0.25">
      <c r="A1527" s="158" t="s">
        <v>483</v>
      </c>
      <c r="B1527" s="158" t="s">
        <v>484</v>
      </c>
      <c r="C1527" s="158" t="s">
        <v>22</v>
      </c>
      <c r="D1527" s="158" t="s">
        <v>23</v>
      </c>
      <c r="E1527" s="157">
        <v>430</v>
      </c>
      <c r="F1527" s="158" t="s">
        <v>525</v>
      </c>
      <c r="G1527" s="159">
        <v>1701952.9</v>
      </c>
      <c r="H1527" s="159">
        <v>0</v>
      </c>
      <c r="I1527" s="159">
        <v>685660.8</v>
      </c>
      <c r="J1527" s="159">
        <v>40.299999999999997</v>
      </c>
      <c r="K1527" t="str">
        <f>VLOOKUP($C1527,Lists!$C$3:$M$118,7,FALSE)</f>
        <v>COKE_RGB</v>
      </c>
      <c r="S1527" s="4"/>
      <c r="T1527" s="4"/>
      <c r="U1527" s="5"/>
      <c r="V1527" s="5"/>
    </row>
    <row r="1528" spans="1:22" x14ac:dyDescent="0.25">
      <c r="A1528" s="158" t="s">
        <v>483</v>
      </c>
      <c r="B1528" s="158" t="s">
        <v>484</v>
      </c>
      <c r="C1528" s="158" t="s">
        <v>67</v>
      </c>
      <c r="D1528" s="158" t="s">
        <v>533</v>
      </c>
      <c r="E1528" s="157">
        <v>144</v>
      </c>
      <c r="F1528" s="158" t="s">
        <v>525</v>
      </c>
      <c r="G1528" s="159">
        <v>406497.6</v>
      </c>
      <c r="H1528" s="159">
        <v>0</v>
      </c>
      <c r="I1528" s="159">
        <v>199961.28</v>
      </c>
      <c r="J1528" s="159">
        <v>49.2</v>
      </c>
      <c r="K1528" t="str">
        <f>VLOOKUP($C1528,Lists!$C$3:$M$118,7,FALSE)</f>
        <v>COKE_PET</v>
      </c>
      <c r="S1528" s="4"/>
      <c r="T1528" s="4"/>
      <c r="U1528" s="5"/>
      <c r="V1528" s="5"/>
    </row>
    <row r="1529" spans="1:22" x14ac:dyDescent="0.25">
      <c r="A1529" s="158" t="s">
        <v>483</v>
      </c>
      <c r="B1529" s="158" t="s">
        <v>484</v>
      </c>
      <c r="C1529" s="158" t="s">
        <v>261</v>
      </c>
      <c r="D1529" s="158" t="s">
        <v>538</v>
      </c>
      <c r="E1529" s="157">
        <v>72</v>
      </c>
      <c r="F1529" s="158" t="s">
        <v>525</v>
      </c>
      <c r="G1529" s="159">
        <v>284978.15999999997</v>
      </c>
      <c r="H1529" s="159">
        <v>0</v>
      </c>
      <c r="I1529" s="159">
        <v>114808.32000000001</v>
      </c>
      <c r="J1529" s="159">
        <v>40.299999999999997</v>
      </c>
      <c r="K1529" t="str">
        <f>VLOOKUP($C1529,Lists!$C$3:$M$118,7,FALSE)</f>
        <v>COKE_RGB</v>
      </c>
      <c r="S1529" s="4"/>
      <c r="T1529" s="4"/>
      <c r="U1529" s="5"/>
      <c r="V1529" s="5"/>
    </row>
    <row r="1530" spans="1:22" x14ac:dyDescent="0.25">
      <c r="A1530" s="158" t="s">
        <v>483</v>
      </c>
      <c r="B1530" s="158" t="s">
        <v>484</v>
      </c>
      <c r="C1530" s="158" t="s">
        <v>24</v>
      </c>
      <c r="D1530" s="158" t="s">
        <v>25</v>
      </c>
      <c r="E1530" s="157">
        <v>503</v>
      </c>
      <c r="F1530" s="158" t="s">
        <v>525</v>
      </c>
      <c r="G1530" s="159">
        <v>3238198.31</v>
      </c>
      <c r="H1530" s="159">
        <v>0</v>
      </c>
      <c r="I1530" s="159">
        <v>1559118.92</v>
      </c>
      <c r="J1530" s="159">
        <v>48.1</v>
      </c>
      <c r="K1530" t="str">
        <f>VLOOKUP($C1530,Lists!$C$3:$M$118,7,FALSE)</f>
        <v>Beers</v>
      </c>
      <c r="S1530" s="4"/>
      <c r="T1530" s="4"/>
      <c r="U1530" s="5"/>
      <c r="V1530" s="5"/>
    </row>
    <row r="1531" spans="1:22" x14ac:dyDescent="0.25">
      <c r="A1531" s="158" t="s">
        <v>483</v>
      </c>
      <c r="B1531" s="158" t="s">
        <v>484</v>
      </c>
      <c r="C1531" s="158" t="s">
        <v>29</v>
      </c>
      <c r="D1531" s="158" t="s">
        <v>30</v>
      </c>
      <c r="E1531" s="157">
        <v>49</v>
      </c>
      <c r="F1531" s="158" t="s">
        <v>525</v>
      </c>
      <c r="G1531" s="159">
        <v>1782835.11</v>
      </c>
      <c r="H1531" s="159">
        <v>0</v>
      </c>
      <c r="I1531" s="159">
        <v>508835.11</v>
      </c>
      <c r="J1531" s="159">
        <v>28.5</v>
      </c>
      <c r="K1531" t="str">
        <f>VLOOKUP($C1531,Lists!$C$3:$M$118,7,FALSE)</f>
        <v>Spirits</v>
      </c>
      <c r="S1531" s="4"/>
      <c r="T1531" s="4"/>
      <c r="U1531" s="5"/>
      <c r="V1531" s="5"/>
    </row>
    <row r="1532" spans="1:22" x14ac:dyDescent="0.25">
      <c r="A1532" s="158" t="s">
        <v>483</v>
      </c>
      <c r="B1532" s="158" t="s">
        <v>484</v>
      </c>
      <c r="C1532" s="158" t="s">
        <v>33</v>
      </c>
      <c r="D1532" s="158" t="s">
        <v>34</v>
      </c>
      <c r="E1532" s="157">
        <v>5</v>
      </c>
      <c r="F1532" s="158" t="s">
        <v>525</v>
      </c>
      <c r="G1532" s="159">
        <v>278452</v>
      </c>
      <c r="H1532" s="159">
        <v>0</v>
      </c>
      <c r="I1532" s="159">
        <v>53452</v>
      </c>
      <c r="J1532" s="159">
        <v>19.2</v>
      </c>
      <c r="K1532" t="str">
        <f>VLOOKUP($C1532,Lists!$C$3:$M$118,7,FALSE)</f>
        <v>Spirits</v>
      </c>
      <c r="S1532" s="4"/>
      <c r="T1532" s="4"/>
      <c r="U1532" s="5"/>
      <c r="V1532" s="5"/>
    </row>
    <row r="1533" spans="1:22" x14ac:dyDescent="0.25">
      <c r="A1533" s="158" t="s">
        <v>483</v>
      </c>
      <c r="B1533" s="158" t="s">
        <v>484</v>
      </c>
      <c r="C1533" s="158" t="s">
        <v>37</v>
      </c>
      <c r="D1533" s="158" t="s">
        <v>38</v>
      </c>
      <c r="E1533" s="157">
        <v>431</v>
      </c>
      <c r="F1533" s="158" t="s">
        <v>525</v>
      </c>
      <c r="G1533" s="159">
        <v>1421593.16</v>
      </c>
      <c r="H1533" s="159">
        <v>0</v>
      </c>
      <c r="I1533" s="159">
        <v>665968.27</v>
      </c>
      <c r="J1533" s="159">
        <v>46.8</v>
      </c>
      <c r="K1533" t="str">
        <f>VLOOKUP($C1533,Lists!$C$3:$M$118,7,FALSE)</f>
        <v>SOBO_RGB</v>
      </c>
      <c r="S1533" s="4"/>
      <c r="T1533" s="4"/>
      <c r="U1533" s="5"/>
      <c r="V1533" s="5"/>
    </row>
    <row r="1534" spans="1:22" x14ac:dyDescent="0.25">
      <c r="A1534" s="158" t="s">
        <v>483</v>
      </c>
      <c r="B1534" s="158" t="s">
        <v>484</v>
      </c>
      <c r="C1534" s="158" t="s">
        <v>39</v>
      </c>
      <c r="D1534" s="158" t="s">
        <v>40</v>
      </c>
      <c r="E1534" s="157">
        <v>143</v>
      </c>
      <c r="F1534" s="158" t="s">
        <v>525</v>
      </c>
      <c r="G1534" s="159">
        <v>471665.48</v>
      </c>
      <c r="H1534" s="159">
        <v>0</v>
      </c>
      <c r="I1534" s="159">
        <v>219005.93</v>
      </c>
      <c r="J1534" s="159">
        <v>46.4</v>
      </c>
      <c r="K1534" t="str">
        <f>VLOOKUP($C1534,Lists!$C$3:$M$118,7,FALSE)</f>
        <v>SOBO_RGB</v>
      </c>
      <c r="S1534" s="4"/>
      <c r="T1534" s="4"/>
      <c r="U1534" s="5"/>
      <c r="V1534" s="5"/>
    </row>
    <row r="1535" spans="1:22" x14ac:dyDescent="0.25">
      <c r="A1535" s="158" t="s">
        <v>483</v>
      </c>
      <c r="B1535" s="158" t="s">
        <v>484</v>
      </c>
      <c r="C1535" s="158" t="s">
        <v>45</v>
      </c>
      <c r="D1535" s="158" t="s">
        <v>46</v>
      </c>
      <c r="E1535" s="157">
        <v>72</v>
      </c>
      <c r="F1535" s="158" t="s">
        <v>525</v>
      </c>
      <c r="G1535" s="159">
        <v>284978.15999999997</v>
      </c>
      <c r="H1535" s="159">
        <v>0</v>
      </c>
      <c r="I1535" s="159">
        <v>140361.84</v>
      </c>
      <c r="J1535" s="159">
        <v>49.3</v>
      </c>
      <c r="K1535" t="str">
        <f>VLOOKUP($C1535,Lists!$C$3:$M$118,7,FALSE)</f>
        <v>SOBO_RGB</v>
      </c>
      <c r="S1535" s="4"/>
      <c r="T1535" s="4"/>
      <c r="U1535" s="5"/>
      <c r="V1535" s="5"/>
    </row>
    <row r="1536" spans="1:22" x14ac:dyDescent="0.25">
      <c r="A1536" s="158" t="s">
        <v>483</v>
      </c>
      <c r="B1536" s="158" t="s">
        <v>484</v>
      </c>
      <c r="C1536" s="158" t="s">
        <v>47</v>
      </c>
      <c r="D1536" s="158" t="s">
        <v>48</v>
      </c>
      <c r="E1536" s="157">
        <v>72</v>
      </c>
      <c r="F1536" s="158" t="s">
        <v>525</v>
      </c>
      <c r="G1536" s="159">
        <v>284978.15999999997</v>
      </c>
      <c r="H1536" s="159">
        <v>0</v>
      </c>
      <c r="I1536" s="159">
        <v>124367.76</v>
      </c>
      <c r="J1536" s="159">
        <v>43.6</v>
      </c>
      <c r="K1536" t="str">
        <f>VLOOKUP($C1536,Lists!$C$3:$M$118,7,FALSE)</f>
        <v>COKE_RGB</v>
      </c>
      <c r="S1536" s="4"/>
      <c r="T1536" s="4"/>
      <c r="U1536" s="5"/>
      <c r="V1536" s="5"/>
    </row>
    <row r="1537" spans="1:22" x14ac:dyDescent="0.25">
      <c r="A1537" s="158" t="s">
        <v>483</v>
      </c>
      <c r="B1537" s="158" t="s">
        <v>484</v>
      </c>
      <c r="C1537" s="158" t="s">
        <v>68</v>
      </c>
      <c r="D1537" s="158" t="s">
        <v>534</v>
      </c>
      <c r="E1537" s="157">
        <v>144</v>
      </c>
      <c r="F1537" s="158" t="s">
        <v>525</v>
      </c>
      <c r="G1537" s="159">
        <v>406497.6</v>
      </c>
      <c r="H1537" s="159">
        <v>0</v>
      </c>
      <c r="I1537" s="159">
        <v>198080.64000000001</v>
      </c>
      <c r="J1537" s="159">
        <v>48.7</v>
      </c>
      <c r="K1537" t="str">
        <f>VLOOKUP($C1537,Lists!$C$3:$M$118,7,FALSE)</f>
        <v>COKE_PET</v>
      </c>
      <c r="S1537" s="4"/>
      <c r="T1537" s="4"/>
      <c r="U1537" s="5"/>
      <c r="V1537" s="5"/>
    </row>
    <row r="1538" spans="1:22" x14ac:dyDescent="0.25">
      <c r="A1538" s="158" t="s">
        <v>483</v>
      </c>
      <c r="B1538" s="158" t="s">
        <v>484</v>
      </c>
      <c r="C1538" s="158" t="s">
        <v>51</v>
      </c>
      <c r="D1538" s="158" t="s">
        <v>52</v>
      </c>
      <c r="E1538" s="157">
        <v>72</v>
      </c>
      <c r="F1538" s="158" t="s">
        <v>525</v>
      </c>
      <c r="G1538" s="159">
        <v>721971.36</v>
      </c>
      <c r="H1538" s="159">
        <v>0</v>
      </c>
      <c r="I1538" s="159">
        <v>228026.16</v>
      </c>
      <c r="J1538" s="159">
        <v>31.6</v>
      </c>
      <c r="K1538" t="str">
        <f>VLOOKUP($C1538,Lists!$C$3:$M$118,7,FALSE)</f>
        <v>Squash</v>
      </c>
      <c r="S1538" s="4"/>
      <c r="T1538" s="4"/>
      <c r="U1538" s="5"/>
      <c r="V1538" s="5"/>
    </row>
    <row r="1539" spans="1:22" x14ac:dyDescent="0.25">
      <c r="A1539" s="158" t="s">
        <v>483</v>
      </c>
      <c r="B1539" s="158" t="s">
        <v>484</v>
      </c>
      <c r="C1539" s="158" t="s">
        <v>26</v>
      </c>
      <c r="D1539" s="158" t="s">
        <v>27</v>
      </c>
      <c r="E1539" s="157">
        <v>144</v>
      </c>
      <c r="F1539" s="158" t="s">
        <v>525</v>
      </c>
      <c r="G1539" s="159">
        <v>314265.59999999998</v>
      </c>
      <c r="H1539" s="159">
        <v>0</v>
      </c>
      <c r="I1539" s="159">
        <v>138551.04000000001</v>
      </c>
      <c r="J1539" s="159">
        <v>44.1</v>
      </c>
      <c r="K1539" t="str">
        <f>VLOOKUP($C1539,Lists!$C$3:$M$118,7,FALSE)</f>
        <v>Water</v>
      </c>
      <c r="S1539" s="4"/>
      <c r="T1539" s="4"/>
      <c r="U1539" s="5"/>
      <c r="V1539" s="5"/>
    </row>
    <row r="1540" spans="1:22" x14ac:dyDescent="0.25">
      <c r="A1540" s="158" t="s">
        <v>485</v>
      </c>
      <c r="B1540" s="158" t="s">
        <v>415</v>
      </c>
      <c r="C1540" s="158" t="s">
        <v>10</v>
      </c>
      <c r="D1540" s="158" t="s">
        <v>11</v>
      </c>
      <c r="E1540" s="157">
        <v>216</v>
      </c>
      <c r="F1540" s="158" t="s">
        <v>525</v>
      </c>
      <c r="G1540" s="159">
        <v>1668669.12</v>
      </c>
      <c r="H1540" s="159">
        <v>0</v>
      </c>
      <c r="I1540" s="159">
        <v>699909.12</v>
      </c>
      <c r="J1540" s="159">
        <v>41.9</v>
      </c>
      <c r="K1540" t="str">
        <f>VLOOKUP($C1540,Lists!$C$3:$M$118,7,FALSE)</f>
        <v>Alcomix</v>
      </c>
      <c r="S1540" s="4"/>
      <c r="T1540" s="4"/>
      <c r="U1540" s="5"/>
      <c r="V1540" s="5"/>
    </row>
    <row r="1541" spans="1:22" x14ac:dyDescent="0.25">
      <c r="A1541" s="158" t="s">
        <v>485</v>
      </c>
      <c r="B1541" s="158" t="s">
        <v>415</v>
      </c>
      <c r="C1541" s="158" t="s">
        <v>12</v>
      </c>
      <c r="D1541" s="158" t="s">
        <v>13</v>
      </c>
      <c r="E1541" s="157">
        <v>3384</v>
      </c>
      <c r="F1541" s="158" t="s">
        <v>525</v>
      </c>
      <c r="G1541" s="159">
        <v>21785413.68</v>
      </c>
      <c r="H1541" s="159">
        <v>0</v>
      </c>
      <c r="I1541" s="159">
        <v>9520951.6799999997</v>
      </c>
      <c r="J1541" s="159">
        <v>43.7</v>
      </c>
      <c r="K1541" t="str">
        <f>VLOOKUP($C1541,Lists!$C$3:$M$118,7,FALSE)</f>
        <v>Beers</v>
      </c>
      <c r="S1541" s="4"/>
      <c r="T1541" s="4"/>
      <c r="U1541" s="5"/>
      <c r="V1541" s="5"/>
    </row>
    <row r="1542" spans="1:22" x14ac:dyDescent="0.25">
      <c r="A1542" s="158" t="s">
        <v>485</v>
      </c>
      <c r="B1542" s="158" t="s">
        <v>415</v>
      </c>
      <c r="C1542" s="158" t="s">
        <v>14</v>
      </c>
      <c r="D1542" s="158" t="s">
        <v>15</v>
      </c>
      <c r="E1542" s="157">
        <v>1080</v>
      </c>
      <c r="F1542" s="158" t="s">
        <v>525</v>
      </c>
      <c r="G1542" s="159">
        <v>8343345.5999999996</v>
      </c>
      <c r="H1542" s="159">
        <v>0</v>
      </c>
      <c r="I1542" s="159">
        <v>4120135.2</v>
      </c>
      <c r="J1542" s="159">
        <v>49.4</v>
      </c>
      <c r="K1542" t="str">
        <f>VLOOKUP($C1542,Lists!$C$3:$M$118,7,FALSE)</f>
        <v>Beers</v>
      </c>
      <c r="S1542" s="4"/>
      <c r="T1542" s="4"/>
      <c r="U1542" s="5"/>
      <c r="V1542" s="5"/>
    </row>
    <row r="1543" spans="1:22" x14ac:dyDescent="0.25">
      <c r="A1543" s="158" t="s">
        <v>485</v>
      </c>
      <c r="B1543" s="158" t="s">
        <v>415</v>
      </c>
      <c r="C1543" s="158" t="s">
        <v>16</v>
      </c>
      <c r="D1543" s="158" t="s">
        <v>17</v>
      </c>
      <c r="E1543" s="157">
        <v>2304</v>
      </c>
      <c r="F1543" s="158" t="s">
        <v>525</v>
      </c>
      <c r="G1543" s="159">
        <v>17799137.280000001</v>
      </c>
      <c r="H1543" s="159">
        <v>0</v>
      </c>
      <c r="I1543" s="159">
        <v>8789621.7599999998</v>
      </c>
      <c r="J1543" s="159">
        <v>49.4</v>
      </c>
      <c r="K1543" t="str">
        <f>VLOOKUP($C1543,Lists!$C$3:$M$118,7,FALSE)</f>
        <v>Beers</v>
      </c>
      <c r="S1543" s="4"/>
      <c r="T1543" s="4"/>
      <c r="U1543" s="5"/>
      <c r="V1543" s="5"/>
    </row>
    <row r="1544" spans="1:22" x14ac:dyDescent="0.25">
      <c r="A1544" s="158" t="s">
        <v>485</v>
      </c>
      <c r="B1544" s="158" t="s">
        <v>415</v>
      </c>
      <c r="C1544" s="158" t="s">
        <v>56</v>
      </c>
      <c r="D1544" s="158" t="s">
        <v>57</v>
      </c>
      <c r="E1544" s="157">
        <v>300</v>
      </c>
      <c r="F1544" s="158" t="s">
        <v>525</v>
      </c>
      <c r="G1544" s="159">
        <v>2317596</v>
      </c>
      <c r="H1544" s="159">
        <v>0</v>
      </c>
      <c r="I1544" s="159">
        <v>1216671</v>
      </c>
      <c r="J1544" s="159">
        <v>52.5</v>
      </c>
      <c r="K1544" t="str">
        <f>VLOOKUP($C1544,Lists!$C$3:$M$118,7,FALSE)</f>
        <v>Beers</v>
      </c>
      <c r="S1544" s="4"/>
      <c r="T1544" s="4"/>
      <c r="U1544" s="5"/>
      <c r="V1544" s="5"/>
    </row>
    <row r="1545" spans="1:22" x14ac:dyDescent="0.25">
      <c r="A1545" s="158" t="s">
        <v>485</v>
      </c>
      <c r="B1545" s="158" t="s">
        <v>415</v>
      </c>
      <c r="C1545" s="158" t="s">
        <v>18</v>
      </c>
      <c r="D1545" s="158" t="s">
        <v>19</v>
      </c>
      <c r="E1545" s="157">
        <v>144</v>
      </c>
      <c r="F1545" s="158" t="s">
        <v>525</v>
      </c>
      <c r="G1545" s="159">
        <v>1483261.92</v>
      </c>
      <c r="H1545" s="159">
        <v>0</v>
      </c>
      <c r="I1545" s="159">
        <v>769093.92</v>
      </c>
      <c r="J1545" s="159">
        <v>51.9</v>
      </c>
      <c r="K1545" t="str">
        <f>VLOOKUP($C1545,Lists!$C$3:$M$118,7,FALSE)</f>
        <v>Beers</v>
      </c>
      <c r="S1545" s="4"/>
      <c r="T1545" s="4"/>
      <c r="U1545" s="5"/>
      <c r="V1545" s="5"/>
    </row>
    <row r="1546" spans="1:22" x14ac:dyDescent="0.25">
      <c r="A1546" s="158" t="s">
        <v>485</v>
      </c>
      <c r="B1546" s="158" t="s">
        <v>415</v>
      </c>
      <c r="C1546" s="158" t="s">
        <v>20</v>
      </c>
      <c r="D1546" s="158" t="s">
        <v>21</v>
      </c>
      <c r="E1546" s="157">
        <v>1224</v>
      </c>
      <c r="F1546" s="158" t="s">
        <v>525</v>
      </c>
      <c r="G1546" s="159">
        <v>4844628.72</v>
      </c>
      <c r="H1546" s="159">
        <v>0</v>
      </c>
      <c r="I1546" s="159">
        <v>2035915.92</v>
      </c>
      <c r="J1546" s="159">
        <v>42</v>
      </c>
      <c r="K1546" t="str">
        <f>VLOOKUP($C1546,Lists!$C$3:$M$118,7,FALSE)</f>
        <v>COKE_RGB</v>
      </c>
      <c r="S1546" s="4"/>
      <c r="T1546" s="4"/>
      <c r="U1546" s="5"/>
      <c r="V1546" s="5"/>
    </row>
    <row r="1547" spans="1:22" x14ac:dyDescent="0.25">
      <c r="A1547" s="158" t="s">
        <v>485</v>
      </c>
      <c r="B1547" s="158" t="s">
        <v>415</v>
      </c>
      <c r="C1547" s="158" t="s">
        <v>43</v>
      </c>
      <c r="D1547" s="158" t="s">
        <v>44</v>
      </c>
      <c r="E1547" s="157">
        <v>216</v>
      </c>
      <c r="F1547" s="158" t="s">
        <v>525</v>
      </c>
      <c r="G1547" s="159">
        <v>1668669.12</v>
      </c>
      <c r="H1547" s="159">
        <v>0</v>
      </c>
      <c r="I1547" s="159">
        <v>824027.04</v>
      </c>
      <c r="J1547" s="159">
        <v>49.4</v>
      </c>
      <c r="K1547" t="str">
        <f>VLOOKUP($C1547,Lists!$C$3:$M$118,7,FALSE)</f>
        <v>Beers</v>
      </c>
      <c r="S1547" s="4"/>
      <c r="T1547" s="4"/>
      <c r="U1547" s="5"/>
      <c r="V1547" s="5"/>
    </row>
    <row r="1548" spans="1:22" x14ac:dyDescent="0.25">
      <c r="A1548" s="158" t="s">
        <v>485</v>
      </c>
      <c r="B1548" s="158" t="s">
        <v>415</v>
      </c>
      <c r="C1548" s="158" t="s">
        <v>59</v>
      </c>
      <c r="D1548" s="158" t="s">
        <v>60</v>
      </c>
      <c r="E1548" s="157">
        <v>216</v>
      </c>
      <c r="F1548" s="158" t="s">
        <v>525</v>
      </c>
      <c r="G1548" s="159">
        <v>854934.48</v>
      </c>
      <c r="H1548" s="159">
        <v>0</v>
      </c>
      <c r="I1548" s="159">
        <v>348101.28</v>
      </c>
      <c r="J1548" s="159">
        <v>40.700000000000003</v>
      </c>
      <c r="K1548" t="str">
        <f>VLOOKUP($C1548,Lists!$C$3:$M$118,7,FALSE)</f>
        <v>COKE_RGB</v>
      </c>
      <c r="S1548" s="4"/>
      <c r="T1548" s="4"/>
      <c r="U1548" s="5"/>
      <c r="V1548" s="5"/>
    </row>
    <row r="1549" spans="1:22" x14ac:dyDescent="0.25">
      <c r="A1549" s="158" t="s">
        <v>485</v>
      </c>
      <c r="B1549" s="158" t="s">
        <v>415</v>
      </c>
      <c r="C1549" s="158" t="s">
        <v>22</v>
      </c>
      <c r="D1549" s="158" t="s">
        <v>23</v>
      </c>
      <c r="E1549" s="157">
        <v>504</v>
      </c>
      <c r="F1549" s="158" t="s">
        <v>525</v>
      </c>
      <c r="G1549" s="159">
        <v>1994847.12</v>
      </c>
      <c r="H1549" s="159">
        <v>0</v>
      </c>
      <c r="I1549" s="159">
        <v>803658.23999999999</v>
      </c>
      <c r="J1549" s="159">
        <v>40.299999999999997</v>
      </c>
      <c r="K1549" t="str">
        <f>VLOOKUP($C1549,Lists!$C$3:$M$118,7,FALSE)</f>
        <v>COKE_RGB</v>
      </c>
      <c r="S1549" s="4"/>
      <c r="T1549" s="4"/>
      <c r="U1549" s="5"/>
      <c r="V1549" s="5"/>
    </row>
    <row r="1550" spans="1:22" x14ac:dyDescent="0.25">
      <c r="A1550" s="158" t="s">
        <v>485</v>
      </c>
      <c r="B1550" s="158" t="s">
        <v>415</v>
      </c>
      <c r="C1550" s="158" t="s">
        <v>24</v>
      </c>
      <c r="D1550" s="158" t="s">
        <v>25</v>
      </c>
      <c r="E1550" s="157">
        <v>720</v>
      </c>
      <c r="F1550" s="158" t="s">
        <v>525</v>
      </c>
      <c r="G1550" s="159">
        <v>4635194.4000000004</v>
      </c>
      <c r="H1550" s="159">
        <v>0</v>
      </c>
      <c r="I1550" s="159">
        <v>2231740.7999999998</v>
      </c>
      <c r="J1550" s="159">
        <v>48.1</v>
      </c>
      <c r="K1550" t="str">
        <f>VLOOKUP($C1550,Lists!$C$3:$M$118,7,FALSE)</f>
        <v>Beers</v>
      </c>
      <c r="S1550" s="4"/>
      <c r="T1550" s="4"/>
      <c r="U1550" s="5"/>
      <c r="V1550" s="5"/>
    </row>
    <row r="1551" spans="1:22" x14ac:dyDescent="0.25">
      <c r="A1551" s="158" t="s">
        <v>485</v>
      </c>
      <c r="B1551" s="158" t="s">
        <v>415</v>
      </c>
      <c r="C1551" s="158" t="s">
        <v>29</v>
      </c>
      <c r="D1551" s="158" t="s">
        <v>30</v>
      </c>
      <c r="E1551" s="157">
        <v>40</v>
      </c>
      <c r="F1551" s="158" t="s">
        <v>525</v>
      </c>
      <c r="G1551" s="159">
        <v>1455375.6</v>
      </c>
      <c r="H1551" s="159">
        <v>0</v>
      </c>
      <c r="I1551" s="159">
        <v>415375.6</v>
      </c>
      <c r="J1551" s="159">
        <v>28.5</v>
      </c>
      <c r="K1551" t="str">
        <f>VLOOKUP($C1551,Lists!$C$3:$M$118,7,FALSE)</f>
        <v>Spirits</v>
      </c>
      <c r="S1551" s="4"/>
      <c r="T1551" s="4"/>
      <c r="U1551" s="5"/>
      <c r="V1551" s="5"/>
    </row>
    <row r="1552" spans="1:22" x14ac:dyDescent="0.25">
      <c r="A1552" s="158" t="s">
        <v>485</v>
      </c>
      <c r="B1552" s="158" t="s">
        <v>415</v>
      </c>
      <c r="C1552" s="158" t="s">
        <v>31</v>
      </c>
      <c r="D1552" s="158" t="s">
        <v>32</v>
      </c>
      <c r="E1552" s="157">
        <v>5</v>
      </c>
      <c r="F1552" s="158" t="s">
        <v>525</v>
      </c>
      <c r="G1552" s="159">
        <v>170783.9</v>
      </c>
      <c r="H1552" s="159">
        <v>0</v>
      </c>
      <c r="I1552" s="159">
        <v>50783.9</v>
      </c>
      <c r="J1552" s="159">
        <v>29.7</v>
      </c>
      <c r="K1552" t="str">
        <f>VLOOKUP($C1552,Lists!$C$3:$M$118,7,FALSE)</f>
        <v>Spirits</v>
      </c>
      <c r="S1552" s="4"/>
      <c r="T1552" s="4"/>
      <c r="U1552" s="5"/>
      <c r="V1552" s="5"/>
    </row>
    <row r="1553" spans="1:22" x14ac:dyDescent="0.25">
      <c r="A1553" s="158" t="s">
        <v>485</v>
      </c>
      <c r="B1553" s="158" t="s">
        <v>415</v>
      </c>
      <c r="C1553" s="158" t="s">
        <v>33</v>
      </c>
      <c r="D1553" s="158" t="s">
        <v>34</v>
      </c>
      <c r="E1553" s="157">
        <v>5</v>
      </c>
      <c r="F1553" s="158" t="s">
        <v>525</v>
      </c>
      <c r="G1553" s="159">
        <v>278452</v>
      </c>
      <c r="H1553" s="159">
        <v>0</v>
      </c>
      <c r="I1553" s="159">
        <v>53452</v>
      </c>
      <c r="J1553" s="159">
        <v>19.2</v>
      </c>
      <c r="K1553" t="str">
        <f>VLOOKUP($C1553,Lists!$C$3:$M$118,7,FALSE)</f>
        <v>Spirits</v>
      </c>
      <c r="S1553" s="4"/>
      <c r="T1553" s="4"/>
      <c r="U1553" s="5"/>
      <c r="V1553" s="5"/>
    </row>
    <row r="1554" spans="1:22" x14ac:dyDescent="0.25">
      <c r="A1554" s="158" t="s">
        <v>485</v>
      </c>
      <c r="B1554" s="158" t="s">
        <v>415</v>
      </c>
      <c r="C1554" s="158" t="s">
        <v>37</v>
      </c>
      <c r="D1554" s="158" t="s">
        <v>38</v>
      </c>
      <c r="E1554" s="157">
        <v>216</v>
      </c>
      <c r="F1554" s="158" t="s">
        <v>525</v>
      </c>
      <c r="G1554" s="159">
        <v>712445.76</v>
      </c>
      <c r="H1554" s="159">
        <v>0</v>
      </c>
      <c r="I1554" s="159">
        <v>333756.71999999997</v>
      </c>
      <c r="J1554" s="159">
        <v>46.8</v>
      </c>
      <c r="K1554" t="str">
        <f>VLOOKUP($C1554,Lists!$C$3:$M$118,7,FALSE)</f>
        <v>SOBO_RGB</v>
      </c>
      <c r="S1554" s="4"/>
      <c r="T1554" s="4"/>
      <c r="U1554" s="5"/>
      <c r="V1554" s="5"/>
    </row>
    <row r="1555" spans="1:22" x14ac:dyDescent="0.25">
      <c r="A1555" s="158" t="s">
        <v>485</v>
      </c>
      <c r="B1555" s="158" t="s">
        <v>415</v>
      </c>
      <c r="C1555" s="158" t="s">
        <v>39</v>
      </c>
      <c r="D1555" s="158" t="s">
        <v>40</v>
      </c>
      <c r="E1555" s="157">
        <v>288</v>
      </c>
      <c r="F1555" s="158" t="s">
        <v>525</v>
      </c>
      <c r="G1555" s="159">
        <v>949927.68</v>
      </c>
      <c r="H1555" s="159">
        <v>0</v>
      </c>
      <c r="I1555" s="159">
        <v>441074.88</v>
      </c>
      <c r="J1555" s="159">
        <v>46.4</v>
      </c>
      <c r="K1555" t="str">
        <f>VLOOKUP($C1555,Lists!$C$3:$M$118,7,FALSE)</f>
        <v>SOBO_RGB</v>
      </c>
      <c r="S1555" s="4"/>
      <c r="T1555" s="4"/>
      <c r="U1555" s="5"/>
      <c r="V1555" s="5"/>
    </row>
    <row r="1556" spans="1:22" x14ac:dyDescent="0.25">
      <c r="A1556" s="158" t="s">
        <v>485</v>
      </c>
      <c r="B1556" s="158" t="s">
        <v>415</v>
      </c>
      <c r="C1556" s="158" t="s">
        <v>45</v>
      </c>
      <c r="D1556" s="158" t="s">
        <v>46</v>
      </c>
      <c r="E1556" s="157">
        <v>144</v>
      </c>
      <c r="F1556" s="158" t="s">
        <v>525</v>
      </c>
      <c r="G1556" s="159">
        <v>569956.31999999995</v>
      </c>
      <c r="H1556" s="159">
        <v>0</v>
      </c>
      <c r="I1556" s="159">
        <v>280723.68</v>
      </c>
      <c r="J1556" s="159">
        <v>49.3</v>
      </c>
      <c r="K1556" t="str">
        <f>VLOOKUP($C1556,Lists!$C$3:$M$118,7,FALSE)</f>
        <v>SOBO_RGB</v>
      </c>
      <c r="S1556" s="4"/>
      <c r="T1556" s="4"/>
      <c r="U1556" s="5"/>
      <c r="V1556" s="5"/>
    </row>
    <row r="1557" spans="1:22" x14ac:dyDescent="0.25">
      <c r="A1557" s="158" t="s">
        <v>485</v>
      </c>
      <c r="B1557" s="158" t="s">
        <v>415</v>
      </c>
      <c r="C1557" s="158" t="s">
        <v>47</v>
      </c>
      <c r="D1557" s="158" t="s">
        <v>48</v>
      </c>
      <c r="E1557" s="157">
        <v>72</v>
      </c>
      <c r="F1557" s="158" t="s">
        <v>525</v>
      </c>
      <c r="G1557" s="159">
        <v>284978.15999999997</v>
      </c>
      <c r="H1557" s="159">
        <v>0</v>
      </c>
      <c r="I1557" s="159">
        <v>124367.76</v>
      </c>
      <c r="J1557" s="159">
        <v>43.6</v>
      </c>
      <c r="K1557" t="str">
        <f>VLOOKUP($C1557,Lists!$C$3:$M$118,7,FALSE)</f>
        <v>COKE_RGB</v>
      </c>
      <c r="S1557" s="4"/>
      <c r="T1557" s="4"/>
      <c r="U1557" s="5"/>
      <c r="V1557" s="5"/>
    </row>
    <row r="1558" spans="1:22" x14ac:dyDescent="0.25">
      <c r="A1558" s="158" t="s">
        <v>485</v>
      </c>
      <c r="B1558" s="158" t="s">
        <v>415</v>
      </c>
      <c r="C1558" s="158" t="s">
        <v>49</v>
      </c>
      <c r="D1558" s="158" t="s">
        <v>50</v>
      </c>
      <c r="E1558" s="157">
        <v>432</v>
      </c>
      <c r="F1558" s="158" t="s">
        <v>525</v>
      </c>
      <c r="G1558" s="159">
        <v>4331828.16</v>
      </c>
      <c r="H1558" s="159">
        <v>0</v>
      </c>
      <c r="I1558" s="159">
        <v>1379687.04</v>
      </c>
      <c r="J1558" s="159">
        <v>31.8</v>
      </c>
      <c r="K1558" t="str">
        <f>VLOOKUP($C1558,Lists!$C$3:$M$118,7,FALSE)</f>
        <v>Squash</v>
      </c>
      <c r="S1558" s="4"/>
      <c r="T1558" s="4"/>
      <c r="U1558" s="5"/>
      <c r="V1558" s="5"/>
    </row>
    <row r="1559" spans="1:22" x14ac:dyDescent="0.25">
      <c r="A1559" s="158" t="s">
        <v>485</v>
      </c>
      <c r="B1559" s="158" t="s">
        <v>415</v>
      </c>
      <c r="C1559" s="158" t="s">
        <v>51</v>
      </c>
      <c r="D1559" s="158" t="s">
        <v>52</v>
      </c>
      <c r="E1559" s="157">
        <v>360</v>
      </c>
      <c r="F1559" s="158" t="s">
        <v>525</v>
      </c>
      <c r="G1559" s="159">
        <v>3609856.8</v>
      </c>
      <c r="H1559" s="159">
        <v>0</v>
      </c>
      <c r="I1559" s="159">
        <v>1140130.8</v>
      </c>
      <c r="J1559" s="159">
        <v>31.6</v>
      </c>
      <c r="K1559" t="str">
        <f>VLOOKUP($C1559,Lists!$C$3:$M$118,7,FALSE)</f>
        <v>Squash</v>
      </c>
      <c r="S1559" s="4"/>
      <c r="T1559" s="4"/>
      <c r="U1559" s="5"/>
      <c r="V1559" s="5"/>
    </row>
    <row r="1560" spans="1:22" x14ac:dyDescent="0.25">
      <c r="A1560" s="158" t="s">
        <v>485</v>
      </c>
      <c r="B1560" s="158" t="s">
        <v>415</v>
      </c>
      <c r="C1560" s="158" t="s">
        <v>26</v>
      </c>
      <c r="D1560" s="158" t="s">
        <v>27</v>
      </c>
      <c r="E1560" s="157">
        <v>144</v>
      </c>
      <c r="F1560" s="158" t="s">
        <v>525</v>
      </c>
      <c r="G1560" s="159">
        <v>314265.59999999998</v>
      </c>
      <c r="H1560" s="159">
        <v>0</v>
      </c>
      <c r="I1560" s="159">
        <v>138551.04000000001</v>
      </c>
      <c r="J1560" s="159">
        <v>44.1</v>
      </c>
      <c r="K1560" t="str">
        <f>VLOOKUP($C1560,Lists!$C$3:$M$118,7,FALSE)</f>
        <v>Water</v>
      </c>
      <c r="S1560" s="4"/>
      <c r="T1560" s="4"/>
      <c r="U1560" s="5"/>
      <c r="V1560" s="5"/>
    </row>
    <row r="1561" spans="1:22" x14ac:dyDescent="0.25">
      <c r="A1561" s="158" t="s">
        <v>690</v>
      </c>
      <c r="B1561" s="158" t="s">
        <v>518</v>
      </c>
      <c r="C1561" s="158" t="s">
        <v>41</v>
      </c>
      <c r="D1561" s="158" t="s">
        <v>42</v>
      </c>
      <c r="E1561" s="157">
        <v>144</v>
      </c>
      <c r="F1561" s="158" t="s">
        <v>525</v>
      </c>
      <c r="G1561" s="159">
        <v>1112446.08</v>
      </c>
      <c r="H1561" s="159">
        <v>0</v>
      </c>
      <c r="I1561" s="159">
        <v>466606.08000000002</v>
      </c>
      <c r="J1561" s="159">
        <v>41.9</v>
      </c>
      <c r="K1561" t="str">
        <f>VLOOKUP($C1561,Lists!$C$3:$M$118,7,FALSE)</f>
        <v>Alcomix</v>
      </c>
      <c r="S1561" s="4"/>
      <c r="T1561" s="4"/>
      <c r="U1561" s="5"/>
      <c r="V1561" s="5"/>
    </row>
    <row r="1562" spans="1:22" x14ac:dyDescent="0.25">
      <c r="A1562" s="158" t="s">
        <v>690</v>
      </c>
      <c r="B1562" s="158" t="s">
        <v>518</v>
      </c>
      <c r="C1562" s="158" t="s">
        <v>10</v>
      </c>
      <c r="D1562" s="158" t="s">
        <v>11</v>
      </c>
      <c r="E1562" s="157">
        <v>144</v>
      </c>
      <c r="F1562" s="158" t="s">
        <v>525</v>
      </c>
      <c r="G1562" s="159">
        <v>1112446.08</v>
      </c>
      <c r="H1562" s="159">
        <v>0</v>
      </c>
      <c r="I1562" s="159">
        <v>466606.08000000002</v>
      </c>
      <c r="J1562" s="159">
        <v>41.9</v>
      </c>
      <c r="K1562" t="str">
        <f>VLOOKUP($C1562,Lists!$C$3:$M$118,7,FALSE)</f>
        <v>Alcomix</v>
      </c>
      <c r="S1562" s="4"/>
      <c r="T1562" s="4"/>
      <c r="U1562" s="5"/>
      <c r="V1562" s="5"/>
    </row>
    <row r="1563" spans="1:22" x14ac:dyDescent="0.25">
      <c r="A1563" s="158" t="s">
        <v>690</v>
      </c>
      <c r="B1563" s="158" t="s">
        <v>518</v>
      </c>
      <c r="C1563" s="158" t="s">
        <v>12</v>
      </c>
      <c r="D1563" s="158" t="s">
        <v>13</v>
      </c>
      <c r="E1563" s="157">
        <v>1583</v>
      </c>
      <c r="F1563" s="158" t="s">
        <v>525</v>
      </c>
      <c r="G1563" s="159">
        <v>10190989.91</v>
      </c>
      <c r="H1563" s="159">
        <v>0</v>
      </c>
      <c r="I1563" s="159">
        <v>4453802.16</v>
      </c>
      <c r="J1563" s="159">
        <v>43.7</v>
      </c>
      <c r="K1563" t="str">
        <f>VLOOKUP($C1563,Lists!$C$3:$M$118,7,FALSE)</f>
        <v>Beers</v>
      </c>
      <c r="S1563" s="4"/>
      <c r="T1563" s="4"/>
      <c r="U1563" s="5"/>
      <c r="V1563" s="5"/>
    </row>
    <row r="1564" spans="1:22" x14ac:dyDescent="0.25">
      <c r="A1564" s="158" t="s">
        <v>690</v>
      </c>
      <c r="B1564" s="158" t="s">
        <v>518</v>
      </c>
      <c r="C1564" s="158" t="s">
        <v>14</v>
      </c>
      <c r="D1564" s="158" t="s">
        <v>15</v>
      </c>
      <c r="E1564" s="157">
        <v>719</v>
      </c>
      <c r="F1564" s="158" t="s">
        <v>525</v>
      </c>
      <c r="G1564" s="159">
        <v>5554505.0800000001</v>
      </c>
      <c r="H1564" s="159">
        <v>0</v>
      </c>
      <c r="I1564" s="159">
        <v>2742941.86</v>
      </c>
      <c r="J1564" s="159">
        <v>49.4</v>
      </c>
      <c r="K1564" t="str">
        <f>VLOOKUP($C1564,Lists!$C$3:$M$118,7,FALSE)</f>
        <v>Beers</v>
      </c>
      <c r="S1564" s="4"/>
      <c r="T1564" s="4"/>
      <c r="U1564" s="5"/>
      <c r="V1564" s="5"/>
    </row>
    <row r="1565" spans="1:22" x14ac:dyDescent="0.25">
      <c r="A1565" s="158" t="s">
        <v>690</v>
      </c>
      <c r="B1565" s="158" t="s">
        <v>518</v>
      </c>
      <c r="C1565" s="158" t="s">
        <v>54</v>
      </c>
      <c r="D1565" s="158" t="s">
        <v>55</v>
      </c>
      <c r="E1565" s="157">
        <v>199</v>
      </c>
      <c r="F1565" s="158" t="s">
        <v>525</v>
      </c>
      <c r="G1565" s="159">
        <v>1537338.68</v>
      </c>
      <c r="H1565" s="159">
        <v>0</v>
      </c>
      <c r="I1565" s="159">
        <v>807058.43</v>
      </c>
      <c r="J1565" s="159">
        <v>52.5</v>
      </c>
      <c r="K1565" t="str">
        <f>VLOOKUP($C1565,Lists!$C$3:$M$118,7,FALSE)</f>
        <v>Beers</v>
      </c>
      <c r="S1565" s="4"/>
      <c r="T1565" s="4"/>
      <c r="U1565" s="5"/>
      <c r="V1565" s="5"/>
    </row>
    <row r="1566" spans="1:22" x14ac:dyDescent="0.25">
      <c r="A1566" s="158" t="s">
        <v>690</v>
      </c>
      <c r="B1566" s="158" t="s">
        <v>518</v>
      </c>
      <c r="C1566" s="158" t="s">
        <v>16</v>
      </c>
      <c r="D1566" s="158" t="s">
        <v>17</v>
      </c>
      <c r="E1566" s="157">
        <v>1798</v>
      </c>
      <c r="F1566" s="158" t="s">
        <v>525</v>
      </c>
      <c r="G1566" s="159">
        <v>13890125.359999999</v>
      </c>
      <c r="H1566" s="159">
        <v>0</v>
      </c>
      <c r="I1566" s="159">
        <v>6859262.1200000001</v>
      </c>
      <c r="J1566" s="159">
        <v>49.4</v>
      </c>
      <c r="K1566" t="str">
        <f>VLOOKUP($C1566,Lists!$C$3:$M$118,7,FALSE)</f>
        <v>Beers</v>
      </c>
      <c r="S1566" s="4"/>
      <c r="T1566" s="4"/>
      <c r="U1566" s="5"/>
      <c r="V1566" s="5"/>
    </row>
    <row r="1567" spans="1:22" x14ac:dyDescent="0.25">
      <c r="A1567" s="158" t="s">
        <v>690</v>
      </c>
      <c r="B1567" s="158" t="s">
        <v>518</v>
      </c>
      <c r="C1567" s="158" t="s">
        <v>18</v>
      </c>
      <c r="D1567" s="158" t="s">
        <v>19</v>
      </c>
      <c r="E1567" s="157">
        <v>143</v>
      </c>
      <c r="F1567" s="158" t="s">
        <v>525</v>
      </c>
      <c r="G1567" s="159">
        <v>1472961.49</v>
      </c>
      <c r="H1567" s="159">
        <v>0</v>
      </c>
      <c r="I1567" s="159">
        <v>763752.99</v>
      </c>
      <c r="J1567" s="159">
        <v>51.9</v>
      </c>
      <c r="K1567" t="str">
        <f>VLOOKUP($C1567,Lists!$C$3:$M$118,7,FALSE)</f>
        <v>Beers</v>
      </c>
      <c r="S1567" s="4"/>
      <c r="T1567" s="4"/>
      <c r="U1567" s="5"/>
      <c r="V1567" s="5"/>
    </row>
    <row r="1568" spans="1:22" x14ac:dyDescent="0.25">
      <c r="A1568" s="158" t="s">
        <v>690</v>
      </c>
      <c r="B1568" s="158" t="s">
        <v>518</v>
      </c>
      <c r="C1568" s="158" t="s">
        <v>20</v>
      </c>
      <c r="D1568" s="158" t="s">
        <v>21</v>
      </c>
      <c r="E1568" s="157">
        <v>1870</v>
      </c>
      <c r="F1568" s="158" t="s">
        <v>525</v>
      </c>
      <c r="G1568" s="159">
        <v>7401516.0999999996</v>
      </c>
      <c r="H1568" s="159">
        <v>0</v>
      </c>
      <c r="I1568" s="159">
        <v>3110427.1</v>
      </c>
      <c r="J1568" s="159">
        <v>42</v>
      </c>
      <c r="K1568" t="str">
        <f>VLOOKUP($C1568,Lists!$C$3:$M$118,7,FALSE)</f>
        <v>COKE_RGB</v>
      </c>
      <c r="S1568" s="4"/>
      <c r="T1568" s="4"/>
      <c r="U1568" s="5"/>
      <c r="V1568" s="5"/>
    </row>
    <row r="1569" spans="1:22" x14ac:dyDescent="0.25">
      <c r="A1569" s="158" t="s">
        <v>690</v>
      </c>
      <c r="B1569" s="158" t="s">
        <v>518</v>
      </c>
      <c r="C1569" s="158" t="s">
        <v>58</v>
      </c>
      <c r="D1569" s="158" t="s">
        <v>537</v>
      </c>
      <c r="E1569" s="157">
        <v>142</v>
      </c>
      <c r="F1569" s="158" t="s">
        <v>525</v>
      </c>
      <c r="G1569" s="159">
        <v>343587.46</v>
      </c>
      <c r="H1569" s="159">
        <v>0</v>
      </c>
      <c r="I1569" s="159">
        <v>190360.94</v>
      </c>
      <c r="J1569" s="159">
        <v>55.4</v>
      </c>
      <c r="K1569" t="str">
        <f>VLOOKUP($C1569,Lists!$C$3:$M$118,7,FALSE)</f>
        <v>SOBO_PET</v>
      </c>
      <c r="S1569" s="4"/>
      <c r="T1569" s="4"/>
      <c r="U1569" s="5"/>
      <c r="V1569" s="5"/>
    </row>
    <row r="1570" spans="1:22" x14ac:dyDescent="0.25">
      <c r="A1570" s="158" t="s">
        <v>690</v>
      </c>
      <c r="B1570" s="158" t="s">
        <v>518</v>
      </c>
      <c r="C1570" s="158" t="s">
        <v>78</v>
      </c>
      <c r="D1570" s="158" t="s">
        <v>526</v>
      </c>
      <c r="E1570" s="157">
        <v>143</v>
      </c>
      <c r="F1570" s="158" t="s">
        <v>525</v>
      </c>
      <c r="G1570" s="159">
        <v>346007.09</v>
      </c>
      <c r="H1570" s="159">
        <v>0</v>
      </c>
      <c r="I1570" s="159">
        <v>188915.87</v>
      </c>
      <c r="J1570" s="159">
        <v>54.6</v>
      </c>
      <c r="K1570" t="str">
        <f>VLOOKUP($C1570,Lists!$C$3:$M$118,7,FALSE)</f>
        <v>SOBO_PET</v>
      </c>
      <c r="S1570" s="4"/>
      <c r="T1570" s="4"/>
      <c r="U1570" s="5"/>
      <c r="V1570" s="5"/>
    </row>
    <row r="1571" spans="1:22" x14ac:dyDescent="0.25">
      <c r="A1571" s="158" t="s">
        <v>690</v>
      </c>
      <c r="B1571" s="158" t="s">
        <v>518</v>
      </c>
      <c r="C1571" s="158" t="s">
        <v>43</v>
      </c>
      <c r="D1571" s="158" t="s">
        <v>44</v>
      </c>
      <c r="E1571" s="157">
        <v>216</v>
      </c>
      <c r="F1571" s="158" t="s">
        <v>525</v>
      </c>
      <c r="G1571" s="159">
        <v>1668669.12</v>
      </c>
      <c r="H1571" s="159">
        <v>0</v>
      </c>
      <c r="I1571" s="159">
        <v>824027.04</v>
      </c>
      <c r="J1571" s="159">
        <v>49.4</v>
      </c>
      <c r="K1571" t="str">
        <f>VLOOKUP($C1571,Lists!$C$3:$M$118,7,FALSE)</f>
        <v>Beers</v>
      </c>
      <c r="S1571" s="4"/>
      <c r="T1571" s="4"/>
      <c r="U1571" s="5"/>
      <c r="V1571" s="5"/>
    </row>
    <row r="1572" spans="1:22" x14ac:dyDescent="0.25">
      <c r="A1572" s="158" t="s">
        <v>690</v>
      </c>
      <c r="B1572" s="158" t="s">
        <v>518</v>
      </c>
      <c r="C1572" s="158" t="s">
        <v>59</v>
      </c>
      <c r="D1572" s="158" t="s">
        <v>60</v>
      </c>
      <c r="E1572" s="157">
        <v>144</v>
      </c>
      <c r="F1572" s="158" t="s">
        <v>525</v>
      </c>
      <c r="G1572" s="159">
        <v>569956.31999999995</v>
      </c>
      <c r="H1572" s="159">
        <v>0</v>
      </c>
      <c r="I1572" s="159">
        <v>232067.52</v>
      </c>
      <c r="J1572" s="159">
        <v>40.700000000000003</v>
      </c>
      <c r="K1572" t="str">
        <f>VLOOKUP($C1572,Lists!$C$3:$M$118,7,FALSE)</f>
        <v>COKE_RGB</v>
      </c>
      <c r="S1572" s="4"/>
      <c r="T1572" s="4"/>
      <c r="U1572" s="5"/>
      <c r="V1572" s="5"/>
    </row>
    <row r="1573" spans="1:22" x14ac:dyDescent="0.25">
      <c r="A1573" s="158" t="s">
        <v>690</v>
      </c>
      <c r="B1573" s="158" t="s">
        <v>518</v>
      </c>
      <c r="C1573" s="158" t="s">
        <v>22</v>
      </c>
      <c r="D1573" s="158" t="s">
        <v>23</v>
      </c>
      <c r="E1573" s="157">
        <v>719</v>
      </c>
      <c r="F1573" s="158" t="s">
        <v>525</v>
      </c>
      <c r="G1573" s="159">
        <v>2845823.57</v>
      </c>
      <c r="H1573" s="159">
        <v>0</v>
      </c>
      <c r="I1573" s="159">
        <v>1146488.6399999999</v>
      </c>
      <c r="J1573" s="159">
        <v>40.299999999999997</v>
      </c>
      <c r="K1573" t="str">
        <f>VLOOKUP($C1573,Lists!$C$3:$M$118,7,FALSE)</f>
        <v>COKE_RGB</v>
      </c>
      <c r="S1573" s="4"/>
      <c r="T1573" s="4"/>
      <c r="U1573" s="5"/>
      <c r="V1573" s="5"/>
    </row>
    <row r="1574" spans="1:22" x14ac:dyDescent="0.25">
      <c r="A1574" s="158" t="s">
        <v>690</v>
      </c>
      <c r="B1574" s="158" t="s">
        <v>518</v>
      </c>
      <c r="C1574" s="158" t="s">
        <v>261</v>
      </c>
      <c r="D1574" s="158" t="s">
        <v>538</v>
      </c>
      <c r="E1574" s="157">
        <v>144</v>
      </c>
      <c r="F1574" s="158" t="s">
        <v>525</v>
      </c>
      <c r="G1574" s="159">
        <v>569956.31999999995</v>
      </c>
      <c r="H1574" s="159">
        <v>0</v>
      </c>
      <c r="I1574" s="159">
        <v>229616.64000000001</v>
      </c>
      <c r="J1574" s="159">
        <v>40.299999999999997</v>
      </c>
      <c r="K1574" t="str">
        <f>VLOOKUP($C1574,Lists!$C$3:$M$118,7,FALSE)</f>
        <v>COKE_RGB</v>
      </c>
      <c r="S1574" s="4"/>
      <c r="T1574" s="4"/>
      <c r="U1574" s="5"/>
      <c r="V1574" s="5"/>
    </row>
    <row r="1575" spans="1:22" x14ac:dyDescent="0.25">
      <c r="A1575" s="158" t="s">
        <v>690</v>
      </c>
      <c r="B1575" s="158" t="s">
        <v>518</v>
      </c>
      <c r="C1575" s="158" t="s">
        <v>24</v>
      </c>
      <c r="D1575" s="158" t="s">
        <v>25</v>
      </c>
      <c r="E1575" s="157">
        <v>358</v>
      </c>
      <c r="F1575" s="158" t="s">
        <v>525</v>
      </c>
      <c r="G1575" s="159">
        <v>2304721.66</v>
      </c>
      <c r="H1575" s="159">
        <v>0</v>
      </c>
      <c r="I1575" s="159">
        <v>1109671.1200000001</v>
      </c>
      <c r="J1575" s="159">
        <v>48.1</v>
      </c>
      <c r="K1575" t="str">
        <f>VLOOKUP($C1575,Lists!$C$3:$M$118,7,FALSE)</f>
        <v>Beers</v>
      </c>
      <c r="S1575" s="4"/>
      <c r="T1575" s="4"/>
      <c r="U1575" s="5"/>
      <c r="V1575" s="5"/>
    </row>
    <row r="1576" spans="1:22" x14ac:dyDescent="0.25">
      <c r="A1576" s="158" t="s">
        <v>690</v>
      </c>
      <c r="B1576" s="158" t="s">
        <v>518</v>
      </c>
      <c r="C1576" s="158" t="s">
        <v>29</v>
      </c>
      <c r="D1576" s="158" t="s">
        <v>30</v>
      </c>
      <c r="E1576" s="157">
        <v>20</v>
      </c>
      <c r="F1576" s="158" t="s">
        <v>525</v>
      </c>
      <c r="G1576" s="159">
        <v>727687.8</v>
      </c>
      <c r="H1576" s="159">
        <v>0</v>
      </c>
      <c r="I1576" s="159">
        <v>207687.8</v>
      </c>
      <c r="J1576" s="159">
        <v>28.5</v>
      </c>
      <c r="K1576" t="str">
        <f>VLOOKUP($C1576,Lists!$C$3:$M$118,7,FALSE)</f>
        <v>Spirits</v>
      </c>
      <c r="S1576" s="4"/>
      <c r="T1576" s="4"/>
      <c r="U1576" s="5"/>
      <c r="V1576" s="5"/>
    </row>
    <row r="1577" spans="1:22" x14ac:dyDescent="0.25">
      <c r="A1577" s="158" t="s">
        <v>690</v>
      </c>
      <c r="B1577" s="158" t="s">
        <v>518</v>
      </c>
      <c r="C1577" s="158" t="s">
        <v>37</v>
      </c>
      <c r="D1577" s="158" t="s">
        <v>38</v>
      </c>
      <c r="E1577" s="157">
        <v>430</v>
      </c>
      <c r="F1577" s="158" t="s">
        <v>525</v>
      </c>
      <c r="G1577" s="159">
        <v>1418294.8</v>
      </c>
      <c r="H1577" s="159">
        <v>0</v>
      </c>
      <c r="I1577" s="159">
        <v>664423.1</v>
      </c>
      <c r="J1577" s="159">
        <v>46.8</v>
      </c>
      <c r="K1577" t="str">
        <f>VLOOKUP($C1577,Lists!$C$3:$M$118,7,FALSE)</f>
        <v>SOBO_RGB</v>
      </c>
      <c r="S1577" s="4"/>
      <c r="T1577" s="4"/>
      <c r="U1577" s="5"/>
      <c r="V1577" s="5"/>
    </row>
    <row r="1578" spans="1:22" x14ac:dyDescent="0.25">
      <c r="A1578" s="158" t="s">
        <v>690</v>
      </c>
      <c r="B1578" s="158" t="s">
        <v>518</v>
      </c>
      <c r="C1578" s="158" t="s">
        <v>39</v>
      </c>
      <c r="D1578" s="158" t="s">
        <v>40</v>
      </c>
      <c r="E1578" s="157">
        <v>646</v>
      </c>
      <c r="F1578" s="158" t="s">
        <v>525</v>
      </c>
      <c r="G1578" s="159">
        <v>2130740.56</v>
      </c>
      <c r="H1578" s="159">
        <v>0</v>
      </c>
      <c r="I1578" s="159">
        <v>989355.46</v>
      </c>
      <c r="J1578" s="159">
        <v>46.4</v>
      </c>
      <c r="K1578" t="str">
        <f>VLOOKUP($C1578,Lists!$C$3:$M$118,7,FALSE)</f>
        <v>SOBO_RGB</v>
      </c>
      <c r="S1578" s="4"/>
      <c r="T1578" s="4"/>
      <c r="U1578" s="5"/>
      <c r="V1578" s="5"/>
    </row>
    <row r="1579" spans="1:22" x14ac:dyDescent="0.25">
      <c r="A1579" s="158" t="s">
        <v>690</v>
      </c>
      <c r="B1579" s="158" t="s">
        <v>518</v>
      </c>
      <c r="C1579" s="158" t="s">
        <v>45</v>
      </c>
      <c r="D1579" s="158" t="s">
        <v>46</v>
      </c>
      <c r="E1579" s="157">
        <v>287</v>
      </c>
      <c r="F1579" s="158" t="s">
        <v>525</v>
      </c>
      <c r="G1579" s="159">
        <v>1135954.6100000001</v>
      </c>
      <c r="H1579" s="159">
        <v>0</v>
      </c>
      <c r="I1579" s="159">
        <v>559497.89</v>
      </c>
      <c r="J1579" s="159">
        <v>49.3</v>
      </c>
      <c r="K1579" t="str">
        <f>VLOOKUP($C1579,Lists!$C$3:$M$118,7,FALSE)</f>
        <v>SOBO_RGB</v>
      </c>
      <c r="S1579" s="4"/>
      <c r="T1579" s="4"/>
      <c r="U1579" s="5"/>
      <c r="V1579" s="5"/>
    </row>
    <row r="1580" spans="1:22" x14ac:dyDescent="0.25">
      <c r="A1580" s="158" t="s">
        <v>690</v>
      </c>
      <c r="B1580" s="158" t="s">
        <v>518</v>
      </c>
      <c r="C1580" s="158" t="s">
        <v>47</v>
      </c>
      <c r="D1580" s="158" t="s">
        <v>48</v>
      </c>
      <c r="E1580" s="157">
        <v>359</v>
      </c>
      <c r="F1580" s="158" t="s">
        <v>525</v>
      </c>
      <c r="G1580" s="159">
        <v>1420932.77</v>
      </c>
      <c r="H1580" s="159">
        <v>0</v>
      </c>
      <c r="I1580" s="159">
        <v>620111.47</v>
      </c>
      <c r="J1580" s="159">
        <v>43.6</v>
      </c>
      <c r="K1580" t="str">
        <f>VLOOKUP($C1580,Lists!$C$3:$M$118,7,FALSE)</f>
        <v>COKE_RGB</v>
      </c>
      <c r="S1580" s="4"/>
      <c r="T1580" s="4"/>
      <c r="U1580" s="5"/>
      <c r="V1580" s="5"/>
    </row>
    <row r="1581" spans="1:22" x14ac:dyDescent="0.25">
      <c r="A1581" s="158" t="s">
        <v>690</v>
      </c>
      <c r="B1581" s="158" t="s">
        <v>518</v>
      </c>
      <c r="C1581" s="158" t="s">
        <v>104</v>
      </c>
      <c r="D1581" s="158" t="s">
        <v>105</v>
      </c>
      <c r="E1581" s="157">
        <v>72</v>
      </c>
      <c r="F1581" s="158" t="s">
        <v>525</v>
      </c>
      <c r="G1581" s="159">
        <v>237481.92</v>
      </c>
      <c r="H1581" s="159">
        <v>0</v>
      </c>
      <c r="I1581" s="159">
        <v>102170.16</v>
      </c>
      <c r="J1581" s="159">
        <v>43</v>
      </c>
      <c r="K1581" t="str">
        <f>VLOOKUP($C1581,Lists!$C$3:$M$118,7,FALSE)</f>
        <v>SOBO_RGB</v>
      </c>
      <c r="S1581" s="4"/>
      <c r="T1581" s="4"/>
      <c r="U1581" s="5"/>
      <c r="V1581" s="5"/>
    </row>
    <row r="1582" spans="1:22" x14ac:dyDescent="0.25">
      <c r="A1582" s="158" t="s">
        <v>690</v>
      </c>
      <c r="B1582" s="158" t="s">
        <v>518</v>
      </c>
      <c r="C1582" s="158" t="s">
        <v>26</v>
      </c>
      <c r="D1582" s="158" t="s">
        <v>27</v>
      </c>
      <c r="E1582" s="157">
        <v>144</v>
      </c>
      <c r="F1582" s="158" t="s">
        <v>525</v>
      </c>
      <c r="G1582" s="159">
        <v>314265.59999999998</v>
      </c>
      <c r="H1582" s="159">
        <v>0</v>
      </c>
      <c r="I1582" s="159">
        <v>138551.04000000001</v>
      </c>
      <c r="J1582" s="159">
        <v>44.1</v>
      </c>
      <c r="K1582" t="str">
        <f>VLOOKUP($C1582,Lists!$C$3:$M$118,7,FALSE)</f>
        <v>Water</v>
      </c>
      <c r="S1582" s="4"/>
      <c r="T1582" s="4"/>
      <c r="U1582" s="5"/>
      <c r="V1582" s="5"/>
    </row>
    <row r="1583" spans="1:22" x14ac:dyDescent="0.25">
      <c r="A1583" s="158" t="s">
        <v>691</v>
      </c>
      <c r="B1583" s="158" t="s">
        <v>692</v>
      </c>
      <c r="C1583" s="158" t="s">
        <v>29</v>
      </c>
      <c r="D1583" s="158" t="s">
        <v>30</v>
      </c>
      <c r="E1583" s="157">
        <v>20</v>
      </c>
      <c r="F1583" s="158" t="s">
        <v>525</v>
      </c>
      <c r="G1583" s="159">
        <v>741417.8</v>
      </c>
      <c r="H1583" s="159">
        <v>0</v>
      </c>
      <c r="I1583" s="159">
        <v>221417.8</v>
      </c>
      <c r="J1583" s="159">
        <v>29.9</v>
      </c>
      <c r="K1583" t="str">
        <f>VLOOKUP($C1583,Lists!$C$3:$M$118,7,FALSE)</f>
        <v>Spirits</v>
      </c>
      <c r="S1583" s="4"/>
      <c r="T1583" s="4"/>
      <c r="U1583" s="5"/>
      <c r="V1583" s="5"/>
    </row>
    <row r="1584" spans="1:22" x14ac:dyDescent="0.25">
      <c r="A1584" s="158" t="s">
        <v>691</v>
      </c>
      <c r="B1584" s="158" t="s">
        <v>692</v>
      </c>
      <c r="C1584" s="158" t="s">
        <v>33</v>
      </c>
      <c r="D1584" s="158" t="s">
        <v>34</v>
      </c>
      <c r="E1584" s="157">
        <v>5</v>
      </c>
      <c r="F1584" s="158" t="s">
        <v>525</v>
      </c>
      <c r="G1584" s="159">
        <v>283705.8</v>
      </c>
      <c r="H1584" s="159">
        <v>0</v>
      </c>
      <c r="I1584" s="159">
        <v>58705.8</v>
      </c>
      <c r="J1584" s="159">
        <v>20.7</v>
      </c>
      <c r="K1584" t="str">
        <f>VLOOKUP($C1584,Lists!$C$3:$M$118,7,FALSE)</f>
        <v>Spirits</v>
      </c>
      <c r="S1584" s="4"/>
      <c r="T1584" s="4"/>
      <c r="U1584" s="5"/>
      <c r="V1584" s="5"/>
    </row>
    <row r="1585" spans="1:22" x14ac:dyDescent="0.25">
      <c r="A1585" s="158" t="s">
        <v>691</v>
      </c>
      <c r="B1585" s="158" t="s">
        <v>692</v>
      </c>
      <c r="C1585" s="158" t="s">
        <v>51</v>
      </c>
      <c r="D1585" s="158" t="s">
        <v>52</v>
      </c>
      <c r="E1585" s="157">
        <v>10</v>
      </c>
      <c r="F1585" s="158" t="s">
        <v>525</v>
      </c>
      <c r="G1585" s="159">
        <v>100273.8</v>
      </c>
      <c r="H1585" s="159">
        <v>0</v>
      </c>
      <c r="I1585" s="159">
        <v>31670.3</v>
      </c>
      <c r="J1585" s="159">
        <v>31.6</v>
      </c>
      <c r="K1585" t="str">
        <f>VLOOKUP($C1585,Lists!$C$3:$M$118,7,FALSE)</f>
        <v>Squash</v>
      </c>
      <c r="S1585" s="4"/>
      <c r="T1585" s="4"/>
      <c r="U1585" s="5"/>
      <c r="V1585" s="5"/>
    </row>
    <row r="1586" spans="1:22" x14ac:dyDescent="0.25">
      <c r="A1586" s="158" t="s">
        <v>693</v>
      </c>
      <c r="B1586" s="158" t="s">
        <v>694</v>
      </c>
      <c r="C1586" s="158" t="s">
        <v>29</v>
      </c>
      <c r="D1586" s="158" t="s">
        <v>30</v>
      </c>
      <c r="E1586" s="157">
        <v>25</v>
      </c>
      <c r="F1586" s="158" t="s">
        <v>525</v>
      </c>
      <c r="G1586" s="159">
        <v>926772.25</v>
      </c>
      <c r="H1586" s="159">
        <v>0</v>
      </c>
      <c r="I1586" s="159">
        <v>276772.25</v>
      </c>
      <c r="J1586" s="159">
        <v>29.9</v>
      </c>
      <c r="K1586" t="str">
        <f>VLOOKUP($C1586,Lists!$C$3:$M$118,7,FALSE)</f>
        <v>Spirits</v>
      </c>
      <c r="S1586" s="4"/>
      <c r="T1586" s="4"/>
      <c r="U1586" s="5"/>
      <c r="V1586" s="5"/>
    </row>
    <row r="1587" spans="1:22" x14ac:dyDescent="0.25">
      <c r="A1587" s="158" t="s">
        <v>693</v>
      </c>
      <c r="B1587" s="158" t="s">
        <v>694</v>
      </c>
      <c r="C1587" s="158" t="s">
        <v>65</v>
      </c>
      <c r="D1587" s="158" t="s">
        <v>66</v>
      </c>
      <c r="E1587" s="157">
        <v>15</v>
      </c>
      <c r="F1587" s="158" t="s">
        <v>525</v>
      </c>
      <c r="G1587" s="159">
        <v>75202.8</v>
      </c>
      <c r="H1587" s="159">
        <v>0</v>
      </c>
      <c r="I1587" s="159">
        <v>14676.9</v>
      </c>
      <c r="J1587" s="159">
        <v>19.5</v>
      </c>
      <c r="K1587" t="str">
        <f>VLOOKUP($C1587,Lists!$C$3:$M$118,7,FALSE)</f>
        <v>Squash</v>
      </c>
      <c r="S1587" s="4"/>
      <c r="T1587" s="4"/>
      <c r="U1587" s="5"/>
      <c r="V1587" s="5"/>
    </row>
    <row r="1588" spans="1:22" x14ac:dyDescent="0.25">
      <c r="A1588" s="158" t="s">
        <v>693</v>
      </c>
      <c r="B1588" s="158" t="s">
        <v>694</v>
      </c>
      <c r="C1588" s="158" t="s">
        <v>51</v>
      </c>
      <c r="D1588" s="158" t="s">
        <v>52</v>
      </c>
      <c r="E1588" s="157">
        <v>36</v>
      </c>
      <c r="F1588" s="158" t="s">
        <v>525</v>
      </c>
      <c r="G1588" s="159">
        <v>360985.68</v>
      </c>
      <c r="H1588" s="159">
        <v>0</v>
      </c>
      <c r="I1588" s="159">
        <v>114013.08</v>
      </c>
      <c r="J1588" s="159">
        <v>31.6</v>
      </c>
      <c r="K1588" t="str">
        <f>VLOOKUP($C1588,Lists!$C$3:$M$118,7,FALSE)</f>
        <v>Squash</v>
      </c>
      <c r="S1588" s="4"/>
      <c r="T1588" s="4"/>
      <c r="U1588" s="5"/>
      <c r="V1588" s="5"/>
    </row>
    <row r="1589" spans="1:22" x14ac:dyDescent="0.25">
      <c r="A1589" s="158" t="s">
        <v>695</v>
      </c>
      <c r="B1589" s="158" t="s">
        <v>696</v>
      </c>
      <c r="C1589" s="158" t="s">
        <v>29</v>
      </c>
      <c r="D1589" s="158" t="s">
        <v>30</v>
      </c>
      <c r="E1589" s="157">
        <v>10</v>
      </c>
      <c r="F1589" s="158" t="s">
        <v>525</v>
      </c>
      <c r="G1589" s="159">
        <v>370708.9</v>
      </c>
      <c r="H1589" s="159">
        <v>0</v>
      </c>
      <c r="I1589" s="159">
        <v>110708.9</v>
      </c>
      <c r="J1589" s="159">
        <v>29.9</v>
      </c>
      <c r="K1589" t="str">
        <f>VLOOKUP($C1589,Lists!$C$3:$M$118,7,FALSE)</f>
        <v>Spirits</v>
      </c>
      <c r="S1589" s="4"/>
      <c r="T1589" s="4"/>
      <c r="U1589" s="5"/>
      <c r="V1589" s="5"/>
    </row>
    <row r="1590" spans="1:22" x14ac:dyDescent="0.25">
      <c r="A1590" s="158" t="s">
        <v>695</v>
      </c>
      <c r="B1590" s="158" t="s">
        <v>696</v>
      </c>
      <c r="C1590" s="158" t="s">
        <v>33</v>
      </c>
      <c r="D1590" s="158" t="s">
        <v>34</v>
      </c>
      <c r="E1590" s="157">
        <v>5</v>
      </c>
      <c r="F1590" s="158" t="s">
        <v>525</v>
      </c>
      <c r="G1590" s="159">
        <v>283705.8</v>
      </c>
      <c r="H1590" s="159">
        <v>0</v>
      </c>
      <c r="I1590" s="159">
        <v>58705.8</v>
      </c>
      <c r="J1590" s="159">
        <v>20.7</v>
      </c>
      <c r="K1590" t="str">
        <f>VLOOKUP($C1590,Lists!$C$3:$M$118,7,FALSE)</f>
        <v>Spirits</v>
      </c>
      <c r="S1590" s="4"/>
      <c r="T1590" s="4"/>
      <c r="U1590" s="5"/>
      <c r="V1590" s="5"/>
    </row>
    <row r="1591" spans="1:22" x14ac:dyDescent="0.25">
      <c r="A1591" s="158" t="s">
        <v>695</v>
      </c>
      <c r="B1591" s="158" t="s">
        <v>696</v>
      </c>
      <c r="C1591" s="158" t="s">
        <v>51</v>
      </c>
      <c r="D1591" s="158" t="s">
        <v>52</v>
      </c>
      <c r="E1591" s="157">
        <v>36</v>
      </c>
      <c r="F1591" s="158" t="s">
        <v>525</v>
      </c>
      <c r="G1591" s="159">
        <v>360985.68</v>
      </c>
      <c r="H1591" s="159">
        <v>0</v>
      </c>
      <c r="I1591" s="159">
        <v>114013.08</v>
      </c>
      <c r="J1591" s="159">
        <v>31.6</v>
      </c>
      <c r="K1591" t="str">
        <f>VLOOKUP($C1591,Lists!$C$3:$M$118,7,FALSE)</f>
        <v>Squash</v>
      </c>
      <c r="S1591" s="4"/>
      <c r="T1591" s="4"/>
      <c r="U1591" s="5"/>
      <c r="V1591" s="5"/>
    </row>
    <row r="1592" spans="1:22" x14ac:dyDescent="0.25">
      <c r="A1592" s="158" t="s">
        <v>697</v>
      </c>
      <c r="B1592" s="158" t="s">
        <v>698</v>
      </c>
      <c r="C1592" s="158" t="s">
        <v>12</v>
      </c>
      <c r="D1592" s="158" t="s">
        <v>13</v>
      </c>
      <c r="E1592" s="157">
        <v>144</v>
      </c>
      <c r="F1592" s="158" t="s">
        <v>525</v>
      </c>
      <c r="G1592" s="159">
        <v>944530.56</v>
      </c>
      <c r="H1592" s="159">
        <v>0</v>
      </c>
      <c r="I1592" s="159">
        <v>422638.56</v>
      </c>
      <c r="J1592" s="159">
        <v>44.7</v>
      </c>
      <c r="K1592" t="str">
        <f>VLOOKUP($C1592,Lists!$C$3:$M$118,7,FALSE)</f>
        <v>Beers</v>
      </c>
      <c r="S1592" s="4"/>
      <c r="T1592" s="4"/>
      <c r="U1592" s="5"/>
      <c r="V1592" s="5"/>
    </row>
    <row r="1593" spans="1:22" x14ac:dyDescent="0.25">
      <c r="A1593" s="158" t="s">
        <v>697</v>
      </c>
      <c r="B1593" s="158" t="s">
        <v>698</v>
      </c>
      <c r="C1593" s="158" t="s">
        <v>14</v>
      </c>
      <c r="D1593" s="158" t="s">
        <v>15</v>
      </c>
      <c r="E1593" s="157">
        <v>216</v>
      </c>
      <c r="F1593" s="158" t="s">
        <v>525</v>
      </c>
      <c r="G1593" s="159">
        <v>1700153.28</v>
      </c>
      <c r="H1593" s="159">
        <v>0</v>
      </c>
      <c r="I1593" s="159">
        <v>855511.2</v>
      </c>
      <c r="J1593" s="159">
        <v>50.3</v>
      </c>
      <c r="K1593" t="str">
        <f>VLOOKUP($C1593,Lists!$C$3:$M$118,7,FALSE)</f>
        <v>Beers</v>
      </c>
      <c r="S1593" s="4"/>
      <c r="T1593" s="4"/>
      <c r="U1593" s="5"/>
      <c r="V1593" s="5"/>
    </row>
    <row r="1594" spans="1:22" x14ac:dyDescent="0.25">
      <c r="A1594" s="158" t="s">
        <v>697</v>
      </c>
      <c r="B1594" s="158" t="s">
        <v>698</v>
      </c>
      <c r="C1594" s="158" t="s">
        <v>16</v>
      </c>
      <c r="D1594" s="158" t="s">
        <v>17</v>
      </c>
      <c r="E1594" s="157">
        <v>216</v>
      </c>
      <c r="F1594" s="158" t="s">
        <v>525</v>
      </c>
      <c r="G1594" s="159">
        <v>1700153.28</v>
      </c>
      <c r="H1594" s="159">
        <v>0</v>
      </c>
      <c r="I1594" s="159">
        <v>855511.2</v>
      </c>
      <c r="J1594" s="159">
        <v>50.3</v>
      </c>
      <c r="K1594" t="str">
        <f>VLOOKUP($C1594,Lists!$C$3:$M$118,7,FALSE)</f>
        <v>Beers</v>
      </c>
      <c r="S1594" s="4"/>
      <c r="T1594" s="4"/>
      <c r="U1594" s="5"/>
      <c r="V1594" s="5"/>
    </row>
    <row r="1595" spans="1:22" x14ac:dyDescent="0.25">
      <c r="A1595" s="158" t="s">
        <v>697</v>
      </c>
      <c r="B1595" s="158" t="s">
        <v>698</v>
      </c>
      <c r="C1595" s="158" t="s">
        <v>20</v>
      </c>
      <c r="D1595" s="158" t="s">
        <v>21</v>
      </c>
      <c r="E1595" s="157">
        <v>144</v>
      </c>
      <c r="F1595" s="158" t="s">
        <v>525</v>
      </c>
      <c r="G1595" s="159">
        <v>580710.24</v>
      </c>
      <c r="H1595" s="159">
        <v>0</v>
      </c>
      <c r="I1595" s="159">
        <v>250273.44</v>
      </c>
      <c r="J1595" s="159">
        <v>43.1</v>
      </c>
      <c r="K1595" t="str">
        <f>VLOOKUP($C1595,Lists!$C$3:$M$118,7,FALSE)</f>
        <v>COKE_RGB</v>
      </c>
      <c r="S1595" s="4"/>
      <c r="T1595" s="4"/>
      <c r="U1595" s="5"/>
      <c r="V1595" s="5"/>
    </row>
    <row r="1596" spans="1:22" x14ac:dyDescent="0.25">
      <c r="A1596" s="158" t="s">
        <v>697</v>
      </c>
      <c r="B1596" s="158" t="s">
        <v>698</v>
      </c>
      <c r="C1596" s="158" t="s">
        <v>78</v>
      </c>
      <c r="D1596" s="158" t="s">
        <v>526</v>
      </c>
      <c r="E1596" s="157">
        <v>-1</v>
      </c>
      <c r="F1596" s="158" t="s">
        <v>525</v>
      </c>
      <c r="G1596" s="159">
        <v>-2466.16</v>
      </c>
      <c r="H1596" s="159">
        <v>0</v>
      </c>
      <c r="I1596" s="159">
        <v>-1367.62</v>
      </c>
      <c r="J1596" s="159">
        <v>55.5</v>
      </c>
      <c r="K1596" t="str">
        <f>VLOOKUP($C1596,Lists!$C$3:$M$118,7,FALSE)</f>
        <v>SOBO_PET</v>
      </c>
      <c r="S1596" s="4"/>
      <c r="T1596" s="4"/>
      <c r="U1596" s="5"/>
      <c r="V1596" s="5"/>
    </row>
    <row r="1597" spans="1:22" x14ac:dyDescent="0.25">
      <c r="A1597" s="158" t="s">
        <v>697</v>
      </c>
      <c r="B1597" s="158" t="s">
        <v>698</v>
      </c>
      <c r="C1597" s="158" t="s">
        <v>22</v>
      </c>
      <c r="D1597" s="158" t="s">
        <v>23</v>
      </c>
      <c r="E1597" s="157">
        <v>72</v>
      </c>
      <c r="F1597" s="158" t="s">
        <v>525</v>
      </c>
      <c r="G1597" s="159">
        <v>290355.12</v>
      </c>
      <c r="H1597" s="159">
        <v>0</v>
      </c>
      <c r="I1597" s="159">
        <v>120185.28</v>
      </c>
      <c r="J1597" s="159">
        <v>41.4</v>
      </c>
      <c r="K1597" t="str">
        <f>VLOOKUP($C1597,Lists!$C$3:$M$118,7,FALSE)</f>
        <v>COKE_RGB</v>
      </c>
      <c r="S1597" s="4"/>
      <c r="T1597" s="4"/>
      <c r="U1597" s="5"/>
      <c r="V1597" s="5"/>
    </row>
    <row r="1598" spans="1:22" x14ac:dyDescent="0.25">
      <c r="A1598" s="158" t="s">
        <v>697</v>
      </c>
      <c r="B1598" s="158" t="s">
        <v>698</v>
      </c>
      <c r="C1598" s="158" t="s">
        <v>261</v>
      </c>
      <c r="D1598" s="158" t="s">
        <v>538</v>
      </c>
      <c r="E1598" s="157">
        <v>71</v>
      </c>
      <c r="F1598" s="158" t="s">
        <v>525</v>
      </c>
      <c r="G1598" s="159">
        <v>286322.40999999997</v>
      </c>
      <c r="H1598" s="159">
        <v>0</v>
      </c>
      <c r="I1598" s="159">
        <v>118516.04</v>
      </c>
      <c r="J1598" s="159">
        <v>41.4</v>
      </c>
      <c r="K1598" t="str">
        <f>VLOOKUP($C1598,Lists!$C$3:$M$118,7,FALSE)</f>
        <v>COKE_RGB</v>
      </c>
      <c r="S1598" s="4"/>
      <c r="T1598" s="4"/>
      <c r="U1598" s="5"/>
      <c r="V1598" s="5"/>
    </row>
    <row r="1599" spans="1:22" x14ac:dyDescent="0.25">
      <c r="A1599" s="158" t="s">
        <v>697</v>
      </c>
      <c r="B1599" s="158" t="s">
        <v>698</v>
      </c>
      <c r="C1599" s="158" t="s">
        <v>29</v>
      </c>
      <c r="D1599" s="158" t="s">
        <v>30</v>
      </c>
      <c r="E1599" s="157">
        <v>225</v>
      </c>
      <c r="F1599" s="158" t="s">
        <v>525</v>
      </c>
      <c r="G1599" s="159">
        <v>8340950.25</v>
      </c>
      <c r="H1599" s="159">
        <v>0</v>
      </c>
      <c r="I1599" s="159">
        <v>2490950.25</v>
      </c>
      <c r="J1599" s="159">
        <v>29.9</v>
      </c>
      <c r="K1599" t="str">
        <f>VLOOKUP($C1599,Lists!$C$3:$M$118,7,FALSE)</f>
        <v>Spirits</v>
      </c>
      <c r="S1599" s="4"/>
      <c r="T1599" s="4"/>
      <c r="U1599" s="5"/>
      <c r="V1599" s="5"/>
    </row>
    <row r="1600" spans="1:22" x14ac:dyDescent="0.25">
      <c r="A1600" s="158" t="s">
        <v>697</v>
      </c>
      <c r="B1600" s="158" t="s">
        <v>698</v>
      </c>
      <c r="C1600" s="158" t="s">
        <v>33</v>
      </c>
      <c r="D1600" s="158" t="s">
        <v>34</v>
      </c>
      <c r="E1600" s="157">
        <v>7</v>
      </c>
      <c r="F1600" s="158" t="s">
        <v>525</v>
      </c>
      <c r="G1600" s="159">
        <v>397188.12</v>
      </c>
      <c r="H1600" s="159">
        <v>0</v>
      </c>
      <c r="I1600" s="159">
        <v>82188.12</v>
      </c>
      <c r="J1600" s="159">
        <v>20.7</v>
      </c>
      <c r="K1600" t="str">
        <f>VLOOKUP($C1600,Lists!$C$3:$M$118,7,FALSE)</f>
        <v>Spirits</v>
      </c>
      <c r="S1600" s="4"/>
      <c r="T1600" s="4"/>
      <c r="U1600" s="5"/>
      <c r="V1600" s="5"/>
    </row>
    <row r="1601" spans="1:22" x14ac:dyDescent="0.25">
      <c r="A1601" s="158" t="s">
        <v>697</v>
      </c>
      <c r="B1601" s="158" t="s">
        <v>698</v>
      </c>
      <c r="C1601" s="158" t="s">
        <v>37</v>
      </c>
      <c r="D1601" s="158" t="s">
        <v>38</v>
      </c>
      <c r="E1601" s="157">
        <v>72</v>
      </c>
      <c r="F1601" s="158" t="s">
        <v>525</v>
      </c>
      <c r="G1601" s="159">
        <v>241962.48</v>
      </c>
      <c r="H1601" s="159">
        <v>0</v>
      </c>
      <c r="I1601" s="159">
        <v>115732.8</v>
      </c>
      <c r="J1601" s="159">
        <v>47.8</v>
      </c>
      <c r="K1601" t="str">
        <f>VLOOKUP($C1601,Lists!$C$3:$M$118,7,FALSE)</f>
        <v>SOBO_RGB</v>
      </c>
      <c r="S1601" s="4"/>
      <c r="T1601" s="4"/>
      <c r="U1601" s="5"/>
      <c r="V1601" s="5"/>
    </row>
    <row r="1602" spans="1:22" x14ac:dyDescent="0.25">
      <c r="A1602" s="158" t="s">
        <v>697</v>
      </c>
      <c r="B1602" s="158" t="s">
        <v>698</v>
      </c>
      <c r="C1602" s="158" t="s">
        <v>39</v>
      </c>
      <c r="D1602" s="158" t="s">
        <v>40</v>
      </c>
      <c r="E1602" s="157">
        <v>72</v>
      </c>
      <c r="F1602" s="158" t="s">
        <v>525</v>
      </c>
      <c r="G1602" s="159">
        <v>241962.48</v>
      </c>
      <c r="H1602" s="159">
        <v>0</v>
      </c>
      <c r="I1602" s="159">
        <v>114749.28</v>
      </c>
      <c r="J1602" s="159">
        <v>47.4</v>
      </c>
      <c r="K1602" t="str">
        <f>VLOOKUP($C1602,Lists!$C$3:$M$118,7,FALSE)</f>
        <v>SOBO_RGB</v>
      </c>
      <c r="S1602" s="4"/>
      <c r="T1602" s="4"/>
      <c r="U1602" s="5"/>
      <c r="V1602" s="5"/>
    </row>
    <row r="1603" spans="1:22" x14ac:dyDescent="0.25">
      <c r="A1603" s="158" t="s">
        <v>697</v>
      </c>
      <c r="B1603" s="158" t="s">
        <v>698</v>
      </c>
      <c r="C1603" s="158" t="s">
        <v>88</v>
      </c>
      <c r="D1603" s="158" t="s">
        <v>527</v>
      </c>
      <c r="E1603" s="157">
        <v>-64</v>
      </c>
      <c r="F1603" s="158" t="s">
        <v>525</v>
      </c>
      <c r="G1603" s="159">
        <v>-184140.16</v>
      </c>
      <c r="H1603" s="159">
        <v>0</v>
      </c>
      <c r="I1603" s="159">
        <v>-109471.36</v>
      </c>
      <c r="J1603" s="159">
        <v>59.5</v>
      </c>
      <c r="K1603" t="str">
        <f>VLOOKUP($C1603,Lists!$C$3:$M$118,7,FALSE)</f>
        <v>SOBO_PET</v>
      </c>
      <c r="S1603" s="4"/>
      <c r="T1603" s="4"/>
      <c r="U1603" s="5"/>
      <c r="V1603" s="5"/>
    </row>
    <row r="1604" spans="1:22" x14ac:dyDescent="0.25">
      <c r="A1604" s="158" t="s">
        <v>697</v>
      </c>
      <c r="B1604" s="158" t="s">
        <v>698</v>
      </c>
      <c r="C1604" s="158" t="s">
        <v>49</v>
      </c>
      <c r="D1604" s="158" t="s">
        <v>50</v>
      </c>
      <c r="E1604" s="157">
        <v>288</v>
      </c>
      <c r="F1604" s="158" t="s">
        <v>525</v>
      </c>
      <c r="G1604" s="159">
        <v>2887885.44</v>
      </c>
      <c r="H1604" s="159">
        <v>0</v>
      </c>
      <c r="I1604" s="159">
        <v>919791.36</v>
      </c>
      <c r="J1604" s="159">
        <v>31.8</v>
      </c>
      <c r="K1604" t="str">
        <f>VLOOKUP($C1604,Lists!$C$3:$M$118,7,FALSE)</f>
        <v>Squash</v>
      </c>
      <c r="S1604" s="4"/>
      <c r="T1604" s="4"/>
      <c r="U1604" s="5"/>
      <c r="V1604" s="5"/>
    </row>
    <row r="1605" spans="1:22" x14ac:dyDescent="0.25">
      <c r="A1605" s="158" t="s">
        <v>697</v>
      </c>
      <c r="B1605" s="158" t="s">
        <v>698</v>
      </c>
      <c r="C1605" s="158" t="s">
        <v>51</v>
      </c>
      <c r="D1605" s="158" t="s">
        <v>52</v>
      </c>
      <c r="E1605" s="157">
        <v>503</v>
      </c>
      <c r="F1605" s="158" t="s">
        <v>525</v>
      </c>
      <c r="G1605" s="159">
        <v>5043772.1399999997</v>
      </c>
      <c r="H1605" s="159">
        <v>0</v>
      </c>
      <c r="I1605" s="159">
        <v>1593016.09</v>
      </c>
      <c r="J1605" s="159">
        <v>31.6</v>
      </c>
      <c r="K1605" t="str">
        <f>VLOOKUP($C1605,Lists!$C$3:$M$118,7,FALSE)</f>
        <v>Squash</v>
      </c>
      <c r="S1605" s="4"/>
      <c r="T1605" s="4"/>
      <c r="U1605" s="5"/>
      <c r="V1605" s="5"/>
    </row>
    <row r="1606" spans="1:22" x14ac:dyDescent="0.25">
      <c r="A1606" s="158" t="s">
        <v>697</v>
      </c>
      <c r="B1606" s="158" t="s">
        <v>698</v>
      </c>
      <c r="C1606" s="158" t="s">
        <v>26</v>
      </c>
      <c r="D1606" s="158" t="s">
        <v>27</v>
      </c>
      <c r="E1606" s="157">
        <v>143</v>
      </c>
      <c r="F1606" s="158" t="s">
        <v>525</v>
      </c>
      <c r="G1606" s="159">
        <v>312083.20000000001</v>
      </c>
      <c r="H1606" s="159">
        <v>0</v>
      </c>
      <c r="I1606" s="159">
        <v>137588.88</v>
      </c>
      <c r="J1606" s="159">
        <v>44.1</v>
      </c>
      <c r="K1606" t="str">
        <f>VLOOKUP($C1606,Lists!$C$3:$M$118,7,FALSE)</f>
        <v>Water</v>
      </c>
      <c r="S1606" s="4"/>
      <c r="T1606" s="4"/>
      <c r="U1606" s="5"/>
      <c r="V1606" s="5"/>
    </row>
    <row r="1607" spans="1:22" x14ac:dyDescent="0.25">
      <c r="A1607" s="158" t="s">
        <v>699</v>
      </c>
      <c r="B1607" s="158" t="s">
        <v>700</v>
      </c>
      <c r="C1607" s="158" t="s">
        <v>12</v>
      </c>
      <c r="D1607" s="158" t="s">
        <v>13</v>
      </c>
      <c r="E1607" s="157">
        <v>144</v>
      </c>
      <c r="F1607" s="158" t="s">
        <v>525</v>
      </c>
      <c r="G1607" s="159">
        <v>944530.56</v>
      </c>
      <c r="H1607" s="159">
        <v>0</v>
      </c>
      <c r="I1607" s="159">
        <v>422638.56</v>
      </c>
      <c r="J1607" s="159">
        <v>44.7</v>
      </c>
      <c r="K1607" t="str">
        <f>VLOOKUP($C1607,Lists!$C$3:$M$118,7,FALSE)</f>
        <v>Beers</v>
      </c>
      <c r="S1607" s="4"/>
      <c r="T1607" s="4"/>
      <c r="U1607" s="5"/>
      <c r="V1607" s="5"/>
    </row>
    <row r="1608" spans="1:22" x14ac:dyDescent="0.25">
      <c r="A1608" s="158" t="s">
        <v>699</v>
      </c>
      <c r="B1608" s="158" t="s">
        <v>700</v>
      </c>
      <c r="C1608" s="158" t="s">
        <v>14</v>
      </c>
      <c r="D1608" s="158" t="s">
        <v>15</v>
      </c>
      <c r="E1608" s="157">
        <v>144</v>
      </c>
      <c r="F1608" s="158" t="s">
        <v>525</v>
      </c>
      <c r="G1608" s="159">
        <v>1133435.52</v>
      </c>
      <c r="H1608" s="159">
        <v>0</v>
      </c>
      <c r="I1608" s="159">
        <v>570340.80000000005</v>
      </c>
      <c r="J1608" s="159">
        <v>50.3</v>
      </c>
      <c r="K1608" t="str">
        <f>VLOOKUP($C1608,Lists!$C$3:$M$118,7,FALSE)</f>
        <v>Beers</v>
      </c>
      <c r="S1608" s="4"/>
      <c r="T1608" s="4"/>
      <c r="U1608" s="5"/>
      <c r="V1608" s="5"/>
    </row>
    <row r="1609" spans="1:22" x14ac:dyDescent="0.25">
      <c r="A1609" s="158" t="s">
        <v>699</v>
      </c>
      <c r="B1609" s="158" t="s">
        <v>700</v>
      </c>
      <c r="C1609" s="158" t="s">
        <v>16</v>
      </c>
      <c r="D1609" s="158" t="s">
        <v>17</v>
      </c>
      <c r="E1609" s="157">
        <v>72</v>
      </c>
      <c r="F1609" s="158" t="s">
        <v>525</v>
      </c>
      <c r="G1609" s="159">
        <v>566717.76</v>
      </c>
      <c r="H1609" s="159">
        <v>0</v>
      </c>
      <c r="I1609" s="159">
        <v>285170.40000000002</v>
      </c>
      <c r="J1609" s="159">
        <v>50.3</v>
      </c>
      <c r="K1609" t="str">
        <f>VLOOKUP($C1609,Lists!$C$3:$M$118,7,FALSE)</f>
        <v>Beers</v>
      </c>
      <c r="S1609" s="4"/>
      <c r="T1609" s="4"/>
      <c r="U1609" s="5"/>
      <c r="V1609" s="5"/>
    </row>
    <row r="1610" spans="1:22" x14ac:dyDescent="0.25">
      <c r="A1610" s="158" t="s">
        <v>699</v>
      </c>
      <c r="B1610" s="158" t="s">
        <v>700</v>
      </c>
      <c r="C1610" s="158" t="s">
        <v>18</v>
      </c>
      <c r="D1610" s="158" t="s">
        <v>19</v>
      </c>
      <c r="E1610" s="157">
        <v>72</v>
      </c>
      <c r="F1610" s="158" t="s">
        <v>525</v>
      </c>
      <c r="G1610" s="159">
        <v>755623.44</v>
      </c>
      <c r="H1610" s="159">
        <v>0</v>
      </c>
      <c r="I1610" s="159">
        <v>398539.42</v>
      </c>
      <c r="J1610" s="159">
        <v>52.7</v>
      </c>
      <c r="K1610" t="str">
        <f>VLOOKUP($C1610,Lists!$C$3:$M$118,7,FALSE)</f>
        <v>Beers</v>
      </c>
      <c r="S1610" s="4"/>
      <c r="T1610" s="4"/>
      <c r="U1610" s="5"/>
      <c r="V1610" s="5"/>
    </row>
    <row r="1611" spans="1:22" x14ac:dyDescent="0.25">
      <c r="A1611" s="158" t="s">
        <v>699</v>
      </c>
      <c r="B1611" s="158" t="s">
        <v>700</v>
      </c>
      <c r="C1611" s="158" t="s">
        <v>20</v>
      </c>
      <c r="D1611" s="158" t="s">
        <v>21</v>
      </c>
      <c r="E1611" s="157">
        <v>144</v>
      </c>
      <c r="F1611" s="158" t="s">
        <v>525</v>
      </c>
      <c r="G1611" s="159">
        <v>580710.24</v>
      </c>
      <c r="H1611" s="159">
        <v>0</v>
      </c>
      <c r="I1611" s="159">
        <v>250273.44</v>
      </c>
      <c r="J1611" s="159">
        <v>43.1</v>
      </c>
      <c r="K1611" t="str">
        <f>VLOOKUP($C1611,Lists!$C$3:$M$118,7,FALSE)</f>
        <v>COKE_RGB</v>
      </c>
      <c r="S1611" s="4"/>
      <c r="T1611" s="4"/>
      <c r="U1611" s="5"/>
      <c r="V1611" s="5"/>
    </row>
    <row r="1612" spans="1:22" x14ac:dyDescent="0.25">
      <c r="A1612" s="158" t="s">
        <v>699</v>
      </c>
      <c r="B1612" s="158" t="s">
        <v>700</v>
      </c>
      <c r="C1612" s="158" t="s">
        <v>28</v>
      </c>
      <c r="D1612" s="158" t="s">
        <v>530</v>
      </c>
      <c r="E1612" s="157">
        <v>71</v>
      </c>
      <c r="F1612" s="158" t="s">
        <v>525</v>
      </c>
      <c r="G1612" s="159">
        <v>204280.49</v>
      </c>
      <c r="H1612" s="159">
        <v>0</v>
      </c>
      <c r="I1612" s="159">
        <v>104947.94</v>
      </c>
      <c r="J1612" s="159">
        <v>51.4</v>
      </c>
      <c r="K1612" t="str">
        <f>VLOOKUP($C1612,Lists!$C$3:$M$118,7,FALSE)</f>
        <v>COKE_PET</v>
      </c>
      <c r="S1612" s="4"/>
      <c r="T1612" s="4"/>
      <c r="U1612" s="5"/>
      <c r="V1612" s="5"/>
    </row>
    <row r="1613" spans="1:22" x14ac:dyDescent="0.25">
      <c r="A1613" s="158" t="s">
        <v>699</v>
      </c>
      <c r="B1613" s="158" t="s">
        <v>700</v>
      </c>
      <c r="C1613" s="158" t="s">
        <v>58</v>
      </c>
      <c r="D1613" s="158" t="s">
        <v>537</v>
      </c>
      <c r="E1613" s="157">
        <v>72</v>
      </c>
      <c r="F1613" s="158" t="s">
        <v>525</v>
      </c>
      <c r="G1613" s="159">
        <v>177563.51999999999</v>
      </c>
      <c r="H1613" s="159">
        <v>0</v>
      </c>
      <c r="I1613" s="159">
        <v>99871.2</v>
      </c>
      <c r="J1613" s="159">
        <v>56.2</v>
      </c>
      <c r="K1613" t="str">
        <f>VLOOKUP($C1613,Lists!$C$3:$M$118,7,FALSE)</f>
        <v>SOBO_PET</v>
      </c>
      <c r="S1613" s="4"/>
      <c r="T1613" s="4"/>
      <c r="U1613" s="5"/>
      <c r="V1613" s="5"/>
    </row>
    <row r="1614" spans="1:22" x14ac:dyDescent="0.25">
      <c r="A1614" s="158" t="s">
        <v>699</v>
      </c>
      <c r="B1614" s="158" t="s">
        <v>700</v>
      </c>
      <c r="C1614" s="158" t="s">
        <v>59</v>
      </c>
      <c r="D1614" s="158" t="s">
        <v>60</v>
      </c>
      <c r="E1614" s="157">
        <v>72</v>
      </c>
      <c r="F1614" s="158" t="s">
        <v>525</v>
      </c>
      <c r="G1614" s="159">
        <v>290355.12</v>
      </c>
      <c r="H1614" s="159">
        <v>0</v>
      </c>
      <c r="I1614" s="159">
        <v>121410.72</v>
      </c>
      <c r="J1614" s="159">
        <v>41.8</v>
      </c>
      <c r="K1614" t="str">
        <f>VLOOKUP($C1614,Lists!$C$3:$M$118,7,FALSE)</f>
        <v>COKE_RGB</v>
      </c>
      <c r="S1614" s="4"/>
      <c r="T1614" s="4"/>
      <c r="U1614" s="5"/>
      <c r="V1614" s="5"/>
    </row>
    <row r="1615" spans="1:22" x14ac:dyDescent="0.25">
      <c r="A1615" s="158" t="s">
        <v>699</v>
      </c>
      <c r="B1615" s="158" t="s">
        <v>700</v>
      </c>
      <c r="C1615" s="158" t="s">
        <v>22</v>
      </c>
      <c r="D1615" s="158" t="s">
        <v>23</v>
      </c>
      <c r="E1615" s="157">
        <v>72</v>
      </c>
      <c r="F1615" s="158" t="s">
        <v>525</v>
      </c>
      <c r="G1615" s="159">
        <v>290355.12</v>
      </c>
      <c r="H1615" s="159">
        <v>0</v>
      </c>
      <c r="I1615" s="159">
        <v>120185.28</v>
      </c>
      <c r="J1615" s="159">
        <v>41.4</v>
      </c>
      <c r="K1615" t="str">
        <f>VLOOKUP($C1615,Lists!$C$3:$M$118,7,FALSE)</f>
        <v>COKE_RGB</v>
      </c>
      <c r="S1615" s="4"/>
      <c r="T1615" s="4"/>
      <c r="U1615" s="5"/>
      <c r="V1615" s="5"/>
    </row>
    <row r="1616" spans="1:22" x14ac:dyDescent="0.25">
      <c r="A1616" s="158" t="s">
        <v>699</v>
      </c>
      <c r="B1616" s="158" t="s">
        <v>700</v>
      </c>
      <c r="C1616" s="158" t="s">
        <v>67</v>
      </c>
      <c r="D1616" s="158" t="s">
        <v>533</v>
      </c>
      <c r="E1616" s="157">
        <v>72</v>
      </c>
      <c r="F1616" s="158" t="s">
        <v>525</v>
      </c>
      <c r="G1616" s="159">
        <v>207157.68</v>
      </c>
      <c r="H1616" s="159">
        <v>0</v>
      </c>
      <c r="I1616" s="159">
        <v>103889.52</v>
      </c>
      <c r="J1616" s="159">
        <v>50.1</v>
      </c>
      <c r="K1616" t="str">
        <f>VLOOKUP($C1616,Lists!$C$3:$M$118,7,FALSE)</f>
        <v>COKE_PET</v>
      </c>
      <c r="S1616" s="4"/>
      <c r="T1616" s="4"/>
      <c r="U1616" s="5"/>
      <c r="V1616" s="5"/>
    </row>
    <row r="1617" spans="1:22" x14ac:dyDescent="0.25">
      <c r="A1617" s="158" t="s">
        <v>699</v>
      </c>
      <c r="B1617" s="158" t="s">
        <v>700</v>
      </c>
      <c r="C1617" s="158" t="s">
        <v>261</v>
      </c>
      <c r="D1617" s="158" t="s">
        <v>538</v>
      </c>
      <c r="E1617" s="157">
        <v>72</v>
      </c>
      <c r="F1617" s="158" t="s">
        <v>525</v>
      </c>
      <c r="G1617" s="159">
        <v>290355.12</v>
      </c>
      <c r="H1617" s="159">
        <v>0</v>
      </c>
      <c r="I1617" s="159">
        <v>120185.28</v>
      </c>
      <c r="J1617" s="159">
        <v>41.4</v>
      </c>
      <c r="K1617" t="str">
        <f>VLOOKUP($C1617,Lists!$C$3:$M$118,7,FALSE)</f>
        <v>COKE_RGB</v>
      </c>
      <c r="S1617" s="4"/>
      <c r="T1617" s="4"/>
      <c r="U1617" s="5"/>
      <c r="V1617" s="5"/>
    </row>
    <row r="1618" spans="1:22" x14ac:dyDescent="0.25">
      <c r="A1618" s="158" t="s">
        <v>699</v>
      </c>
      <c r="B1618" s="158" t="s">
        <v>700</v>
      </c>
      <c r="C1618" s="158" t="s">
        <v>24</v>
      </c>
      <c r="D1618" s="158" t="s">
        <v>25</v>
      </c>
      <c r="E1618" s="157">
        <v>144</v>
      </c>
      <c r="F1618" s="158" t="s">
        <v>525</v>
      </c>
      <c r="G1618" s="159">
        <v>944530.56</v>
      </c>
      <c r="H1618" s="159">
        <v>0</v>
      </c>
      <c r="I1618" s="159">
        <v>463839.84</v>
      </c>
      <c r="J1618" s="159">
        <v>49.1</v>
      </c>
      <c r="K1618" t="str">
        <f>VLOOKUP($C1618,Lists!$C$3:$M$118,7,FALSE)</f>
        <v>Beers</v>
      </c>
      <c r="S1618" s="4"/>
      <c r="T1618" s="4"/>
      <c r="U1618" s="5"/>
      <c r="V1618" s="5"/>
    </row>
    <row r="1619" spans="1:22" x14ac:dyDescent="0.25">
      <c r="A1619" s="158" t="s">
        <v>699</v>
      </c>
      <c r="B1619" s="158" t="s">
        <v>700</v>
      </c>
      <c r="C1619" s="158" t="s">
        <v>29</v>
      </c>
      <c r="D1619" s="158" t="s">
        <v>30</v>
      </c>
      <c r="E1619" s="157">
        <v>119</v>
      </c>
      <c r="F1619" s="158" t="s">
        <v>525</v>
      </c>
      <c r="G1619" s="159">
        <v>4411435.91</v>
      </c>
      <c r="H1619" s="159">
        <v>0</v>
      </c>
      <c r="I1619" s="159">
        <v>1317435.9099999999</v>
      </c>
      <c r="J1619" s="159">
        <v>29.9</v>
      </c>
      <c r="K1619" t="str">
        <f>VLOOKUP($C1619,Lists!$C$3:$M$118,7,FALSE)</f>
        <v>Spirits</v>
      </c>
      <c r="S1619" s="4"/>
      <c r="T1619" s="4"/>
      <c r="U1619" s="5"/>
      <c r="V1619" s="5"/>
    </row>
    <row r="1620" spans="1:22" x14ac:dyDescent="0.25">
      <c r="A1620" s="158" t="s">
        <v>699</v>
      </c>
      <c r="B1620" s="158" t="s">
        <v>700</v>
      </c>
      <c r="C1620" s="158" t="s">
        <v>31</v>
      </c>
      <c r="D1620" s="158" t="s">
        <v>32</v>
      </c>
      <c r="E1620" s="157">
        <v>20</v>
      </c>
      <c r="F1620" s="158" t="s">
        <v>525</v>
      </c>
      <c r="G1620" s="159">
        <v>696024.8</v>
      </c>
      <c r="H1620" s="159">
        <v>0</v>
      </c>
      <c r="I1620" s="159">
        <v>216024.8</v>
      </c>
      <c r="J1620" s="159">
        <v>31</v>
      </c>
      <c r="K1620" t="str">
        <f>VLOOKUP($C1620,Lists!$C$3:$M$118,7,FALSE)</f>
        <v>Spirits</v>
      </c>
      <c r="S1620" s="4"/>
      <c r="T1620" s="4"/>
      <c r="U1620" s="5"/>
      <c r="V1620" s="5"/>
    </row>
    <row r="1621" spans="1:22" x14ac:dyDescent="0.25">
      <c r="A1621" s="158" t="s">
        <v>699</v>
      </c>
      <c r="B1621" s="158" t="s">
        <v>700</v>
      </c>
      <c r="C1621" s="158" t="s">
        <v>33</v>
      </c>
      <c r="D1621" s="158" t="s">
        <v>34</v>
      </c>
      <c r="E1621" s="157">
        <v>60</v>
      </c>
      <c r="F1621" s="158" t="s">
        <v>525</v>
      </c>
      <c r="G1621" s="159">
        <v>3404469.6</v>
      </c>
      <c r="H1621" s="159">
        <v>0</v>
      </c>
      <c r="I1621" s="159">
        <v>704469.6</v>
      </c>
      <c r="J1621" s="159">
        <v>20.7</v>
      </c>
      <c r="K1621" t="str">
        <f>VLOOKUP($C1621,Lists!$C$3:$M$118,7,FALSE)</f>
        <v>Spirits</v>
      </c>
      <c r="S1621" s="4"/>
      <c r="T1621" s="4"/>
      <c r="U1621" s="5"/>
      <c r="V1621" s="5"/>
    </row>
    <row r="1622" spans="1:22" x14ac:dyDescent="0.25">
      <c r="A1622" s="158" t="s">
        <v>699</v>
      </c>
      <c r="B1622" s="158" t="s">
        <v>700</v>
      </c>
      <c r="C1622" s="158" t="s">
        <v>37</v>
      </c>
      <c r="D1622" s="158" t="s">
        <v>38</v>
      </c>
      <c r="E1622" s="157">
        <v>144</v>
      </c>
      <c r="F1622" s="158" t="s">
        <v>525</v>
      </c>
      <c r="G1622" s="159">
        <v>483924.96</v>
      </c>
      <c r="H1622" s="159">
        <v>0</v>
      </c>
      <c r="I1622" s="159">
        <v>231465.60000000001</v>
      </c>
      <c r="J1622" s="159">
        <v>47.8</v>
      </c>
      <c r="K1622" t="str">
        <f>VLOOKUP($C1622,Lists!$C$3:$M$118,7,FALSE)</f>
        <v>SOBO_RGB</v>
      </c>
      <c r="S1622" s="4"/>
      <c r="T1622" s="4"/>
      <c r="U1622" s="5"/>
      <c r="V1622" s="5"/>
    </row>
    <row r="1623" spans="1:22" x14ac:dyDescent="0.25">
      <c r="A1623" s="158" t="s">
        <v>699</v>
      </c>
      <c r="B1623" s="158" t="s">
        <v>700</v>
      </c>
      <c r="C1623" s="158" t="s">
        <v>39</v>
      </c>
      <c r="D1623" s="158" t="s">
        <v>40</v>
      </c>
      <c r="E1623" s="157">
        <v>72</v>
      </c>
      <c r="F1623" s="158" t="s">
        <v>525</v>
      </c>
      <c r="G1623" s="159">
        <v>241962.48</v>
      </c>
      <c r="H1623" s="159">
        <v>0</v>
      </c>
      <c r="I1623" s="159">
        <v>114749.28</v>
      </c>
      <c r="J1623" s="159">
        <v>47.4</v>
      </c>
      <c r="K1623" t="str">
        <f>VLOOKUP($C1623,Lists!$C$3:$M$118,7,FALSE)</f>
        <v>SOBO_RGB</v>
      </c>
      <c r="S1623" s="4"/>
      <c r="T1623" s="4"/>
      <c r="U1623" s="5"/>
      <c r="V1623" s="5"/>
    </row>
    <row r="1624" spans="1:22" x14ac:dyDescent="0.25">
      <c r="A1624" s="158" t="s">
        <v>699</v>
      </c>
      <c r="B1624" s="158" t="s">
        <v>700</v>
      </c>
      <c r="C1624" s="158" t="s">
        <v>88</v>
      </c>
      <c r="D1624" s="158" t="s">
        <v>527</v>
      </c>
      <c r="E1624" s="157">
        <v>0</v>
      </c>
      <c r="F1624" s="158" t="s">
        <v>525</v>
      </c>
      <c r="G1624" s="159">
        <v>0</v>
      </c>
      <c r="H1624" s="159">
        <v>0</v>
      </c>
      <c r="I1624" s="159">
        <v>0</v>
      </c>
      <c r="J1624" s="159">
        <v>0</v>
      </c>
      <c r="K1624" t="str">
        <f>VLOOKUP($C1624,Lists!$C$3:$M$118,7,FALSE)</f>
        <v>SOBO_PET</v>
      </c>
      <c r="S1624" s="4"/>
      <c r="T1624" s="4"/>
      <c r="U1624" s="5"/>
      <c r="V1624" s="5"/>
    </row>
    <row r="1625" spans="1:22" x14ac:dyDescent="0.25">
      <c r="A1625" s="158" t="s">
        <v>699</v>
      </c>
      <c r="B1625" s="158" t="s">
        <v>700</v>
      </c>
      <c r="C1625" s="158" t="s">
        <v>45</v>
      </c>
      <c r="D1625" s="158" t="s">
        <v>46</v>
      </c>
      <c r="E1625" s="157">
        <v>72</v>
      </c>
      <c r="F1625" s="158" t="s">
        <v>525</v>
      </c>
      <c r="G1625" s="159">
        <v>290355.12</v>
      </c>
      <c r="H1625" s="159">
        <v>0</v>
      </c>
      <c r="I1625" s="159">
        <v>145738.79999999999</v>
      </c>
      <c r="J1625" s="159">
        <v>50.2</v>
      </c>
      <c r="K1625" t="str">
        <f>VLOOKUP($C1625,Lists!$C$3:$M$118,7,FALSE)</f>
        <v>SOBO_RGB</v>
      </c>
      <c r="S1625" s="4"/>
      <c r="T1625" s="4"/>
      <c r="U1625" s="5"/>
      <c r="V1625" s="5"/>
    </row>
    <row r="1626" spans="1:22" x14ac:dyDescent="0.25">
      <c r="A1626" s="158" t="s">
        <v>699</v>
      </c>
      <c r="B1626" s="158" t="s">
        <v>700</v>
      </c>
      <c r="C1626" s="158" t="s">
        <v>47</v>
      </c>
      <c r="D1626" s="158" t="s">
        <v>48</v>
      </c>
      <c r="E1626" s="157">
        <v>72</v>
      </c>
      <c r="F1626" s="158" t="s">
        <v>525</v>
      </c>
      <c r="G1626" s="159">
        <v>290355.12</v>
      </c>
      <c r="H1626" s="159">
        <v>0</v>
      </c>
      <c r="I1626" s="159">
        <v>129744.72</v>
      </c>
      <c r="J1626" s="159">
        <v>44.7</v>
      </c>
      <c r="K1626" t="str">
        <f>VLOOKUP($C1626,Lists!$C$3:$M$118,7,FALSE)</f>
        <v>COKE_RGB</v>
      </c>
      <c r="S1626" s="4"/>
      <c r="T1626" s="4"/>
      <c r="U1626" s="5"/>
      <c r="V1626" s="5"/>
    </row>
    <row r="1627" spans="1:22" x14ac:dyDescent="0.25">
      <c r="A1627" s="158" t="s">
        <v>699</v>
      </c>
      <c r="B1627" s="158" t="s">
        <v>700</v>
      </c>
      <c r="C1627" s="158" t="s">
        <v>68</v>
      </c>
      <c r="D1627" s="158" t="s">
        <v>534</v>
      </c>
      <c r="E1627" s="157">
        <v>72</v>
      </c>
      <c r="F1627" s="158" t="s">
        <v>525</v>
      </c>
      <c r="G1627" s="159">
        <v>207157.68</v>
      </c>
      <c r="H1627" s="159">
        <v>0</v>
      </c>
      <c r="I1627" s="159">
        <v>102949.2</v>
      </c>
      <c r="J1627" s="159">
        <v>49.7</v>
      </c>
      <c r="K1627" t="str">
        <f>VLOOKUP($C1627,Lists!$C$3:$M$118,7,FALSE)</f>
        <v>COKE_PET</v>
      </c>
      <c r="S1627" s="4"/>
      <c r="T1627" s="4"/>
      <c r="U1627" s="5"/>
      <c r="V1627" s="5"/>
    </row>
    <row r="1628" spans="1:22" x14ac:dyDescent="0.25">
      <c r="A1628" s="158" t="s">
        <v>699</v>
      </c>
      <c r="B1628" s="158" t="s">
        <v>700</v>
      </c>
      <c r="C1628" s="158" t="s">
        <v>49</v>
      </c>
      <c r="D1628" s="158" t="s">
        <v>50</v>
      </c>
      <c r="E1628" s="157">
        <v>72</v>
      </c>
      <c r="F1628" s="158" t="s">
        <v>525</v>
      </c>
      <c r="G1628" s="159">
        <v>721971.36</v>
      </c>
      <c r="H1628" s="159">
        <v>0</v>
      </c>
      <c r="I1628" s="159">
        <v>229947.84</v>
      </c>
      <c r="J1628" s="159">
        <v>31.8</v>
      </c>
      <c r="K1628" t="str">
        <f>VLOOKUP($C1628,Lists!$C$3:$M$118,7,FALSE)</f>
        <v>Squash</v>
      </c>
      <c r="S1628" s="4"/>
      <c r="T1628" s="4"/>
      <c r="U1628" s="5"/>
      <c r="V1628" s="5"/>
    </row>
    <row r="1629" spans="1:22" x14ac:dyDescent="0.25">
      <c r="A1629" s="158" t="s">
        <v>699</v>
      </c>
      <c r="B1629" s="158" t="s">
        <v>700</v>
      </c>
      <c r="C1629" s="158" t="s">
        <v>51</v>
      </c>
      <c r="D1629" s="158" t="s">
        <v>52</v>
      </c>
      <c r="E1629" s="157">
        <v>72</v>
      </c>
      <c r="F1629" s="158" t="s">
        <v>525</v>
      </c>
      <c r="G1629" s="159">
        <v>721971.36</v>
      </c>
      <c r="H1629" s="159">
        <v>0</v>
      </c>
      <c r="I1629" s="159">
        <v>228026.16</v>
      </c>
      <c r="J1629" s="159">
        <v>31.6</v>
      </c>
      <c r="K1629" t="str">
        <f>VLOOKUP($C1629,Lists!$C$3:$M$118,7,FALSE)</f>
        <v>Squash</v>
      </c>
      <c r="S1629" s="4"/>
      <c r="T1629" s="4"/>
      <c r="U1629" s="5"/>
      <c r="V1629" s="5"/>
    </row>
    <row r="1630" spans="1:22" x14ac:dyDescent="0.25">
      <c r="A1630" s="158" t="s">
        <v>699</v>
      </c>
      <c r="B1630" s="158" t="s">
        <v>700</v>
      </c>
      <c r="C1630" s="158" t="s">
        <v>26</v>
      </c>
      <c r="D1630" s="158" t="s">
        <v>27</v>
      </c>
      <c r="E1630" s="157">
        <v>144</v>
      </c>
      <c r="F1630" s="158" t="s">
        <v>525</v>
      </c>
      <c r="G1630" s="159">
        <v>314265.59999999998</v>
      </c>
      <c r="H1630" s="159">
        <v>0</v>
      </c>
      <c r="I1630" s="159">
        <v>138551.04000000001</v>
      </c>
      <c r="J1630" s="159">
        <v>44.1</v>
      </c>
      <c r="K1630" t="str">
        <f>VLOOKUP($C1630,Lists!$C$3:$M$118,7,FALSE)</f>
        <v>Water</v>
      </c>
      <c r="S1630" s="4"/>
      <c r="T1630" s="4"/>
      <c r="U1630" s="5"/>
      <c r="V1630" s="5"/>
    </row>
    <row r="1631" spans="1:22" x14ac:dyDescent="0.25">
      <c r="A1631" s="158" t="s">
        <v>701</v>
      </c>
      <c r="B1631" s="158" t="s">
        <v>702</v>
      </c>
      <c r="C1631" s="158" t="s">
        <v>43</v>
      </c>
      <c r="D1631" s="158" t="s">
        <v>44</v>
      </c>
      <c r="E1631" s="157">
        <v>132</v>
      </c>
      <c r="F1631" s="158" t="s">
        <v>525</v>
      </c>
      <c r="G1631" s="159">
        <v>589908</v>
      </c>
      <c r="H1631" s="159">
        <v>0</v>
      </c>
      <c r="I1631" s="159">
        <v>73737.84</v>
      </c>
      <c r="J1631" s="159">
        <v>12.5</v>
      </c>
      <c r="K1631" t="str">
        <f>VLOOKUP($C1631,Lists!$C$3:$M$118,7,FALSE)</f>
        <v>Beers</v>
      </c>
      <c r="S1631" s="4"/>
      <c r="T1631" s="4"/>
      <c r="U1631" s="5"/>
      <c r="V1631" s="5"/>
    </row>
    <row r="1632" spans="1:22" x14ac:dyDescent="0.25">
      <c r="A1632" s="158" t="s">
        <v>701</v>
      </c>
      <c r="B1632" s="158" t="s">
        <v>702</v>
      </c>
      <c r="C1632" s="158" t="s">
        <v>362</v>
      </c>
      <c r="D1632" s="158" t="s">
        <v>363</v>
      </c>
      <c r="E1632" s="157">
        <v>200</v>
      </c>
      <c r="F1632" s="158" t="s">
        <v>525</v>
      </c>
      <c r="G1632" s="159">
        <v>887714</v>
      </c>
      <c r="H1632" s="159">
        <v>0</v>
      </c>
      <c r="I1632" s="159">
        <v>80702</v>
      </c>
      <c r="J1632" s="159">
        <v>9.1</v>
      </c>
      <c r="K1632" t="str">
        <f>VLOOKUP($C1632,Lists!$C$3:$M$118,7,FALSE)</f>
        <v>Squash</v>
      </c>
      <c r="S1632" s="4"/>
      <c r="T1632" s="4"/>
      <c r="U1632" s="5"/>
      <c r="V1632" s="5"/>
    </row>
    <row r="1633" spans="1:22" x14ac:dyDescent="0.25">
      <c r="A1633" s="158" t="s">
        <v>703</v>
      </c>
      <c r="B1633" s="158" t="s">
        <v>704</v>
      </c>
      <c r="C1633" s="158" t="s">
        <v>29</v>
      </c>
      <c r="D1633" s="158" t="s">
        <v>30</v>
      </c>
      <c r="E1633" s="157">
        <v>20</v>
      </c>
      <c r="F1633" s="158" t="s">
        <v>525</v>
      </c>
      <c r="G1633" s="159">
        <v>741417.8</v>
      </c>
      <c r="H1633" s="159">
        <v>0</v>
      </c>
      <c r="I1633" s="159">
        <v>221417.8</v>
      </c>
      <c r="J1633" s="159">
        <v>29.9</v>
      </c>
      <c r="K1633" t="str">
        <f>VLOOKUP($C1633,Lists!$C$3:$M$118,7,FALSE)</f>
        <v>Spirits</v>
      </c>
      <c r="S1633" s="4"/>
      <c r="T1633" s="4"/>
      <c r="U1633" s="5"/>
      <c r="V1633" s="5"/>
    </row>
    <row r="1634" spans="1:22" x14ac:dyDescent="0.25">
      <c r="A1634" s="158" t="s">
        <v>703</v>
      </c>
      <c r="B1634" s="158" t="s">
        <v>704</v>
      </c>
      <c r="C1634" s="158" t="s">
        <v>31</v>
      </c>
      <c r="D1634" s="158" t="s">
        <v>32</v>
      </c>
      <c r="E1634" s="157">
        <v>5</v>
      </c>
      <c r="F1634" s="158" t="s">
        <v>525</v>
      </c>
      <c r="G1634" s="159">
        <v>174006.2</v>
      </c>
      <c r="H1634" s="159">
        <v>0</v>
      </c>
      <c r="I1634" s="159">
        <v>54006.2</v>
      </c>
      <c r="J1634" s="159">
        <v>31</v>
      </c>
      <c r="K1634" t="str">
        <f>VLOOKUP($C1634,Lists!$C$3:$M$118,7,FALSE)</f>
        <v>Spirits</v>
      </c>
      <c r="S1634" s="4"/>
      <c r="T1634" s="4"/>
      <c r="U1634" s="5"/>
      <c r="V1634" s="5"/>
    </row>
    <row r="1635" spans="1:22" x14ac:dyDescent="0.25">
      <c r="A1635" s="158" t="s">
        <v>703</v>
      </c>
      <c r="B1635" s="158" t="s">
        <v>704</v>
      </c>
      <c r="C1635" s="158" t="s">
        <v>33</v>
      </c>
      <c r="D1635" s="158" t="s">
        <v>34</v>
      </c>
      <c r="E1635" s="157">
        <v>10</v>
      </c>
      <c r="F1635" s="158" t="s">
        <v>525</v>
      </c>
      <c r="G1635" s="159">
        <v>567411.6</v>
      </c>
      <c r="H1635" s="159">
        <v>0</v>
      </c>
      <c r="I1635" s="159">
        <v>117411.6</v>
      </c>
      <c r="J1635" s="159">
        <v>20.7</v>
      </c>
      <c r="K1635" t="str">
        <f>VLOOKUP($C1635,Lists!$C$3:$M$118,7,FALSE)</f>
        <v>Spirits</v>
      </c>
      <c r="S1635" s="4"/>
      <c r="T1635" s="4"/>
      <c r="U1635" s="5"/>
      <c r="V1635" s="5"/>
    </row>
    <row r="1636" spans="1:22" x14ac:dyDescent="0.25">
      <c r="A1636" s="158" t="s">
        <v>486</v>
      </c>
      <c r="B1636" s="158" t="s">
        <v>108</v>
      </c>
      <c r="C1636" s="158" t="s">
        <v>41</v>
      </c>
      <c r="D1636" s="158" t="s">
        <v>42</v>
      </c>
      <c r="E1636" s="157">
        <v>42</v>
      </c>
      <c r="F1636" s="158" t="s">
        <v>525</v>
      </c>
      <c r="G1636" s="159">
        <v>324463.44</v>
      </c>
      <c r="H1636" s="159">
        <v>0</v>
      </c>
      <c r="I1636" s="159">
        <v>136093.44</v>
      </c>
      <c r="J1636" s="159">
        <v>41.9</v>
      </c>
      <c r="K1636" t="str">
        <f>VLOOKUP($C1636,Lists!$C$3:$M$118,7,FALSE)</f>
        <v>Alcomix</v>
      </c>
      <c r="S1636" s="4"/>
      <c r="T1636" s="4"/>
      <c r="U1636" s="5"/>
      <c r="V1636" s="5"/>
    </row>
    <row r="1637" spans="1:22" x14ac:dyDescent="0.25">
      <c r="A1637" s="158" t="s">
        <v>486</v>
      </c>
      <c r="B1637" s="158" t="s">
        <v>108</v>
      </c>
      <c r="C1637" s="158" t="s">
        <v>10</v>
      </c>
      <c r="D1637" s="158" t="s">
        <v>11</v>
      </c>
      <c r="E1637" s="157">
        <v>251</v>
      </c>
      <c r="F1637" s="158" t="s">
        <v>525</v>
      </c>
      <c r="G1637" s="159">
        <v>1939055.32</v>
      </c>
      <c r="H1637" s="159">
        <v>0</v>
      </c>
      <c r="I1637" s="159">
        <v>813320.32</v>
      </c>
      <c r="J1637" s="159">
        <v>41.9</v>
      </c>
      <c r="K1637" t="str">
        <f>VLOOKUP($C1637,Lists!$C$3:$M$118,7,FALSE)</f>
        <v>Alcomix</v>
      </c>
      <c r="S1637" s="4"/>
      <c r="T1637" s="4"/>
      <c r="U1637" s="5"/>
      <c r="V1637" s="5"/>
    </row>
    <row r="1638" spans="1:22" x14ac:dyDescent="0.25">
      <c r="A1638" s="158" t="s">
        <v>486</v>
      </c>
      <c r="B1638" s="158" t="s">
        <v>108</v>
      </c>
      <c r="C1638" s="158" t="s">
        <v>71</v>
      </c>
      <c r="D1638" s="158" t="s">
        <v>553</v>
      </c>
      <c r="E1638" s="157">
        <v>42</v>
      </c>
      <c r="F1638" s="158" t="s">
        <v>525</v>
      </c>
      <c r="G1638" s="159">
        <v>324463.44</v>
      </c>
      <c r="H1638" s="159">
        <v>0</v>
      </c>
      <c r="I1638" s="159">
        <v>136093.44</v>
      </c>
      <c r="J1638" s="159">
        <v>41.9</v>
      </c>
      <c r="K1638" t="str">
        <f>VLOOKUP($C1638,Lists!$C$3:$M$118,7,FALSE)</f>
        <v>Alcomix</v>
      </c>
      <c r="S1638" s="4"/>
      <c r="T1638" s="4"/>
      <c r="U1638" s="5"/>
      <c r="V1638" s="5"/>
    </row>
    <row r="1639" spans="1:22" x14ac:dyDescent="0.25">
      <c r="A1639" s="158" t="s">
        <v>486</v>
      </c>
      <c r="B1639" s="158" t="s">
        <v>108</v>
      </c>
      <c r="C1639" s="158" t="s">
        <v>12</v>
      </c>
      <c r="D1639" s="158" t="s">
        <v>13</v>
      </c>
      <c r="E1639" s="157">
        <v>3816</v>
      </c>
      <c r="F1639" s="158" t="s">
        <v>525</v>
      </c>
      <c r="G1639" s="159">
        <v>24566530.32</v>
      </c>
      <c r="H1639" s="159">
        <v>0</v>
      </c>
      <c r="I1639" s="159">
        <v>10736392.32</v>
      </c>
      <c r="J1639" s="159">
        <v>43.7</v>
      </c>
      <c r="K1639" t="str">
        <f>VLOOKUP($C1639,Lists!$C$3:$M$118,7,FALSE)</f>
        <v>Beers</v>
      </c>
      <c r="S1639" s="4"/>
      <c r="T1639" s="4"/>
      <c r="U1639" s="5"/>
      <c r="V1639" s="5"/>
    </row>
    <row r="1640" spans="1:22" x14ac:dyDescent="0.25">
      <c r="A1640" s="158" t="s">
        <v>486</v>
      </c>
      <c r="B1640" s="158" t="s">
        <v>108</v>
      </c>
      <c r="C1640" s="158" t="s">
        <v>14</v>
      </c>
      <c r="D1640" s="158" t="s">
        <v>15</v>
      </c>
      <c r="E1640" s="157">
        <v>1536</v>
      </c>
      <c r="F1640" s="158" t="s">
        <v>525</v>
      </c>
      <c r="G1640" s="159">
        <v>11866091.52</v>
      </c>
      <c r="H1640" s="159">
        <v>0</v>
      </c>
      <c r="I1640" s="159">
        <v>5859747.8399999999</v>
      </c>
      <c r="J1640" s="159">
        <v>49.4</v>
      </c>
      <c r="K1640" t="str">
        <f>VLOOKUP($C1640,Lists!$C$3:$M$118,7,FALSE)</f>
        <v>Beers</v>
      </c>
      <c r="S1640" s="4"/>
      <c r="T1640" s="4"/>
      <c r="U1640" s="5"/>
      <c r="V1640" s="5"/>
    </row>
    <row r="1641" spans="1:22" x14ac:dyDescent="0.25">
      <c r="A1641" s="158" t="s">
        <v>486</v>
      </c>
      <c r="B1641" s="158" t="s">
        <v>108</v>
      </c>
      <c r="C1641" s="158" t="s">
        <v>54</v>
      </c>
      <c r="D1641" s="158" t="s">
        <v>55</v>
      </c>
      <c r="E1641" s="157">
        <v>100</v>
      </c>
      <c r="F1641" s="158" t="s">
        <v>525</v>
      </c>
      <c r="G1641" s="159">
        <v>772532</v>
      </c>
      <c r="H1641" s="159">
        <v>0</v>
      </c>
      <c r="I1641" s="159">
        <v>405557</v>
      </c>
      <c r="J1641" s="159">
        <v>52.5</v>
      </c>
      <c r="K1641" t="str">
        <f>VLOOKUP($C1641,Lists!$C$3:$M$118,7,FALSE)</f>
        <v>Beers</v>
      </c>
      <c r="S1641" s="4"/>
      <c r="T1641" s="4"/>
      <c r="U1641" s="5"/>
      <c r="V1641" s="5"/>
    </row>
    <row r="1642" spans="1:22" x14ac:dyDescent="0.25">
      <c r="A1642" s="158" t="s">
        <v>486</v>
      </c>
      <c r="B1642" s="158" t="s">
        <v>108</v>
      </c>
      <c r="C1642" s="158" t="s">
        <v>16</v>
      </c>
      <c r="D1642" s="158" t="s">
        <v>17</v>
      </c>
      <c r="E1642" s="157">
        <v>1848</v>
      </c>
      <c r="F1642" s="158" t="s">
        <v>525</v>
      </c>
      <c r="G1642" s="159">
        <v>14276391.359999999</v>
      </c>
      <c r="H1642" s="159">
        <v>0</v>
      </c>
      <c r="I1642" s="159">
        <v>7050009.1200000001</v>
      </c>
      <c r="J1642" s="159">
        <v>49.4</v>
      </c>
      <c r="K1642" t="str">
        <f>VLOOKUP($C1642,Lists!$C$3:$M$118,7,FALSE)</f>
        <v>Beers</v>
      </c>
      <c r="S1642" s="4"/>
      <c r="T1642" s="4"/>
      <c r="U1642" s="5"/>
      <c r="V1642" s="5"/>
    </row>
    <row r="1643" spans="1:22" x14ac:dyDescent="0.25">
      <c r="A1643" s="158" t="s">
        <v>486</v>
      </c>
      <c r="B1643" s="158" t="s">
        <v>108</v>
      </c>
      <c r="C1643" s="158" t="s">
        <v>56</v>
      </c>
      <c r="D1643" s="158" t="s">
        <v>57</v>
      </c>
      <c r="E1643" s="157">
        <v>50</v>
      </c>
      <c r="F1643" s="158" t="s">
        <v>525</v>
      </c>
      <c r="G1643" s="159">
        <v>386266</v>
      </c>
      <c r="H1643" s="159">
        <v>0</v>
      </c>
      <c r="I1643" s="159">
        <v>202778.5</v>
      </c>
      <c r="J1643" s="159">
        <v>52.5</v>
      </c>
      <c r="K1643" t="str">
        <f>VLOOKUP($C1643,Lists!$C$3:$M$118,7,FALSE)</f>
        <v>Beers</v>
      </c>
      <c r="S1643" s="4"/>
      <c r="T1643" s="4"/>
      <c r="U1643" s="5"/>
      <c r="V1643" s="5"/>
    </row>
    <row r="1644" spans="1:22" x14ac:dyDescent="0.25">
      <c r="A1644" s="158" t="s">
        <v>486</v>
      </c>
      <c r="B1644" s="158" t="s">
        <v>108</v>
      </c>
      <c r="C1644" s="158" t="s">
        <v>18</v>
      </c>
      <c r="D1644" s="158" t="s">
        <v>19</v>
      </c>
      <c r="E1644" s="157">
        <v>408</v>
      </c>
      <c r="F1644" s="158" t="s">
        <v>525</v>
      </c>
      <c r="G1644" s="159">
        <v>4202575.4400000004</v>
      </c>
      <c r="H1644" s="159">
        <v>0</v>
      </c>
      <c r="I1644" s="159">
        <v>2179099.44</v>
      </c>
      <c r="J1644" s="159">
        <v>51.9</v>
      </c>
      <c r="K1644" t="str">
        <f>VLOOKUP($C1644,Lists!$C$3:$M$118,7,FALSE)</f>
        <v>Beers</v>
      </c>
      <c r="S1644" s="4"/>
      <c r="T1644" s="4"/>
      <c r="U1644" s="5"/>
      <c r="V1644" s="5"/>
    </row>
    <row r="1645" spans="1:22" x14ac:dyDescent="0.25">
      <c r="A1645" s="158" t="s">
        <v>486</v>
      </c>
      <c r="B1645" s="158" t="s">
        <v>108</v>
      </c>
      <c r="C1645" s="158" t="s">
        <v>20</v>
      </c>
      <c r="D1645" s="158" t="s">
        <v>21</v>
      </c>
      <c r="E1645" s="157">
        <v>1224</v>
      </c>
      <c r="F1645" s="158" t="s">
        <v>525</v>
      </c>
      <c r="G1645" s="159">
        <v>4844628.72</v>
      </c>
      <c r="H1645" s="159">
        <v>0</v>
      </c>
      <c r="I1645" s="159">
        <v>2035915.92</v>
      </c>
      <c r="J1645" s="159">
        <v>42</v>
      </c>
      <c r="K1645" t="str">
        <f>VLOOKUP($C1645,Lists!$C$3:$M$118,7,FALSE)</f>
        <v>COKE_RGB</v>
      </c>
      <c r="S1645" s="4"/>
      <c r="T1645" s="4"/>
      <c r="U1645" s="5"/>
      <c r="V1645" s="5"/>
    </row>
    <row r="1646" spans="1:22" x14ac:dyDescent="0.25">
      <c r="A1646" s="158" t="s">
        <v>486</v>
      </c>
      <c r="B1646" s="158" t="s">
        <v>108</v>
      </c>
      <c r="C1646" s="158" t="s">
        <v>58</v>
      </c>
      <c r="D1646" s="158" t="s">
        <v>537</v>
      </c>
      <c r="E1646" s="157">
        <v>144</v>
      </c>
      <c r="F1646" s="158" t="s">
        <v>525</v>
      </c>
      <c r="G1646" s="159">
        <v>348426.72</v>
      </c>
      <c r="H1646" s="159">
        <v>0</v>
      </c>
      <c r="I1646" s="159">
        <v>193042.08</v>
      </c>
      <c r="J1646" s="159">
        <v>55.4</v>
      </c>
      <c r="K1646" t="str">
        <f>VLOOKUP($C1646,Lists!$C$3:$M$118,7,FALSE)</f>
        <v>SOBO_PET</v>
      </c>
      <c r="S1646" s="4"/>
      <c r="T1646" s="4"/>
      <c r="U1646" s="5"/>
      <c r="V1646" s="5"/>
    </row>
    <row r="1647" spans="1:22" x14ac:dyDescent="0.25">
      <c r="A1647" s="158" t="s">
        <v>486</v>
      </c>
      <c r="B1647" s="158" t="s">
        <v>108</v>
      </c>
      <c r="C1647" s="158" t="s">
        <v>43</v>
      </c>
      <c r="D1647" s="158" t="s">
        <v>44</v>
      </c>
      <c r="E1647" s="157">
        <v>564</v>
      </c>
      <c r="F1647" s="158" t="s">
        <v>525</v>
      </c>
      <c r="G1647" s="159">
        <v>4357080.4800000004</v>
      </c>
      <c r="H1647" s="159">
        <v>0</v>
      </c>
      <c r="I1647" s="159">
        <v>2151626.16</v>
      </c>
      <c r="J1647" s="159">
        <v>49.4</v>
      </c>
      <c r="K1647" t="str">
        <f>VLOOKUP($C1647,Lists!$C$3:$M$118,7,FALSE)</f>
        <v>Beers</v>
      </c>
      <c r="S1647" s="4"/>
      <c r="T1647" s="4"/>
      <c r="U1647" s="5"/>
      <c r="V1647" s="5"/>
    </row>
    <row r="1648" spans="1:22" x14ac:dyDescent="0.25">
      <c r="A1648" s="158" t="s">
        <v>486</v>
      </c>
      <c r="B1648" s="158" t="s">
        <v>108</v>
      </c>
      <c r="C1648" s="158" t="s">
        <v>59</v>
      </c>
      <c r="D1648" s="158" t="s">
        <v>60</v>
      </c>
      <c r="E1648" s="157">
        <v>168</v>
      </c>
      <c r="F1648" s="158" t="s">
        <v>525</v>
      </c>
      <c r="G1648" s="159">
        <v>664949.04</v>
      </c>
      <c r="H1648" s="159">
        <v>0</v>
      </c>
      <c r="I1648" s="159">
        <v>270745.44</v>
      </c>
      <c r="J1648" s="159">
        <v>40.700000000000003</v>
      </c>
      <c r="K1648" t="str">
        <f>VLOOKUP($C1648,Lists!$C$3:$M$118,7,FALSE)</f>
        <v>COKE_RGB</v>
      </c>
      <c r="S1648" s="4"/>
      <c r="T1648" s="4"/>
      <c r="U1648" s="5"/>
      <c r="V1648" s="5"/>
    </row>
    <row r="1649" spans="1:22" x14ac:dyDescent="0.25">
      <c r="A1649" s="158" t="s">
        <v>486</v>
      </c>
      <c r="B1649" s="158" t="s">
        <v>108</v>
      </c>
      <c r="C1649" s="158" t="s">
        <v>22</v>
      </c>
      <c r="D1649" s="158" t="s">
        <v>23</v>
      </c>
      <c r="E1649" s="157">
        <v>324</v>
      </c>
      <c r="F1649" s="158" t="s">
        <v>525</v>
      </c>
      <c r="G1649" s="159">
        <v>1282401.72</v>
      </c>
      <c r="H1649" s="159">
        <v>0</v>
      </c>
      <c r="I1649" s="159">
        <v>516637.45</v>
      </c>
      <c r="J1649" s="159">
        <v>40.299999999999997</v>
      </c>
      <c r="K1649" t="str">
        <f>VLOOKUP($C1649,Lists!$C$3:$M$118,7,FALSE)</f>
        <v>COKE_RGB</v>
      </c>
      <c r="S1649" s="4"/>
      <c r="T1649" s="4"/>
      <c r="U1649" s="5"/>
      <c r="V1649" s="5"/>
    </row>
    <row r="1650" spans="1:22" x14ac:dyDescent="0.25">
      <c r="A1650" s="158" t="s">
        <v>486</v>
      </c>
      <c r="B1650" s="158" t="s">
        <v>108</v>
      </c>
      <c r="C1650" s="158" t="s">
        <v>24</v>
      </c>
      <c r="D1650" s="158" t="s">
        <v>25</v>
      </c>
      <c r="E1650" s="157">
        <v>804</v>
      </c>
      <c r="F1650" s="158" t="s">
        <v>525</v>
      </c>
      <c r="G1650" s="159">
        <v>5175967.08</v>
      </c>
      <c r="H1650" s="159">
        <v>0</v>
      </c>
      <c r="I1650" s="159">
        <v>2492110.56</v>
      </c>
      <c r="J1650" s="159">
        <v>48.1</v>
      </c>
      <c r="K1650" t="str">
        <f>VLOOKUP($C1650,Lists!$C$3:$M$118,7,FALSE)</f>
        <v>Beers</v>
      </c>
      <c r="S1650" s="4"/>
      <c r="T1650" s="4"/>
      <c r="U1650" s="5"/>
      <c r="V1650" s="5"/>
    </row>
    <row r="1651" spans="1:22" x14ac:dyDescent="0.25">
      <c r="A1651" s="158" t="s">
        <v>486</v>
      </c>
      <c r="B1651" s="158" t="s">
        <v>108</v>
      </c>
      <c r="C1651" s="158" t="s">
        <v>29</v>
      </c>
      <c r="D1651" s="158" t="s">
        <v>30</v>
      </c>
      <c r="E1651" s="157">
        <v>40</v>
      </c>
      <c r="F1651" s="158" t="s">
        <v>525</v>
      </c>
      <c r="G1651" s="159">
        <v>1455375.6</v>
      </c>
      <c r="H1651" s="159">
        <v>0</v>
      </c>
      <c r="I1651" s="159">
        <v>415375.6</v>
      </c>
      <c r="J1651" s="159">
        <v>28.5</v>
      </c>
      <c r="K1651" t="str">
        <f>VLOOKUP($C1651,Lists!$C$3:$M$118,7,FALSE)</f>
        <v>Spirits</v>
      </c>
      <c r="S1651" s="4"/>
      <c r="T1651" s="4"/>
      <c r="U1651" s="5"/>
      <c r="V1651" s="5"/>
    </row>
    <row r="1652" spans="1:22" x14ac:dyDescent="0.25">
      <c r="A1652" s="158" t="s">
        <v>486</v>
      </c>
      <c r="B1652" s="158" t="s">
        <v>108</v>
      </c>
      <c r="C1652" s="158" t="s">
        <v>33</v>
      </c>
      <c r="D1652" s="158" t="s">
        <v>34</v>
      </c>
      <c r="E1652" s="157">
        <v>5</v>
      </c>
      <c r="F1652" s="158" t="s">
        <v>525</v>
      </c>
      <c r="G1652" s="159">
        <v>278452</v>
      </c>
      <c r="H1652" s="159">
        <v>0</v>
      </c>
      <c r="I1652" s="159">
        <v>53452</v>
      </c>
      <c r="J1652" s="159">
        <v>19.2</v>
      </c>
      <c r="K1652" t="str">
        <f>VLOOKUP($C1652,Lists!$C$3:$M$118,7,FALSE)</f>
        <v>Spirits</v>
      </c>
      <c r="S1652" s="4"/>
      <c r="T1652" s="4"/>
      <c r="U1652" s="5"/>
      <c r="V1652" s="5"/>
    </row>
    <row r="1653" spans="1:22" x14ac:dyDescent="0.25">
      <c r="A1653" s="158" t="s">
        <v>486</v>
      </c>
      <c r="B1653" s="158" t="s">
        <v>108</v>
      </c>
      <c r="C1653" s="158" t="s">
        <v>37</v>
      </c>
      <c r="D1653" s="158" t="s">
        <v>38</v>
      </c>
      <c r="E1653" s="157">
        <v>252</v>
      </c>
      <c r="F1653" s="158" t="s">
        <v>525</v>
      </c>
      <c r="G1653" s="159">
        <v>831186.72</v>
      </c>
      <c r="H1653" s="159">
        <v>0</v>
      </c>
      <c r="I1653" s="159">
        <v>389382.84</v>
      </c>
      <c r="J1653" s="159">
        <v>46.8</v>
      </c>
      <c r="K1653" t="str">
        <f>VLOOKUP($C1653,Lists!$C$3:$M$118,7,FALSE)</f>
        <v>SOBO_RGB</v>
      </c>
      <c r="S1653" s="4"/>
      <c r="T1653" s="4"/>
      <c r="U1653" s="5"/>
      <c r="V1653" s="5"/>
    </row>
    <row r="1654" spans="1:22" x14ac:dyDescent="0.25">
      <c r="A1654" s="158" t="s">
        <v>486</v>
      </c>
      <c r="B1654" s="158" t="s">
        <v>108</v>
      </c>
      <c r="C1654" s="158" t="s">
        <v>39</v>
      </c>
      <c r="D1654" s="158" t="s">
        <v>40</v>
      </c>
      <c r="E1654" s="157">
        <v>168</v>
      </c>
      <c r="F1654" s="158" t="s">
        <v>525</v>
      </c>
      <c r="G1654" s="159">
        <v>554124.48</v>
      </c>
      <c r="H1654" s="159">
        <v>0</v>
      </c>
      <c r="I1654" s="159">
        <v>257293.68</v>
      </c>
      <c r="J1654" s="159">
        <v>46.4</v>
      </c>
      <c r="K1654" t="str">
        <f>VLOOKUP($C1654,Lists!$C$3:$M$118,7,FALSE)</f>
        <v>SOBO_RGB</v>
      </c>
      <c r="S1654" s="4"/>
      <c r="T1654" s="4"/>
      <c r="U1654" s="5"/>
      <c r="V1654" s="5"/>
    </row>
    <row r="1655" spans="1:22" x14ac:dyDescent="0.25">
      <c r="A1655" s="158" t="s">
        <v>486</v>
      </c>
      <c r="B1655" s="158" t="s">
        <v>108</v>
      </c>
      <c r="C1655" s="158" t="s">
        <v>45</v>
      </c>
      <c r="D1655" s="158" t="s">
        <v>46</v>
      </c>
      <c r="E1655" s="157">
        <v>168</v>
      </c>
      <c r="F1655" s="158" t="s">
        <v>525</v>
      </c>
      <c r="G1655" s="159">
        <v>664949.04</v>
      </c>
      <c r="H1655" s="159">
        <v>0</v>
      </c>
      <c r="I1655" s="159">
        <v>327510.96000000002</v>
      </c>
      <c r="J1655" s="159">
        <v>49.3</v>
      </c>
      <c r="K1655" t="str">
        <f>VLOOKUP($C1655,Lists!$C$3:$M$118,7,FALSE)</f>
        <v>SOBO_RGB</v>
      </c>
      <c r="S1655" s="4"/>
      <c r="T1655" s="4"/>
      <c r="U1655" s="5"/>
      <c r="V1655" s="5"/>
    </row>
    <row r="1656" spans="1:22" x14ac:dyDescent="0.25">
      <c r="A1656" s="158" t="s">
        <v>486</v>
      </c>
      <c r="B1656" s="158" t="s">
        <v>108</v>
      </c>
      <c r="C1656" s="158" t="s">
        <v>47</v>
      </c>
      <c r="D1656" s="158" t="s">
        <v>48</v>
      </c>
      <c r="E1656" s="157">
        <v>168</v>
      </c>
      <c r="F1656" s="158" t="s">
        <v>525</v>
      </c>
      <c r="G1656" s="159">
        <v>664949.04</v>
      </c>
      <c r="H1656" s="159">
        <v>0</v>
      </c>
      <c r="I1656" s="159">
        <v>290191.44</v>
      </c>
      <c r="J1656" s="159">
        <v>43.6</v>
      </c>
      <c r="K1656" t="str">
        <f>VLOOKUP($C1656,Lists!$C$3:$M$118,7,FALSE)</f>
        <v>COKE_RGB</v>
      </c>
      <c r="S1656" s="4"/>
      <c r="T1656" s="4"/>
      <c r="U1656" s="5"/>
      <c r="V1656" s="5"/>
    </row>
    <row r="1657" spans="1:22" x14ac:dyDescent="0.25">
      <c r="A1657" s="158" t="s">
        <v>705</v>
      </c>
      <c r="B1657" s="158" t="s">
        <v>706</v>
      </c>
      <c r="C1657" s="158" t="s">
        <v>29</v>
      </c>
      <c r="D1657" s="158" t="s">
        <v>30</v>
      </c>
      <c r="E1657" s="157">
        <v>10</v>
      </c>
      <c r="F1657" s="158" t="s">
        <v>525</v>
      </c>
      <c r="G1657" s="159">
        <v>370708.9</v>
      </c>
      <c r="H1657" s="159">
        <v>0</v>
      </c>
      <c r="I1657" s="159">
        <v>110708.9</v>
      </c>
      <c r="J1657" s="159">
        <v>29.9</v>
      </c>
      <c r="K1657" t="str">
        <f>VLOOKUP($C1657,Lists!$C$3:$M$118,7,FALSE)</f>
        <v>Spirits</v>
      </c>
      <c r="S1657" s="4"/>
      <c r="T1657" s="4"/>
      <c r="U1657" s="5"/>
      <c r="V1657" s="5"/>
    </row>
    <row r="1658" spans="1:22" x14ac:dyDescent="0.25">
      <c r="A1658" s="158" t="s">
        <v>705</v>
      </c>
      <c r="B1658" s="158" t="s">
        <v>706</v>
      </c>
      <c r="C1658" s="158" t="s">
        <v>33</v>
      </c>
      <c r="D1658" s="158" t="s">
        <v>34</v>
      </c>
      <c r="E1658" s="157">
        <v>5</v>
      </c>
      <c r="F1658" s="158" t="s">
        <v>525</v>
      </c>
      <c r="G1658" s="159">
        <v>283705.8</v>
      </c>
      <c r="H1658" s="159">
        <v>0</v>
      </c>
      <c r="I1658" s="159">
        <v>58705.8</v>
      </c>
      <c r="J1658" s="159">
        <v>20.7</v>
      </c>
      <c r="K1658" t="str">
        <f>VLOOKUP($C1658,Lists!$C$3:$M$118,7,FALSE)</f>
        <v>Spirits</v>
      </c>
      <c r="S1658" s="4"/>
      <c r="T1658" s="4"/>
      <c r="U1658" s="5"/>
      <c r="V1658" s="5"/>
    </row>
    <row r="1659" spans="1:22" x14ac:dyDescent="0.25">
      <c r="A1659" s="158" t="s">
        <v>705</v>
      </c>
      <c r="B1659" s="158" t="s">
        <v>706</v>
      </c>
      <c r="C1659" s="158" t="s">
        <v>49</v>
      </c>
      <c r="D1659" s="158" t="s">
        <v>50</v>
      </c>
      <c r="E1659" s="157">
        <v>36</v>
      </c>
      <c r="F1659" s="158" t="s">
        <v>525</v>
      </c>
      <c r="G1659" s="159">
        <v>360985.68</v>
      </c>
      <c r="H1659" s="159">
        <v>0</v>
      </c>
      <c r="I1659" s="159">
        <v>114973.92</v>
      </c>
      <c r="J1659" s="159">
        <v>31.8</v>
      </c>
      <c r="K1659" t="str">
        <f>VLOOKUP($C1659,Lists!$C$3:$M$118,7,FALSE)</f>
        <v>Squash</v>
      </c>
      <c r="S1659" s="4"/>
      <c r="T1659" s="4"/>
      <c r="U1659" s="5"/>
      <c r="V1659" s="5"/>
    </row>
    <row r="1660" spans="1:22" x14ac:dyDescent="0.25">
      <c r="A1660" s="158" t="s">
        <v>705</v>
      </c>
      <c r="B1660" s="158" t="s">
        <v>706</v>
      </c>
      <c r="C1660" s="158" t="s">
        <v>51</v>
      </c>
      <c r="D1660" s="158" t="s">
        <v>52</v>
      </c>
      <c r="E1660" s="157">
        <v>36</v>
      </c>
      <c r="F1660" s="158" t="s">
        <v>525</v>
      </c>
      <c r="G1660" s="159">
        <v>360985.68</v>
      </c>
      <c r="H1660" s="159">
        <v>0</v>
      </c>
      <c r="I1660" s="159">
        <v>114013.08</v>
      </c>
      <c r="J1660" s="159">
        <v>31.6</v>
      </c>
      <c r="K1660" t="str">
        <f>VLOOKUP($C1660,Lists!$C$3:$M$118,7,FALSE)</f>
        <v>Squash</v>
      </c>
      <c r="S1660" s="4"/>
      <c r="T1660" s="4"/>
      <c r="U1660" s="5"/>
      <c r="V1660" s="5"/>
    </row>
    <row r="1661" spans="1:22" x14ac:dyDescent="0.25">
      <c r="A1661" s="158" t="s">
        <v>707</v>
      </c>
      <c r="B1661" s="158" t="s">
        <v>708</v>
      </c>
      <c r="C1661" s="158" t="s">
        <v>65</v>
      </c>
      <c r="D1661" s="158" t="s">
        <v>66</v>
      </c>
      <c r="E1661" s="157">
        <v>-1</v>
      </c>
      <c r="F1661" s="158" t="s">
        <v>525</v>
      </c>
      <c r="G1661" s="159">
        <v>-5013.5200000000004</v>
      </c>
      <c r="H1661" s="159">
        <v>0</v>
      </c>
      <c r="I1661" s="159">
        <v>-978.46</v>
      </c>
      <c r="J1661" s="159">
        <v>19.5</v>
      </c>
      <c r="K1661" t="str">
        <f>VLOOKUP($C1661,Lists!$C$3:$M$118,7,FALSE)</f>
        <v>Squash</v>
      </c>
      <c r="S1661" s="4"/>
      <c r="T1661" s="4"/>
      <c r="U1661" s="5"/>
      <c r="V1661" s="5"/>
    </row>
    <row r="1662" spans="1:22" x14ac:dyDescent="0.25">
      <c r="A1662" s="158" t="s">
        <v>487</v>
      </c>
      <c r="B1662" s="158" t="s">
        <v>112</v>
      </c>
      <c r="C1662" s="158" t="s">
        <v>10</v>
      </c>
      <c r="D1662" s="158" t="s">
        <v>11</v>
      </c>
      <c r="E1662" s="157">
        <v>168</v>
      </c>
      <c r="F1662" s="158" t="s">
        <v>525</v>
      </c>
      <c r="G1662" s="159">
        <v>1297853.76</v>
      </c>
      <c r="H1662" s="159">
        <v>0</v>
      </c>
      <c r="I1662" s="159">
        <v>544373.76000000001</v>
      </c>
      <c r="J1662" s="159">
        <v>41.9</v>
      </c>
      <c r="K1662" t="str">
        <f>VLOOKUP($C1662,Lists!$C$3:$M$118,7,FALSE)</f>
        <v>Alcomix</v>
      </c>
      <c r="S1662" s="4"/>
      <c r="T1662" s="4"/>
      <c r="U1662" s="5"/>
      <c r="V1662" s="5"/>
    </row>
    <row r="1663" spans="1:22" x14ac:dyDescent="0.25">
      <c r="A1663" s="158" t="s">
        <v>487</v>
      </c>
      <c r="B1663" s="158" t="s">
        <v>112</v>
      </c>
      <c r="C1663" s="158" t="s">
        <v>12</v>
      </c>
      <c r="D1663" s="158" t="s">
        <v>13</v>
      </c>
      <c r="E1663" s="157">
        <v>4280</v>
      </c>
      <c r="F1663" s="158" t="s">
        <v>525</v>
      </c>
      <c r="G1663" s="159">
        <v>27553655.600000001</v>
      </c>
      <c r="H1663" s="159">
        <v>0</v>
      </c>
      <c r="I1663" s="159">
        <v>12041865.6</v>
      </c>
      <c r="J1663" s="159">
        <v>43.7</v>
      </c>
      <c r="K1663" t="str">
        <f>VLOOKUP($C1663,Lists!$C$3:$M$118,7,FALSE)</f>
        <v>Beers</v>
      </c>
      <c r="S1663" s="4"/>
      <c r="T1663" s="4"/>
      <c r="U1663" s="5"/>
      <c r="V1663" s="5"/>
    </row>
    <row r="1664" spans="1:22" x14ac:dyDescent="0.25">
      <c r="A1664" s="158" t="s">
        <v>487</v>
      </c>
      <c r="B1664" s="158" t="s">
        <v>112</v>
      </c>
      <c r="C1664" s="158" t="s">
        <v>14</v>
      </c>
      <c r="D1664" s="158" t="s">
        <v>15</v>
      </c>
      <c r="E1664" s="157">
        <v>1764</v>
      </c>
      <c r="F1664" s="158" t="s">
        <v>525</v>
      </c>
      <c r="G1664" s="159">
        <v>13627464.48</v>
      </c>
      <c r="H1664" s="159">
        <v>0</v>
      </c>
      <c r="I1664" s="159">
        <v>6729554.1600000001</v>
      </c>
      <c r="J1664" s="159">
        <v>49.4</v>
      </c>
      <c r="K1664" t="str">
        <f>VLOOKUP($C1664,Lists!$C$3:$M$118,7,FALSE)</f>
        <v>Beers</v>
      </c>
      <c r="S1664" s="4"/>
      <c r="T1664" s="4"/>
      <c r="U1664" s="5"/>
      <c r="V1664" s="5"/>
    </row>
    <row r="1665" spans="1:22" x14ac:dyDescent="0.25">
      <c r="A1665" s="158" t="s">
        <v>487</v>
      </c>
      <c r="B1665" s="158" t="s">
        <v>112</v>
      </c>
      <c r="C1665" s="158" t="s">
        <v>54</v>
      </c>
      <c r="D1665" s="158" t="s">
        <v>55</v>
      </c>
      <c r="E1665" s="157">
        <v>300</v>
      </c>
      <c r="F1665" s="158" t="s">
        <v>525</v>
      </c>
      <c r="G1665" s="159">
        <v>2317596</v>
      </c>
      <c r="H1665" s="159">
        <v>0</v>
      </c>
      <c r="I1665" s="159">
        <v>1216671</v>
      </c>
      <c r="J1665" s="159">
        <v>52.5</v>
      </c>
      <c r="K1665" t="str">
        <f>VLOOKUP($C1665,Lists!$C$3:$M$118,7,FALSE)</f>
        <v>Beers</v>
      </c>
      <c r="S1665" s="4"/>
      <c r="T1665" s="4"/>
      <c r="U1665" s="5"/>
      <c r="V1665" s="5"/>
    </row>
    <row r="1666" spans="1:22" x14ac:dyDescent="0.25">
      <c r="A1666" s="158" t="s">
        <v>487</v>
      </c>
      <c r="B1666" s="158" t="s">
        <v>112</v>
      </c>
      <c r="C1666" s="158" t="s">
        <v>16</v>
      </c>
      <c r="D1666" s="158" t="s">
        <v>17</v>
      </c>
      <c r="E1666" s="157">
        <v>3694</v>
      </c>
      <c r="F1666" s="158" t="s">
        <v>525</v>
      </c>
      <c r="G1666" s="159">
        <v>28537332.079999998</v>
      </c>
      <c r="H1666" s="159">
        <v>0</v>
      </c>
      <c r="I1666" s="159">
        <v>14092388.359999999</v>
      </c>
      <c r="J1666" s="159">
        <v>49.4</v>
      </c>
      <c r="K1666" t="str">
        <f>VLOOKUP($C1666,Lists!$C$3:$M$118,7,FALSE)</f>
        <v>Beers</v>
      </c>
      <c r="S1666" s="4"/>
      <c r="T1666" s="4"/>
      <c r="U1666" s="5"/>
      <c r="V1666" s="5"/>
    </row>
    <row r="1667" spans="1:22" x14ac:dyDescent="0.25">
      <c r="A1667" s="158" t="s">
        <v>487</v>
      </c>
      <c r="B1667" s="158" t="s">
        <v>112</v>
      </c>
      <c r="C1667" s="158" t="s">
        <v>56</v>
      </c>
      <c r="D1667" s="158" t="s">
        <v>57</v>
      </c>
      <c r="E1667" s="157">
        <v>250</v>
      </c>
      <c r="F1667" s="158" t="s">
        <v>525</v>
      </c>
      <c r="G1667" s="159">
        <v>1931330</v>
      </c>
      <c r="H1667" s="159">
        <v>0</v>
      </c>
      <c r="I1667" s="159">
        <v>1013892.5</v>
      </c>
      <c r="J1667" s="159">
        <v>52.5</v>
      </c>
      <c r="K1667" t="str">
        <f>VLOOKUP($C1667,Lists!$C$3:$M$118,7,FALSE)</f>
        <v>Beers</v>
      </c>
      <c r="S1667" s="4"/>
      <c r="T1667" s="4"/>
      <c r="U1667" s="5"/>
      <c r="V1667" s="5"/>
    </row>
    <row r="1668" spans="1:22" x14ac:dyDescent="0.25">
      <c r="A1668" s="158" t="s">
        <v>487</v>
      </c>
      <c r="B1668" s="158" t="s">
        <v>112</v>
      </c>
      <c r="C1668" s="158" t="s">
        <v>18</v>
      </c>
      <c r="D1668" s="158" t="s">
        <v>19</v>
      </c>
      <c r="E1668" s="157">
        <v>379</v>
      </c>
      <c r="F1668" s="158" t="s">
        <v>525</v>
      </c>
      <c r="G1668" s="159">
        <v>3903862.97</v>
      </c>
      <c r="H1668" s="159">
        <v>0</v>
      </c>
      <c r="I1668" s="159">
        <v>2024212.47</v>
      </c>
      <c r="J1668" s="159">
        <v>51.9</v>
      </c>
      <c r="K1668" t="str">
        <f>VLOOKUP($C1668,Lists!$C$3:$M$118,7,FALSE)</f>
        <v>Beers</v>
      </c>
      <c r="S1668" s="4"/>
      <c r="T1668" s="4"/>
      <c r="U1668" s="5"/>
      <c r="V1668" s="5"/>
    </row>
    <row r="1669" spans="1:22" x14ac:dyDescent="0.25">
      <c r="A1669" s="158" t="s">
        <v>487</v>
      </c>
      <c r="B1669" s="158" t="s">
        <v>112</v>
      </c>
      <c r="C1669" s="158" t="s">
        <v>20</v>
      </c>
      <c r="D1669" s="158" t="s">
        <v>21</v>
      </c>
      <c r="E1669" s="157">
        <v>2182</v>
      </c>
      <c r="F1669" s="158" t="s">
        <v>525</v>
      </c>
      <c r="G1669" s="159">
        <v>8636421.4600000009</v>
      </c>
      <c r="H1669" s="159">
        <v>0</v>
      </c>
      <c r="I1669" s="159">
        <v>3629386.05</v>
      </c>
      <c r="J1669" s="159">
        <v>42</v>
      </c>
      <c r="K1669" t="str">
        <f>VLOOKUP($C1669,Lists!$C$3:$M$118,7,FALSE)</f>
        <v>COKE_RGB</v>
      </c>
      <c r="S1669" s="4"/>
      <c r="T1669" s="4"/>
      <c r="U1669" s="5"/>
      <c r="V1669" s="5"/>
    </row>
    <row r="1670" spans="1:22" x14ac:dyDescent="0.25">
      <c r="A1670" s="158" t="s">
        <v>487</v>
      </c>
      <c r="B1670" s="158" t="s">
        <v>112</v>
      </c>
      <c r="C1670" s="158" t="s">
        <v>43</v>
      </c>
      <c r="D1670" s="158" t="s">
        <v>44</v>
      </c>
      <c r="E1670" s="157">
        <v>252</v>
      </c>
      <c r="F1670" s="158" t="s">
        <v>525</v>
      </c>
      <c r="G1670" s="159">
        <v>1946780.64</v>
      </c>
      <c r="H1670" s="159">
        <v>0</v>
      </c>
      <c r="I1670" s="159">
        <v>961364.88</v>
      </c>
      <c r="J1670" s="159">
        <v>49.4</v>
      </c>
      <c r="K1670" t="str">
        <f>VLOOKUP($C1670,Lists!$C$3:$M$118,7,FALSE)</f>
        <v>Beers</v>
      </c>
      <c r="S1670" s="4"/>
      <c r="T1670" s="4"/>
      <c r="U1670" s="5"/>
      <c r="V1670" s="5"/>
    </row>
    <row r="1671" spans="1:22" x14ac:dyDescent="0.25">
      <c r="A1671" s="158" t="s">
        <v>487</v>
      </c>
      <c r="B1671" s="158" t="s">
        <v>112</v>
      </c>
      <c r="C1671" s="158" t="s">
        <v>59</v>
      </c>
      <c r="D1671" s="158" t="s">
        <v>60</v>
      </c>
      <c r="E1671" s="157">
        <v>168</v>
      </c>
      <c r="F1671" s="158" t="s">
        <v>525</v>
      </c>
      <c r="G1671" s="159">
        <v>664949.04</v>
      </c>
      <c r="H1671" s="159">
        <v>0</v>
      </c>
      <c r="I1671" s="159">
        <v>270745.44</v>
      </c>
      <c r="J1671" s="159">
        <v>40.700000000000003</v>
      </c>
      <c r="K1671" t="str">
        <f>VLOOKUP($C1671,Lists!$C$3:$M$118,7,FALSE)</f>
        <v>COKE_RGB</v>
      </c>
      <c r="S1671" s="4"/>
      <c r="T1671" s="4"/>
      <c r="U1671" s="5"/>
      <c r="V1671" s="5"/>
    </row>
    <row r="1672" spans="1:22" x14ac:dyDescent="0.25">
      <c r="A1672" s="158" t="s">
        <v>487</v>
      </c>
      <c r="B1672" s="158" t="s">
        <v>112</v>
      </c>
      <c r="C1672" s="158" t="s">
        <v>22</v>
      </c>
      <c r="D1672" s="158" t="s">
        <v>23</v>
      </c>
      <c r="E1672" s="157">
        <v>502</v>
      </c>
      <c r="F1672" s="158" t="s">
        <v>525</v>
      </c>
      <c r="G1672" s="159">
        <v>1986931.06</v>
      </c>
      <c r="H1672" s="159">
        <v>0</v>
      </c>
      <c r="I1672" s="159">
        <v>800469.12</v>
      </c>
      <c r="J1672" s="159">
        <v>40.299999999999997</v>
      </c>
      <c r="K1672" t="str">
        <f>VLOOKUP($C1672,Lists!$C$3:$M$118,7,FALSE)</f>
        <v>COKE_RGB</v>
      </c>
      <c r="S1672" s="4"/>
      <c r="T1672" s="4"/>
      <c r="U1672" s="5"/>
      <c r="V1672" s="5"/>
    </row>
    <row r="1673" spans="1:22" x14ac:dyDescent="0.25">
      <c r="A1673" s="158" t="s">
        <v>487</v>
      </c>
      <c r="B1673" s="158" t="s">
        <v>112</v>
      </c>
      <c r="C1673" s="158" t="s">
        <v>24</v>
      </c>
      <c r="D1673" s="158" t="s">
        <v>25</v>
      </c>
      <c r="E1673" s="157">
        <v>755</v>
      </c>
      <c r="F1673" s="158" t="s">
        <v>525</v>
      </c>
      <c r="G1673" s="159">
        <v>4860516.3499999996</v>
      </c>
      <c r="H1673" s="159">
        <v>0</v>
      </c>
      <c r="I1673" s="159">
        <v>2340228.2000000002</v>
      </c>
      <c r="J1673" s="159">
        <v>48.1</v>
      </c>
      <c r="K1673" t="str">
        <f>VLOOKUP($C1673,Lists!$C$3:$M$118,7,FALSE)</f>
        <v>Beers</v>
      </c>
      <c r="S1673" s="4"/>
      <c r="T1673" s="4"/>
      <c r="U1673" s="5"/>
      <c r="V1673" s="5"/>
    </row>
    <row r="1674" spans="1:22" x14ac:dyDescent="0.25">
      <c r="A1674" s="158" t="s">
        <v>487</v>
      </c>
      <c r="B1674" s="158" t="s">
        <v>112</v>
      </c>
      <c r="C1674" s="158" t="s">
        <v>29</v>
      </c>
      <c r="D1674" s="158" t="s">
        <v>30</v>
      </c>
      <c r="E1674" s="157">
        <v>45</v>
      </c>
      <c r="F1674" s="158" t="s">
        <v>525</v>
      </c>
      <c r="G1674" s="159">
        <v>1637297.55</v>
      </c>
      <c r="H1674" s="159">
        <v>0</v>
      </c>
      <c r="I1674" s="159">
        <v>467297.55</v>
      </c>
      <c r="J1674" s="159">
        <v>28.5</v>
      </c>
      <c r="K1674" t="str">
        <f>VLOOKUP($C1674,Lists!$C$3:$M$118,7,FALSE)</f>
        <v>Spirits</v>
      </c>
      <c r="S1674" s="4"/>
      <c r="T1674" s="4"/>
      <c r="U1674" s="5"/>
      <c r="V1674" s="5"/>
    </row>
    <row r="1675" spans="1:22" x14ac:dyDescent="0.25">
      <c r="A1675" s="158" t="s">
        <v>487</v>
      </c>
      <c r="B1675" s="158" t="s">
        <v>112</v>
      </c>
      <c r="C1675" s="158" t="s">
        <v>33</v>
      </c>
      <c r="D1675" s="158" t="s">
        <v>34</v>
      </c>
      <c r="E1675" s="157">
        <v>10</v>
      </c>
      <c r="F1675" s="158" t="s">
        <v>525</v>
      </c>
      <c r="G1675" s="159">
        <v>556904</v>
      </c>
      <c r="H1675" s="159">
        <v>0</v>
      </c>
      <c r="I1675" s="159">
        <v>106904</v>
      </c>
      <c r="J1675" s="159">
        <v>19.2</v>
      </c>
      <c r="K1675" t="str">
        <f>VLOOKUP($C1675,Lists!$C$3:$M$118,7,FALSE)</f>
        <v>Spirits</v>
      </c>
      <c r="S1675" s="4"/>
      <c r="T1675" s="4"/>
      <c r="U1675" s="5"/>
      <c r="V1675" s="5"/>
    </row>
    <row r="1676" spans="1:22" x14ac:dyDescent="0.25">
      <c r="A1676" s="158" t="s">
        <v>487</v>
      </c>
      <c r="B1676" s="158" t="s">
        <v>112</v>
      </c>
      <c r="C1676" s="158" t="s">
        <v>37</v>
      </c>
      <c r="D1676" s="158" t="s">
        <v>38</v>
      </c>
      <c r="E1676" s="157">
        <v>336</v>
      </c>
      <c r="F1676" s="158" t="s">
        <v>525</v>
      </c>
      <c r="G1676" s="159">
        <v>1108248.96</v>
      </c>
      <c r="H1676" s="159">
        <v>0</v>
      </c>
      <c r="I1676" s="159">
        <v>519177.12</v>
      </c>
      <c r="J1676" s="159">
        <v>46.8</v>
      </c>
      <c r="K1676" t="str">
        <f>VLOOKUP($C1676,Lists!$C$3:$M$118,7,FALSE)</f>
        <v>SOBO_RGB</v>
      </c>
      <c r="S1676" s="4"/>
      <c r="T1676" s="4"/>
      <c r="U1676" s="5"/>
      <c r="V1676" s="5"/>
    </row>
    <row r="1677" spans="1:22" x14ac:dyDescent="0.25">
      <c r="A1677" s="158" t="s">
        <v>487</v>
      </c>
      <c r="B1677" s="158" t="s">
        <v>112</v>
      </c>
      <c r="C1677" s="158" t="s">
        <v>39</v>
      </c>
      <c r="D1677" s="158" t="s">
        <v>40</v>
      </c>
      <c r="E1677" s="157">
        <v>167</v>
      </c>
      <c r="F1677" s="158" t="s">
        <v>525</v>
      </c>
      <c r="G1677" s="159">
        <v>550826.12</v>
      </c>
      <c r="H1677" s="159">
        <v>0</v>
      </c>
      <c r="I1677" s="159">
        <v>255762.17</v>
      </c>
      <c r="J1677" s="159">
        <v>46.4</v>
      </c>
      <c r="K1677" t="str">
        <f>VLOOKUP($C1677,Lists!$C$3:$M$118,7,FALSE)</f>
        <v>SOBO_RGB</v>
      </c>
      <c r="S1677" s="4"/>
      <c r="T1677" s="4"/>
      <c r="U1677" s="5"/>
      <c r="V1677" s="5"/>
    </row>
    <row r="1678" spans="1:22" x14ac:dyDescent="0.25">
      <c r="A1678" s="158" t="s">
        <v>487</v>
      </c>
      <c r="B1678" s="158" t="s">
        <v>112</v>
      </c>
      <c r="C1678" s="158" t="s">
        <v>88</v>
      </c>
      <c r="D1678" s="158" t="s">
        <v>527</v>
      </c>
      <c r="E1678" s="157">
        <v>144</v>
      </c>
      <c r="F1678" s="158" t="s">
        <v>525</v>
      </c>
      <c r="G1678" s="159">
        <v>406497.6</v>
      </c>
      <c r="H1678" s="159">
        <v>0</v>
      </c>
      <c r="I1678" s="159">
        <v>238492.79999999999</v>
      </c>
      <c r="J1678" s="159">
        <v>58.7</v>
      </c>
      <c r="K1678" t="str">
        <f>VLOOKUP($C1678,Lists!$C$3:$M$118,7,FALSE)</f>
        <v>SOBO_PET</v>
      </c>
      <c r="S1678" s="4"/>
      <c r="T1678" s="4"/>
      <c r="U1678" s="5"/>
      <c r="V1678" s="5"/>
    </row>
    <row r="1679" spans="1:22" x14ac:dyDescent="0.25">
      <c r="A1679" s="158" t="s">
        <v>487</v>
      </c>
      <c r="B1679" s="158" t="s">
        <v>112</v>
      </c>
      <c r="C1679" s="158" t="s">
        <v>45</v>
      </c>
      <c r="D1679" s="158" t="s">
        <v>46</v>
      </c>
      <c r="E1679" s="157">
        <v>336</v>
      </c>
      <c r="F1679" s="158" t="s">
        <v>525</v>
      </c>
      <c r="G1679" s="159">
        <v>1329898.08</v>
      </c>
      <c r="H1679" s="159">
        <v>0</v>
      </c>
      <c r="I1679" s="159">
        <v>655021.92000000004</v>
      </c>
      <c r="J1679" s="159">
        <v>49.3</v>
      </c>
      <c r="K1679" t="str">
        <f>VLOOKUP($C1679,Lists!$C$3:$M$118,7,FALSE)</f>
        <v>SOBO_RGB</v>
      </c>
      <c r="S1679" s="4"/>
      <c r="T1679" s="4"/>
      <c r="U1679" s="5"/>
      <c r="V1679" s="5"/>
    </row>
    <row r="1680" spans="1:22" x14ac:dyDescent="0.25">
      <c r="A1680" s="158" t="s">
        <v>487</v>
      </c>
      <c r="B1680" s="158" t="s">
        <v>112</v>
      </c>
      <c r="C1680" s="158" t="s">
        <v>47</v>
      </c>
      <c r="D1680" s="158" t="s">
        <v>48</v>
      </c>
      <c r="E1680" s="157">
        <v>419</v>
      </c>
      <c r="F1680" s="158" t="s">
        <v>525</v>
      </c>
      <c r="G1680" s="159">
        <v>1658414.57</v>
      </c>
      <c r="H1680" s="159">
        <v>0</v>
      </c>
      <c r="I1680" s="159">
        <v>723751.27</v>
      </c>
      <c r="J1680" s="159">
        <v>43.6</v>
      </c>
      <c r="K1680" t="str">
        <f>VLOOKUP($C1680,Lists!$C$3:$M$118,7,FALSE)</f>
        <v>COKE_RGB</v>
      </c>
      <c r="S1680" s="4"/>
      <c r="T1680" s="4"/>
      <c r="U1680" s="5"/>
      <c r="V1680" s="5"/>
    </row>
    <row r="1681" spans="1:22" x14ac:dyDescent="0.25">
      <c r="A1681" s="158" t="s">
        <v>487</v>
      </c>
      <c r="B1681" s="158" t="s">
        <v>112</v>
      </c>
      <c r="C1681" s="158" t="s">
        <v>49</v>
      </c>
      <c r="D1681" s="158" t="s">
        <v>50</v>
      </c>
      <c r="E1681" s="157">
        <v>-17</v>
      </c>
      <c r="F1681" s="158" t="s">
        <v>525</v>
      </c>
      <c r="G1681" s="159">
        <v>-170465.46</v>
      </c>
      <c r="H1681" s="159">
        <v>0</v>
      </c>
      <c r="I1681" s="159">
        <v>-54293.24</v>
      </c>
      <c r="J1681" s="159">
        <v>31.8</v>
      </c>
      <c r="K1681" t="str">
        <f>VLOOKUP($C1681,Lists!$C$3:$M$118,7,FALSE)</f>
        <v>Squash</v>
      </c>
      <c r="S1681" s="4"/>
      <c r="T1681" s="4"/>
      <c r="U1681" s="5"/>
      <c r="V1681" s="5"/>
    </row>
    <row r="1682" spans="1:22" x14ac:dyDescent="0.25">
      <c r="A1682" s="158" t="s">
        <v>487</v>
      </c>
      <c r="B1682" s="158" t="s">
        <v>112</v>
      </c>
      <c r="C1682" s="158" t="s">
        <v>26</v>
      </c>
      <c r="D1682" s="158" t="s">
        <v>27</v>
      </c>
      <c r="E1682" s="157">
        <v>144</v>
      </c>
      <c r="F1682" s="158" t="s">
        <v>525</v>
      </c>
      <c r="G1682" s="159">
        <v>314265.59999999998</v>
      </c>
      <c r="H1682" s="159">
        <v>0</v>
      </c>
      <c r="I1682" s="159">
        <v>138551.04000000001</v>
      </c>
      <c r="J1682" s="159">
        <v>44.1</v>
      </c>
      <c r="K1682" t="str">
        <f>VLOOKUP($C1682,Lists!$C$3:$M$118,7,FALSE)</f>
        <v>Water</v>
      </c>
      <c r="S1682" s="4"/>
      <c r="T1682" s="4"/>
      <c r="U1682" s="5"/>
      <c r="V1682" s="5"/>
    </row>
    <row r="1683" spans="1:22" x14ac:dyDescent="0.25">
      <c r="A1683" s="158" t="s">
        <v>709</v>
      </c>
      <c r="B1683" s="158" t="s">
        <v>710</v>
      </c>
      <c r="C1683" s="158" t="s">
        <v>12</v>
      </c>
      <c r="D1683" s="158" t="s">
        <v>13</v>
      </c>
      <c r="E1683" s="157">
        <v>431</v>
      </c>
      <c r="F1683" s="158" t="s">
        <v>525</v>
      </c>
      <c r="G1683" s="159">
        <v>2827032.44</v>
      </c>
      <c r="H1683" s="159">
        <v>0</v>
      </c>
      <c r="I1683" s="159">
        <v>1264980.69</v>
      </c>
      <c r="J1683" s="159">
        <v>44.7</v>
      </c>
      <c r="K1683" t="str">
        <f>VLOOKUP($C1683,Lists!$C$3:$M$118,7,FALSE)</f>
        <v>Beers</v>
      </c>
      <c r="S1683" s="4"/>
      <c r="T1683" s="4"/>
      <c r="U1683" s="5"/>
      <c r="V1683" s="5"/>
    </row>
    <row r="1684" spans="1:22" x14ac:dyDescent="0.25">
      <c r="A1684" s="158" t="s">
        <v>709</v>
      </c>
      <c r="B1684" s="158" t="s">
        <v>710</v>
      </c>
      <c r="C1684" s="158" t="s">
        <v>14</v>
      </c>
      <c r="D1684" s="158" t="s">
        <v>15</v>
      </c>
      <c r="E1684" s="157">
        <v>216</v>
      </c>
      <c r="F1684" s="158" t="s">
        <v>525</v>
      </c>
      <c r="G1684" s="159">
        <v>1700153.28</v>
      </c>
      <c r="H1684" s="159">
        <v>0</v>
      </c>
      <c r="I1684" s="159">
        <v>855511.2</v>
      </c>
      <c r="J1684" s="159">
        <v>50.3</v>
      </c>
      <c r="K1684" t="str">
        <f>VLOOKUP($C1684,Lists!$C$3:$M$118,7,FALSE)</f>
        <v>Beers</v>
      </c>
      <c r="S1684" s="4"/>
      <c r="T1684" s="4"/>
      <c r="U1684" s="5"/>
      <c r="V1684" s="5"/>
    </row>
    <row r="1685" spans="1:22" x14ac:dyDescent="0.25">
      <c r="A1685" s="158" t="s">
        <v>709</v>
      </c>
      <c r="B1685" s="158" t="s">
        <v>710</v>
      </c>
      <c r="C1685" s="158" t="s">
        <v>16</v>
      </c>
      <c r="D1685" s="158" t="s">
        <v>17</v>
      </c>
      <c r="E1685" s="157">
        <v>288</v>
      </c>
      <c r="F1685" s="158" t="s">
        <v>525</v>
      </c>
      <c r="G1685" s="159">
        <v>2266871.04</v>
      </c>
      <c r="H1685" s="159">
        <v>0</v>
      </c>
      <c r="I1685" s="159">
        <v>1140681.6000000001</v>
      </c>
      <c r="J1685" s="159">
        <v>50.3</v>
      </c>
      <c r="K1685" t="str">
        <f>VLOOKUP($C1685,Lists!$C$3:$M$118,7,FALSE)</f>
        <v>Beers</v>
      </c>
      <c r="S1685" s="4"/>
      <c r="T1685" s="4"/>
      <c r="U1685" s="5"/>
      <c r="V1685" s="5"/>
    </row>
    <row r="1686" spans="1:22" x14ac:dyDescent="0.25">
      <c r="A1686" s="158" t="s">
        <v>709</v>
      </c>
      <c r="B1686" s="158" t="s">
        <v>710</v>
      </c>
      <c r="C1686" s="158" t="s">
        <v>18</v>
      </c>
      <c r="D1686" s="158" t="s">
        <v>19</v>
      </c>
      <c r="E1686" s="157">
        <v>72</v>
      </c>
      <c r="F1686" s="158" t="s">
        <v>525</v>
      </c>
      <c r="G1686" s="159">
        <v>755623.44</v>
      </c>
      <c r="H1686" s="159">
        <v>0</v>
      </c>
      <c r="I1686" s="159">
        <v>398539.44</v>
      </c>
      <c r="J1686" s="159">
        <v>52.7</v>
      </c>
      <c r="K1686" t="str">
        <f>VLOOKUP($C1686,Lists!$C$3:$M$118,7,FALSE)</f>
        <v>Beers</v>
      </c>
      <c r="S1686" s="4"/>
      <c r="T1686" s="4"/>
      <c r="U1686" s="5"/>
      <c r="V1686" s="5"/>
    </row>
    <row r="1687" spans="1:22" x14ac:dyDescent="0.25">
      <c r="A1687" s="158" t="s">
        <v>709</v>
      </c>
      <c r="B1687" s="158" t="s">
        <v>710</v>
      </c>
      <c r="C1687" s="158" t="s">
        <v>20</v>
      </c>
      <c r="D1687" s="158" t="s">
        <v>21</v>
      </c>
      <c r="E1687" s="157">
        <v>432</v>
      </c>
      <c r="F1687" s="158" t="s">
        <v>525</v>
      </c>
      <c r="G1687" s="159">
        <v>1742130.72</v>
      </c>
      <c r="H1687" s="159">
        <v>0</v>
      </c>
      <c r="I1687" s="159">
        <v>750820.32</v>
      </c>
      <c r="J1687" s="159">
        <v>43.1</v>
      </c>
      <c r="K1687" t="str">
        <f>VLOOKUP($C1687,Lists!$C$3:$M$118,7,FALSE)</f>
        <v>COKE_RGB</v>
      </c>
      <c r="S1687" s="4"/>
      <c r="T1687" s="4"/>
      <c r="U1687" s="5"/>
      <c r="V1687" s="5"/>
    </row>
    <row r="1688" spans="1:22" x14ac:dyDescent="0.25">
      <c r="A1688" s="158" t="s">
        <v>709</v>
      </c>
      <c r="B1688" s="158" t="s">
        <v>710</v>
      </c>
      <c r="C1688" s="158" t="s">
        <v>22</v>
      </c>
      <c r="D1688" s="158" t="s">
        <v>23</v>
      </c>
      <c r="E1688" s="157">
        <v>72</v>
      </c>
      <c r="F1688" s="158" t="s">
        <v>525</v>
      </c>
      <c r="G1688" s="159">
        <v>290355.12</v>
      </c>
      <c r="H1688" s="159">
        <v>0</v>
      </c>
      <c r="I1688" s="159">
        <v>120185.28</v>
      </c>
      <c r="J1688" s="159">
        <v>41.4</v>
      </c>
      <c r="K1688" t="str">
        <f>VLOOKUP($C1688,Lists!$C$3:$M$118,7,FALSE)</f>
        <v>COKE_RGB</v>
      </c>
      <c r="S1688" s="4"/>
      <c r="T1688" s="4"/>
      <c r="U1688" s="5"/>
      <c r="V1688" s="5"/>
    </row>
    <row r="1689" spans="1:22" x14ac:dyDescent="0.25">
      <c r="A1689" s="158" t="s">
        <v>709</v>
      </c>
      <c r="B1689" s="158" t="s">
        <v>710</v>
      </c>
      <c r="C1689" s="158" t="s">
        <v>37</v>
      </c>
      <c r="D1689" s="158" t="s">
        <v>38</v>
      </c>
      <c r="E1689" s="157">
        <v>144</v>
      </c>
      <c r="F1689" s="158" t="s">
        <v>525</v>
      </c>
      <c r="G1689" s="159">
        <v>483924.96</v>
      </c>
      <c r="H1689" s="159">
        <v>0</v>
      </c>
      <c r="I1689" s="159">
        <v>231465.60000000001</v>
      </c>
      <c r="J1689" s="159">
        <v>47.8</v>
      </c>
      <c r="K1689" t="str">
        <f>VLOOKUP($C1689,Lists!$C$3:$M$118,7,FALSE)</f>
        <v>SOBO_RGB</v>
      </c>
      <c r="S1689" s="4"/>
      <c r="T1689" s="4"/>
      <c r="U1689" s="5"/>
      <c r="V1689" s="5"/>
    </row>
    <row r="1690" spans="1:22" x14ac:dyDescent="0.25">
      <c r="A1690" s="158" t="s">
        <v>709</v>
      </c>
      <c r="B1690" s="158" t="s">
        <v>710</v>
      </c>
      <c r="C1690" s="158" t="s">
        <v>39</v>
      </c>
      <c r="D1690" s="158" t="s">
        <v>40</v>
      </c>
      <c r="E1690" s="157">
        <v>72</v>
      </c>
      <c r="F1690" s="158" t="s">
        <v>525</v>
      </c>
      <c r="G1690" s="159">
        <v>241962.48</v>
      </c>
      <c r="H1690" s="159">
        <v>0</v>
      </c>
      <c r="I1690" s="159">
        <v>114749.28</v>
      </c>
      <c r="J1690" s="159">
        <v>47.4</v>
      </c>
      <c r="K1690" t="str">
        <f>VLOOKUP($C1690,Lists!$C$3:$M$118,7,FALSE)</f>
        <v>SOBO_RGB</v>
      </c>
      <c r="S1690" s="4"/>
      <c r="T1690" s="4"/>
      <c r="U1690" s="5"/>
      <c r="V1690" s="5"/>
    </row>
    <row r="1691" spans="1:22" x14ac:dyDescent="0.25">
      <c r="A1691" s="158" t="s">
        <v>711</v>
      </c>
      <c r="B1691" s="158" t="s">
        <v>712</v>
      </c>
      <c r="C1691" s="158" t="s">
        <v>12</v>
      </c>
      <c r="D1691" s="158" t="s">
        <v>13</v>
      </c>
      <c r="E1691" s="157">
        <v>144</v>
      </c>
      <c r="F1691" s="158" t="s">
        <v>525</v>
      </c>
      <c r="G1691" s="159">
        <v>944530.56</v>
      </c>
      <c r="H1691" s="159">
        <v>0</v>
      </c>
      <c r="I1691" s="159">
        <v>422638.56</v>
      </c>
      <c r="J1691" s="159">
        <v>44.7</v>
      </c>
      <c r="K1691" t="str">
        <f>VLOOKUP($C1691,Lists!$C$3:$M$118,7,FALSE)</f>
        <v>Beers</v>
      </c>
      <c r="S1691" s="4"/>
      <c r="T1691" s="4"/>
      <c r="U1691" s="5"/>
      <c r="V1691" s="5"/>
    </row>
    <row r="1692" spans="1:22" x14ac:dyDescent="0.25">
      <c r="A1692" s="158" t="s">
        <v>711</v>
      </c>
      <c r="B1692" s="158" t="s">
        <v>712</v>
      </c>
      <c r="C1692" s="158" t="s">
        <v>14</v>
      </c>
      <c r="D1692" s="158" t="s">
        <v>15</v>
      </c>
      <c r="E1692" s="157">
        <v>72</v>
      </c>
      <c r="F1692" s="158" t="s">
        <v>525</v>
      </c>
      <c r="G1692" s="159">
        <v>566717.76</v>
      </c>
      <c r="H1692" s="159">
        <v>0</v>
      </c>
      <c r="I1692" s="159">
        <v>285170.40000000002</v>
      </c>
      <c r="J1692" s="159">
        <v>50.3</v>
      </c>
      <c r="K1692" t="str">
        <f>VLOOKUP($C1692,Lists!$C$3:$M$118,7,FALSE)</f>
        <v>Beers</v>
      </c>
      <c r="S1692" s="4"/>
      <c r="T1692" s="4"/>
      <c r="U1692" s="5"/>
      <c r="V1692" s="5"/>
    </row>
    <row r="1693" spans="1:22" x14ac:dyDescent="0.25">
      <c r="A1693" s="158" t="s">
        <v>711</v>
      </c>
      <c r="B1693" s="158" t="s">
        <v>712</v>
      </c>
      <c r="C1693" s="158" t="s">
        <v>20</v>
      </c>
      <c r="D1693" s="158" t="s">
        <v>21</v>
      </c>
      <c r="E1693" s="157">
        <v>72</v>
      </c>
      <c r="F1693" s="158" t="s">
        <v>525</v>
      </c>
      <c r="G1693" s="159">
        <v>290355.12</v>
      </c>
      <c r="H1693" s="159">
        <v>0</v>
      </c>
      <c r="I1693" s="159">
        <v>125136.72</v>
      </c>
      <c r="J1693" s="159">
        <v>43.1</v>
      </c>
      <c r="K1693" t="str">
        <f>VLOOKUP($C1693,Lists!$C$3:$M$118,7,FALSE)</f>
        <v>COKE_RGB</v>
      </c>
      <c r="S1693" s="4"/>
      <c r="T1693" s="4"/>
      <c r="U1693" s="5"/>
      <c r="V1693" s="5"/>
    </row>
    <row r="1694" spans="1:22" x14ac:dyDescent="0.25">
      <c r="A1694" s="158" t="s">
        <v>711</v>
      </c>
      <c r="B1694" s="158" t="s">
        <v>712</v>
      </c>
      <c r="C1694" s="158" t="s">
        <v>47</v>
      </c>
      <c r="D1694" s="158" t="s">
        <v>48</v>
      </c>
      <c r="E1694" s="157">
        <v>72</v>
      </c>
      <c r="F1694" s="158" t="s">
        <v>525</v>
      </c>
      <c r="G1694" s="159">
        <v>290355.12</v>
      </c>
      <c r="H1694" s="159">
        <v>0</v>
      </c>
      <c r="I1694" s="159">
        <v>129744.72</v>
      </c>
      <c r="J1694" s="159">
        <v>44.7</v>
      </c>
      <c r="K1694" t="str">
        <f>VLOOKUP($C1694,Lists!$C$3:$M$118,7,FALSE)</f>
        <v>COKE_RGB</v>
      </c>
      <c r="S1694" s="4"/>
      <c r="T1694" s="4"/>
      <c r="U1694" s="5"/>
      <c r="V1694" s="5"/>
    </row>
    <row r="1695" spans="1:22" x14ac:dyDescent="0.25">
      <c r="A1695" s="158" t="s">
        <v>713</v>
      </c>
      <c r="B1695" s="158" t="s">
        <v>714</v>
      </c>
      <c r="C1695" s="158" t="s">
        <v>12</v>
      </c>
      <c r="D1695" s="158" t="s">
        <v>13</v>
      </c>
      <c r="E1695" s="157">
        <v>144</v>
      </c>
      <c r="F1695" s="158" t="s">
        <v>525</v>
      </c>
      <c r="G1695" s="159">
        <v>944530.56</v>
      </c>
      <c r="H1695" s="159">
        <v>0</v>
      </c>
      <c r="I1695" s="159">
        <v>422638.56</v>
      </c>
      <c r="J1695" s="159">
        <v>44.7</v>
      </c>
      <c r="K1695" t="str">
        <f>VLOOKUP($C1695,Lists!$C$3:$M$118,7,FALSE)</f>
        <v>Beers</v>
      </c>
      <c r="S1695" s="4"/>
      <c r="T1695" s="4"/>
      <c r="U1695" s="5"/>
      <c r="V1695" s="5"/>
    </row>
    <row r="1696" spans="1:22" x14ac:dyDescent="0.25">
      <c r="A1696" s="158" t="s">
        <v>713</v>
      </c>
      <c r="B1696" s="158" t="s">
        <v>714</v>
      </c>
      <c r="C1696" s="158" t="s">
        <v>14</v>
      </c>
      <c r="D1696" s="158" t="s">
        <v>15</v>
      </c>
      <c r="E1696" s="157">
        <v>144</v>
      </c>
      <c r="F1696" s="158" t="s">
        <v>525</v>
      </c>
      <c r="G1696" s="159">
        <v>1133435.52</v>
      </c>
      <c r="H1696" s="159">
        <v>0</v>
      </c>
      <c r="I1696" s="159">
        <v>570340.80000000005</v>
      </c>
      <c r="J1696" s="159">
        <v>50.3</v>
      </c>
      <c r="K1696" t="str">
        <f>VLOOKUP($C1696,Lists!$C$3:$M$118,7,FALSE)</f>
        <v>Beers</v>
      </c>
      <c r="S1696" s="4"/>
      <c r="T1696" s="4"/>
      <c r="U1696" s="5"/>
      <c r="V1696" s="5"/>
    </row>
    <row r="1697" spans="1:22" x14ac:dyDescent="0.25">
      <c r="A1697" s="158" t="s">
        <v>713</v>
      </c>
      <c r="B1697" s="158" t="s">
        <v>714</v>
      </c>
      <c r="C1697" s="158" t="s">
        <v>22</v>
      </c>
      <c r="D1697" s="158" t="s">
        <v>23</v>
      </c>
      <c r="E1697" s="157">
        <v>72</v>
      </c>
      <c r="F1697" s="158" t="s">
        <v>525</v>
      </c>
      <c r="G1697" s="159">
        <v>290355.12</v>
      </c>
      <c r="H1697" s="159">
        <v>0</v>
      </c>
      <c r="I1697" s="159">
        <v>120185.28</v>
      </c>
      <c r="J1697" s="159">
        <v>41.4</v>
      </c>
      <c r="K1697" t="str">
        <f>VLOOKUP($C1697,Lists!$C$3:$M$118,7,FALSE)</f>
        <v>COKE_RGB</v>
      </c>
      <c r="S1697" s="4"/>
      <c r="T1697" s="4"/>
      <c r="U1697" s="5"/>
      <c r="V1697" s="5"/>
    </row>
    <row r="1698" spans="1:22" x14ac:dyDescent="0.25">
      <c r="A1698" s="158" t="s">
        <v>715</v>
      </c>
      <c r="B1698" s="158" t="s">
        <v>716</v>
      </c>
      <c r="C1698" s="158" t="s">
        <v>12</v>
      </c>
      <c r="D1698" s="158" t="s">
        <v>13</v>
      </c>
      <c r="E1698" s="157">
        <v>720</v>
      </c>
      <c r="F1698" s="158" t="s">
        <v>525</v>
      </c>
      <c r="G1698" s="159">
        <v>4722652.8</v>
      </c>
      <c r="H1698" s="159">
        <v>0</v>
      </c>
      <c r="I1698" s="159">
        <v>2113192.7999999998</v>
      </c>
      <c r="J1698" s="159">
        <v>44.7</v>
      </c>
      <c r="K1698" t="str">
        <f>VLOOKUP($C1698,Lists!$C$3:$M$118,7,FALSE)</f>
        <v>Beers</v>
      </c>
      <c r="S1698" s="4"/>
      <c r="T1698" s="4"/>
      <c r="U1698" s="5"/>
      <c r="V1698" s="5"/>
    </row>
    <row r="1699" spans="1:22" x14ac:dyDescent="0.25">
      <c r="A1699" s="158" t="s">
        <v>715</v>
      </c>
      <c r="B1699" s="158" t="s">
        <v>716</v>
      </c>
      <c r="C1699" s="158" t="s">
        <v>16</v>
      </c>
      <c r="D1699" s="158" t="s">
        <v>17</v>
      </c>
      <c r="E1699" s="157">
        <v>144</v>
      </c>
      <c r="F1699" s="158" t="s">
        <v>525</v>
      </c>
      <c r="G1699" s="159">
        <v>1133435.52</v>
      </c>
      <c r="H1699" s="159">
        <v>0</v>
      </c>
      <c r="I1699" s="159">
        <v>570340.80000000005</v>
      </c>
      <c r="J1699" s="159">
        <v>50.3</v>
      </c>
      <c r="K1699" t="str">
        <f>VLOOKUP($C1699,Lists!$C$3:$M$118,7,FALSE)</f>
        <v>Beers</v>
      </c>
      <c r="S1699" s="4"/>
      <c r="T1699" s="4"/>
      <c r="U1699" s="5"/>
      <c r="V1699" s="5"/>
    </row>
    <row r="1700" spans="1:22" x14ac:dyDescent="0.25">
      <c r="A1700" s="158" t="s">
        <v>715</v>
      </c>
      <c r="B1700" s="158" t="s">
        <v>716</v>
      </c>
      <c r="C1700" s="158" t="s">
        <v>20</v>
      </c>
      <c r="D1700" s="158" t="s">
        <v>21</v>
      </c>
      <c r="E1700" s="157">
        <v>216</v>
      </c>
      <c r="F1700" s="158" t="s">
        <v>525</v>
      </c>
      <c r="G1700" s="159">
        <v>871065.36</v>
      </c>
      <c r="H1700" s="159">
        <v>0</v>
      </c>
      <c r="I1700" s="159">
        <v>375410.16</v>
      </c>
      <c r="J1700" s="159">
        <v>43.1</v>
      </c>
      <c r="K1700" t="str">
        <f>VLOOKUP($C1700,Lists!$C$3:$M$118,7,FALSE)</f>
        <v>COKE_RGB</v>
      </c>
      <c r="S1700" s="4"/>
      <c r="T1700" s="4"/>
      <c r="U1700" s="5"/>
      <c r="V1700" s="5"/>
    </row>
    <row r="1701" spans="1:22" x14ac:dyDescent="0.25">
      <c r="A1701" s="158" t="s">
        <v>715</v>
      </c>
      <c r="B1701" s="158" t="s">
        <v>716</v>
      </c>
      <c r="C1701" s="158" t="s">
        <v>22</v>
      </c>
      <c r="D1701" s="158" t="s">
        <v>23</v>
      </c>
      <c r="E1701" s="157">
        <v>144</v>
      </c>
      <c r="F1701" s="158" t="s">
        <v>525</v>
      </c>
      <c r="G1701" s="159">
        <v>580710.24</v>
      </c>
      <c r="H1701" s="159">
        <v>0</v>
      </c>
      <c r="I1701" s="159">
        <v>240370.56</v>
      </c>
      <c r="J1701" s="159">
        <v>41.4</v>
      </c>
      <c r="K1701" t="str">
        <f>VLOOKUP($C1701,Lists!$C$3:$M$118,7,FALSE)</f>
        <v>COKE_RGB</v>
      </c>
      <c r="S1701" s="4"/>
      <c r="T1701" s="4"/>
      <c r="U1701" s="5"/>
      <c r="V1701" s="5"/>
    </row>
    <row r="1702" spans="1:22" x14ac:dyDescent="0.25">
      <c r="A1702" s="158" t="s">
        <v>715</v>
      </c>
      <c r="B1702" s="158" t="s">
        <v>716</v>
      </c>
      <c r="C1702" s="158" t="s">
        <v>24</v>
      </c>
      <c r="D1702" s="158" t="s">
        <v>25</v>
      </c>
      <c r="E1702" s="157">
        <v>216</v>
      </c>
      <c r="F1702" s="158" t="s">
        <v>525</v>
      </c>
      <c r="G1702" s="159">
        <v>1416795.84</v>
      </c>
      <c r="H1702" s="159">
        <v>0</v>
      </c>
      <c r="I1702" s="159">
        <v>695759.76</v>
      </c>
      <c r="J1702" s="159">
        <v>49.1</v>
      </c>
      <c r="K1702" t="str">
        <f>VLOOKUP($C1702,Lists!$C$3:$M$118,7,FALSE)</f>
        <v>Beers</v>
      </c>
      <c r="S1702" s="4"/>
      <c r="T1702" s="4"/>
      <c r="U1702" s="5"/>
      <c r="V1702" s="5"/>
    </row>
    <row r="1703" spans="1:22" x14ac:dyDescent="0.25">
      <c r="A1703" s="158" t="s">
        <v>715</v>
      </c>
      <c r="B1703" s="158" t="s">
        <v>716</v>
      </c>
      <c r="C1703" s="158" t="s">
        <v>37</v>
      </c>
      <c r="D1703" s="158" t="s">
        <v>38</v>
      </c>
      <c r="E1703" s="157">
        <v>144</v>
      </c>
      <c r="F1703" s="158" t="s">
        <v>525</v>
      </c>
      <c r="G1703" s="159">
        <v>483924.96</v>
      </c>
      <c r="H1703" s="159">
        <v>0</v>
      </c>
      <c r="I1703" s="159">
        <v>231465.60000000001</v>
      </c>
      <c r="J1703" s="159">
        <v>47.8</v>
      </c>
      <c r="K1703" t="str">
        <f>VLOOKUP($C1703,Lists!$C$3:$M$118,7,FALSE)</f>
        <v>SOBO_RGB</v>
      </c>
      <c r="S1703" s="4"/>
      <c r="T1703" s="4"/>
      <c r="U1703" s="5"/>
      <c r="V1703" s="5"/>
    </row>
    <row r="1704" spans="1:22" x14ac:dyDescent="0.25">
      <c r="A1704" s="158" t="s">
        <v>717</v>
      </c>
      <c r="B1704" s="158" t="s">
        <v>718</v>
      </c>
      <c r="C1704" s="158" t="s">
        <v>12</v>
      </c>
      <c r="D1704" s="158" t="s">
        <v>13</v>
      </c>
      <c r="E1704" s="157">
        <v>72</v>
      </c>
      <c r="F1704" s="158" t="s">
        <v>525</v>
      </c>
      <c r="G1704" s="159">
        <v>472265.28</v>
      </c>
      <c r="H1704" s="159">
        <v>0</v>
      </c>
      <c r="I1704" s="159">
        <v>211319.28</v>
      </c>
      <c r="J1704" s="159">
        <v>44.7</v>
      </c>
      <c r="K1704" t="str">
        <f>VLOOKUP($C1704,Lists!$C$3:$M$118,7,FALSE)</f>
        <v>Beers</v>
      </c>
      <c r="S1704" s="4"/>
      <c r="T1704" s="4"/>
      <c r="U1704" s="5"/>
      <c r="V1704" s="5"/>
    </row>
    <row r="1705" spans="1:22" x14ac:dyDescent="0.25">
      <c r="A1705" s="158" t="s">
        <v>717</v>
      </c>
      <c r="B1705" s="158" t="s">
        <v>718</v>
      </c>
      <c r="C1705" s="158" t="s">
        <v>20</v>
      </c>
      <c r="D1705" s="158" t="s">
        <v>21</v>
      </c>
      <c r="E1705" s="157">
        <v>216</v>
      </c>
      <c r="F1705" s="158" t="s">
        <v>525</v>
      </c>
      <c r="G1705" s="159">
        <v>871065.36</v>
      </c>
      <c r="H1705" s="159">
        <v>0</v>
      </c>
      <c r="I1705" s="159">
        <v>375410.16</v>
      </c>
      <c r="J1705" s="159">
        <v>43.1</v>
      </c>
      <c r="K1705" t="str">
        <f>VLOOKUP($C1705,Lists!$C$3:$M$118,7,FALSE)</f>
        <v>COKE_RGB</v>
      </c>
      <c r="S1705" s="4"/>
      <c r="T1705" s="4"/>
      <c r="U1705" s="5"/>
      <c r="V1705" s="5"/>
    </row>
    <row r="1706" spans="1:22" x14ac:dyDescent="0.25">
      <c r="A1706" s="158" t="s">
        <v>719</v>
      </c>
      <c r="B1706" s="158" t="s">
        <v>720</v>
      </c>
      <c r="C1706" s="158" t="s">
        <v>12</v>
      </c>
      <c r="D1706" s="158" t="s">
        <v>13</v>
      </c>
      <c r="E1706" s="157">
        <v>144</v>
      </c>
      <c r="F1706" s="158" t="s">
        <v>525</v>
      </c>
      <c r="G1706" s="159">
        <v>944530.56</v>
      </c>
      <c r="H1706" s="159">
        <v>0</v>
      </c>
      <c r="I1706" s="159">
        <v>422638.56</v>
      </c>
      <c r="J1706" s="159">
        <v>44.7</v>
      </c>
      <c r="K1706" t="str">
        <f>VLOOKUP($C1706,Lists!$C$3:$M$118,7,FALSE)</f>
        <v>Beers</v>
      </c>
      <c r="S1706" s="4"/>
      <c r="T1706" s="4"/>
      <c r="U1706" s="5"/>
      <c r="V1706" s="5"/>
    </row>
    <row r="1707" spans="1:22" x14ac:dyDescent="0.25">
      <c r="A1707" s="158" t="s">
        <v>719</v>
      </c>
      <c r="B1707" s="158" t="s">
        <v>720</v>
      </c>
      <c r="C1707" s="158" t="s">
        <v>14</v>
      </c>
      <c r="D1707" s="158" t="s">
        <v>15</v>
      </c>
      <c r="E1707" s="157">
        <v>144</v>
      </c>
      <c r="F1707" s="158" t="s">
        <v>525</v>
      </c>
      <c r="G1707" s="159">
        <v>1133435.52</v>
      </c>
      <c r="H1707" s="159">
        <v>0</v>
      </c>
      <c r="I1707" s="159">
        <v>570340.80000000005</v>
      </c>
      <c r="J1707" s="159">
        <v>50.3</v>
      </c>
      <c r="K1707" t="str">
        <f>VLOOKUP($C1707,Lists!$C$3:$M$118,7,FALSE)</f>
        <v>Beers</v>
      </c>
      <c r="S1707" s="4"/>
      <c r="T1707" s="4"/>
      <c r="U1707" s="5"/>
      <c r="V1707" s="5"/>
    </row>
    <row r="1708" spans="1:22" x14ac:dyDescent="0.25">
      <c r="A1708" s="158" t="s">
        <v>719</v>
      </c>
      <c r="B1708" s="158" t="s">
        <v>720</v>
      </c>
      <c r="C1708" s="158" t="s">
        <v>16</v>
      </c>
      <c r="D1708" s="158" t="s">
        <v>17</v>
      </c>
      <c r="E1708" s="157">
        <v>72</v>
      </c>
      <c r="F1708" s="158" t="s">
        <v>525</v>
      </c>
      <c r="G1708" s="159">
        <v>566717.76</v>
      </c>
      <c r="H1708" s="159">
        <v>0</v>
      </c>
      <c r="I1708" s="159">
        <v>285170.40000000002</v>
      </c>
      <c r="J1708" s="159">
        <v>50.3</v>
      </c>
      <c r="K1708" t="str">
        <f>VLOOKUP($C1708,Lists!$C$3:$M$118,7,FALSE)</f>
        <v>Beers</v>
      </c>
      <c r="S1708" s="4"/>
      <c r="T1708" s="4"/>
      <c r="U1708" s="5"/>
      <c r="V1708" s="5"/>
    </row>
    <row r="1709" spans="1:22" x14ac:dyDescent="0.25">
      <c r="A1709" s="158" t="s">
        <v>719</v>
      </c>
      <c r="B1709" s="158" t="s">
        <v>720</v>
      </c>
      <c r="C1709" s="158" t="s">
        <v>56</v>
      </c>
      <c r="D1709" s="158" t="s">
        <v>57</v>
      </c>
      <c r="E1709" s="157">
        <v>50</v>
      </c>
      <c r="F1709" s="158" t="s">
        <v>525</v>
      </c>
      <c r="G1709" s="159">
        <v>393554</v>
      </c>
      <c r="H1709" s="159">
        <v>0</v>
      </c>
      <c r="I1709" s="159">
        <v>210066.5</v>
      </c>
      <c r="J1709" s="159">
        <v>53.4</v>
      </c>
      <c r="K1709" t="str">
        <f>VLOOKUP($C1709,Lists!$C$3:$M$118,7,FALSE)</f>
        <v>Beers</v>
      </c>
      <c r="S1709" s="4"/>
      <c r="T1709" s="4"/>
      <c r="U1709" s="5"/>
      <c r="V1709" s="5"/>
    </row>
    <row r="1710" spans="1:22" x14ac:dyDescent="0.25">
      <c r="A1710" s="158" t="s">
        <v>719</v>
      </c>
      <c r="B1710" s="158" t="s">
        <v>720</v>
      </c>
      <c r="C1710" s="158" t="s">
        <v>20</v>
      </c>
      <c r="D1710" s="158" t="s">
        <v>21</v>
      </c>
      <c r="E1710" s="157">
        <v>216</v>
      </c>
      <c r="F1710" s="158" t="s">
        <v>525</v>
      </c>
      <c r="G1710" s="159">
        <v>871065.36</v>
      </c>
      <c r="H1710" s="159">
        <v>0</v>
      </c>
      <c r="I1710" s="159">
        <v>375410.16</v>
      </c>
      <c r="J1710" s="159">
        <v>43.1</v>
      </c>
      <c r="K1710" t="str">
        <f>VLOOKUP($C1710,Lists!$C$3:$M$118,7,FALSE)</f>
        <v>COKE_RGB</v>
      </c>
      <c r="S1710" s="4"/>
      <c r="T1710" s="4"/>
      <c r="U1710" s="5"/>
      <c r="V1710" s="5"/>
    </row>
    <row r="1711" spans="1:22" x14ac:dyDescent="0.25">
      <c r="A1711" s="158" t="s">
        <v>719</v>
      </c>
      <c r="B1711" s="158" t="s">
        <v>720</v>
      </c>
      <c r="C1711" s="158" t="s">
        <v>22</v>
      </c>
      <c r="D1711" s="158" t="s">
        <v>23</v>
      </c>
      <c r="E1711" s="157">
        <v>72</v>
      </c>
      <c r="F1711" s="158" t="s">
        <v>525</v>
      </c>
      <c r="G1711" s="159">
        <v>290355.12</v>
      </c>
      <c r="H1711" s="159">
        <v>0</v>
      </c>
      <c r="I1711" s="159">
        <v>120185.28</v>
      </c>
      <c r="J1711" s="159">
        <v>41.4</v>
      </c>
      <c r="K1711" t="str">
        <f>VLOOKUP($C1711,Lists!$C$3:$M$118,7,FALSE)</f>
        <v>COKE_RGB</v>
      </c>
      <c r="S1711" s="4"/>
      <c r="T1711" s="4"/>
      <c r="U1711" s="5"/>
      <c r="V1711" s="5"/>
    </row>
    <row r="1712" spans="1:22" x14ac:dyDescent="0.25">
      <c r="A1712" s="158" t="s">
        <v>719</v>
      </c>
      <c r="B1712" s="158" t="s">
        <v>720</v>
      </c>
      <c r="C1712" s="158" t="s">
        <v>24</v>
      </c>
      <c r="D1712" s="158" t="s">
        <v>25</v>
      </c>
      <c r="E1712" s="157">
        <v>72</v>
      </c>
      <c r="F1712" s="158" t="s">
        <v>525</v>
      </c>
      <c r="G1712" s="159">
        <v>472265.28</v>
      </c>
      <c r="H1712" s="159">
        <v>0</v>
      </c>
      <c r="I1712" s="159">
        <v>231919.92</v>
      </c>
      <c r="J1712" s="159">
        <v>49.1</v>
      </c>
      <c r="K1712" t="str">
        <f>VLOOKUP($C1712,Lists!$C$3:$M$118,7,FALSE)</f>
        <v>Beers</v>
      </c>
      <c r="S1712" s="4"/>
      <c r="T1712" s="4"/>
      <c r="U1712" s="5"/>
      <c r="V1712" s="5"/>
    </row>
    <row r="1713" spans="1:22" x14ac:dyDescent="0.25">
      <c r="A1713" s="158" t="s">
        <v>719</v>
      </c>
      <c r="B1713" s="158" t="s">
        <v>720</v>
      </c>
      <c r="C1713" s="158" t="s">
        <v>37</v>
      </c>
      <c r="D1713" s="158" t="s">
        <v>38</v>
      </c>
      <c r="E1713" s="157">
        <v>72</v>
      </c>
      <c r="F1713" s="158" t="s">
        <v>525</v>
      </c>
      <c r="G1713" s="159">
        <v>241962.48</v>
      </c>
      <c r="H1713" s="159">
        <v>0</v>
      </c>
      <c r="I1713" s="159">
        <v>115732.8</v>
      </c>
      <c r="J1713" s="159">
        <v>47.8</v>
      </c>
      <c r="K1713" t="str">
        <f>VLOOKUP($C1713,Lists!$C$3:$M$118,7,FALSE)</f>
        <v>SOBO_RGB</v>
      </c>
      <c r="S1713" s="4"/>
      <c r="T1713" s="4"/>
      <c r="U1713" s="5"/>
      <c r="V1713" s="5"/>
    </row>
    <row r="1714" spans="1:22" x14ac:dyDescent="0.25">
      <c r="A1714" s="158" t="s">
        <v>721</v>
      </c>
      <c r="B1714" s="158" t="s">
        <v>722</v>
      </c>
      <c r="C1714" s="158" t="s">
        <v>12</v>
      </c>
      <c r="D1714" s="158" t="s">
        <v>13</v>
      </c>
      <c r="E1714" s="157">
        <v>216</v>
      </c>
      <c r="F1714" s="158" t="s">
        <v>525</v>
      </c>
      <c r="G1714" s="159">
        <v>1416795.84</v>
      </c>
      <c r="H1714" s="159">
        <v>0</v>
      </c>
      <c r="I1714" s="159">
        <v>633957.84</v>
      </c>
      <c r="J1714" s="159">
        <v>44.7</v>
      </c>
      <c r="K1714" t="str">
        <f>VLOOKUP($C1714,Lists!$C$3:$M$118,7,FALSE)</f>
        <v>Beers</v>
      </c>
      <c r="S1714" s="4"/>
      <c r="T1714" s="4"/>
      <c r="U1714" s="5"/>
      <c r="V1714" s="5"/>
    </row>
    <row r="1715" spans="1:22" x14ac:dyDescent="0.25">
      <c r="A1715" s="158" t="s">
        <v>721</v>
      </c>
      <c r="B1715" s="158" t="s">
        <v>722</v>
      </c>
      <c r="C1715" s="158" t="s">
        <v>16</v>
      </c>
      <c r="D1715" s="158" t="s">
        <v>17</v>
      </c>
      <c r="E1715" s="157">
        <v>144</v>
      </c>
      <c r="F1715" s="158" t="s">
        <v>525</v>
      </c>
      <c r="G1715" s="159">
        <v>1133435.52</v>
      </c>
      <c r="H1715" s="159">
        <v>0</v>
      </c>
      <c r="I1715" s="159">
        <v>570340.80000000005</v>
      </c>
      <c r="J1715" s="159">
        <v>50.3</v>
      </c>
      <c r="K1715" t="str">
        <f>VLOOKUP($C1715,Lists!$C$3:$M$118,7,FALSE)</f>
        <v>Beers</v>
      </c>
      <c r="S1715" s="4"/>
      <c r="T1715" s="4"/>
      <c r="U1715" s="5"/>
      <c r="V1715" s="5"/>
    </row>
    <row r="1716" spans="1:22" x14ac:dyDescent="0.25">
      <c r="A1716" s="158" t="s">
        <v>721</v>
      </c>
      <c r="B1716" s="158" t="s">
        <v>722</v>
      </c>
      <c r="C1716" s="158" t="s">
        <v>20</v>
      </c>
      <c r="D1716" s="158" t="s">
        <v>21</v>
      </c>
      <c r="E1716" s="157">
        <v>144</v>
      </c>
      <c r="F1716" s="158" t="s">
        <v>525</v>
      </c>
      <c r="G1716" s="159">
        <v>580710.24</v>
      </c>
      <c r="H1716" s="159">
        <v>0</v>
      </c>
      <c r="I1716" s="159">
        <v>250273.44</v>
      </c>
      <c r="J1716" s="159">
        <v>43.1</v>
      </c>
      <c r="K1716" t="str">
        <f>VLOOKUP($C1716,Lists!$C$3:$M$118,7,FALSE)</f>
        <v>COKE_RGB</v>
      </c>
      <c r="S1716" s="4"/>
      <c r="T1716" s="4"/>
      <c r="U1716" s="5"/>
      <c r="V1716" s="5"/>
    </row>
    <row r="1717" spans="1:22" x14ac:dyDescent="0.25">
      <c r="A1717" s="158" t="s">
        <v>723</v>
      </c>
      <c r="B1717" s="158" t="s">
        <v>724</v>
      </c>
      <c r="C1717" s="158" t="s">
        <v>12</v>
      </c>
      <c r="D1717" s="158" t="s">
        <v>13</v>
      </c>
      <c r="E1717" s="157">
        <v>144</v>
      </c>
      <c r="F1717" s="158" t="s">
        <v>525</v>
      </c>
      <c r="G1717" s="159">
        <v>944530.56</v>
      </c>
      <c r="H1717" s="159">
        <v>0</v>
      </c>
      <c r="I1717" s="159">
        <v>422638.56</v>
      </c>
      <c r="J1717" s="159">
        <v>44.7</v>
      </c>
      <c r="K1717" t="str">
        <f>VLOOKUP($C1717,Lists!$C$3:$M$118,7,FALSE)</f>
        <v>Beers</v>
      </c>
      <c r="S1717" s="4"/>
      <c r="T1717" s="4"/>
      <c r="U1717" s="5"/>
      <c r="V1717" s="5"/>
    </row>
    <row r="1718" spans="1:22" x14ac:dyDescent="0.25">
      <c r="A1718" s="158" t="s">
        <v>723</v>
      </c>
      <c r="B1718" s="158" t="s">
        <v>724</v>
      </c>
      <c r="C1718" s="158" t="s">
        <v>24</v>
      </c>
      <c r="D1718" s="158" t="s">
        <v>25</v>
      </c>
      <c r="E1718" s="157">
        <v>144</v>
      </c>
      <c r="F1718" s="158" t="s">
        <v>525</v>
      </c>
      <c r="G1718" s="159">
        <v>944530.56</v>
      </c>
      <c r="H1718" s="159">
        <v>0</v>
      </c>
      <c r="I1718" s="159">
        <v>463839.84</v>
      </c>
      <c r="J1718" s="159">
        <v>49.1</v>
      </c>
      <c r="K1718" t="str">
        <f>VLOOKUP($C1718,Lists!$C$3:$M$118,7,FALSE)</f>
        <v>Beers</v>
      </c>
      <c r="S1718" s="4"/>
      <c r="T1718" s="4"/>
      <c r="U1718" s="5"/>
      <c r="V1718" s="5"/>
    </row>
    <row r="1719" spans="1:22" x14ac:dyDescent="0.25">
      <c r="A1719" s="158" t="s">
        <v>723</v>
      </c>
      <c r="B1719" s="158" t="s">
        <v>724</v>
      </c>
      <c r="C1719" s="158" t="s">
        <v>29</v>
      </c>
      <c r="D1719" s="158" t="s">
        <v>30</v>
      </c>
      <c r="E1719" s="157">
        <v>10</v>
      </c>
      <c r="F1719" s="158" t="s">
        <v>525</v>
      </c>
      <c r="G1719" s="159">
        <v>370708.9</v>
      </c>
      <c r="H1719" s="159">
        <v>0</v>
      </c>
      <c r="I1719" s="159">
        <v>110708.9</v>
      </c>
      <c r="J1719" s="159">
        <v>29.9</v>
      </c>
      <c r="K1719" t="str">
        <f>VLOOKUP($C1719,Lists!$C$3:$M$118,7,FALSE)</f>
        <v>Spirits</v>
      </c>
      <c r="S1719" s="4"/>
      <c r="T1719" s="4"/>
      <c r="U1719" s="5"/>
      <c r="V1719" s="5"/>
    </row>
    <row r="1720" spans="1:22" x14ac:dyDescent="0.25">
      <c r="A1720" s="158" t="s">
        <v>723</v>
      </c>
      <c r="B1720" s="158" t="s">
        <v>724</v>
      </c>
      <c r="C1720" s="158" t="s">
        <v>51</v>
      </c>
      <c r="D1720" s="158" t="s">
        <v>52</v>
      </c>
      <c r="E1720" s="157">
        <v>20</v>
      </c>
      <c r="F1720" s="158" t="s">
        <v>525</v>
      </c>
      <c r="G1720" s="159">
        <v>200547.6</v>
      </c>
      <c r="H1720" s="159">
        <v>0</v>
      </c>
      <c r="I1720" s="159">
        <v>63340.6</v>
      </c>
      <c r="J1720" s="159">
        <v>31.6</v>
      </c>
      <c r="K1720" t="str">
        <f>VLOOKUP($C1720,Lists!$C$3:$M$118,7,FALSE)</f>
        <v>Squash</v>
      </c>
      <c r="S1720" s="4"/>
      <c r="T1720" s="4"/>
      <c r="U1720" s="5"/>
      <c r="V1720" s="5"/>
    </row>
    <row r="1721" spans="1:22" x14ac:dyDescent="0.25">
      <c r="A1721" s="158" t="s">
        <v>725</v>
      </c>
      <c r="B1721" s="158" t="s">
        <v>726</v>
      </c>
      <c r="C1721" s="158" t="s">
        <v>12</v>
      </c>
      <c r="D1721" s="158" t="s">
        <v>13</v>
      </c>
      <c r="E1721" s="157">
        <v>72</v>
      </c>
      <c r="F1721" s="158" t="s">
        <v>525</v>
      </c>
      <c r="G1721" s="159">
        <v>472265.28</v>
      </c>
      <c r="H1721" s="159">
        <v>0</v>
      </c>
      <c r="I1721" s="159">
        <v>211319.28</v>
      </c>
      <c r="J1721" s="159">
        <v>44.7</v>
      </c>
      <c r="K1721" t="str">
        <f>VLOOKUP($C1721,Lists!$C$3:$M$118,7,FALSE)</f>
        <v>Beers</v>
      </c>
      <c r="S1721" s="4"/>
      <c r="T1721" s="4"/>
      <c r="U1721" s="5"/>
      <c r="V1721" s="5"/>
    </row>
    <row r="1722" spans="1:22" x14ac:dyDescent="0.25">
      <c r="A1722" s="158" t="s">
        <v>725</v>
      </c>
      <c r="B1722" s="158" t="s">
        <v>726</v>
      </c>
      <c r="C1722" s="158" t="s">
        <v>14</v>
      </c>
      <c r="D1722" s="158" t="s">
        <v>15</v>
      </c>
      <c r="E1722" s="157">
        <v>72</v>
      </c>
      <c r="F1722" s="158" t="s">
        <v>525</v>
      </c>
      <c r="G1722" s="159">
        <v>566717.76</v>
      </c>
      <c r="H1722" s="159">
        <v>0</v>
      </c>
      <c r="I1722" s="159">
        <v>285170.40000000002</v>
      </c>
      <c r="J1722" s="159">
        <v>50.3</v>
      </c>
      <c r="K1722" t="str">
        <f>VLOOKUP($C1722,Lists!$C$3:$M$118,7,FALSE)</f>
        <v>Beers</v>
      </c>
      <c r="S1722" s="4"/>
      <c r="T1722" s="4"/>
      <c r="U1722" s="5"/>
      <c r="V1722" s="5"/>
    </row>
    <row r="1723" spans="1:22" x14ac:dyDescent="0.25">
      <c r="A1723" s="158" t="s">
        <v>725</v>
      </c>
      <c r="B1723" s="158" t="s">
        <v>726</v>
      </c>
      <c r="C1723" s="158" t="s">
        <v>20</v>
      </c>
      <c r="D1723" s="158" t="s">
        <v>21</v>
      </c>
      <c r="E1723" s="157">
        <v>72</v>
      </c>
      <c r="F1723" s="158" t="s">
        <v>525</v>
      </c>
      <c r="G1723" s="159">
        <v>290355.12</v>
      </c>
      <c r="H1723" s="159">
        <v>0</v>
      </c>
      <c r="I1723" s="159">
        <v>125136.72</v>
      </c>
      <c r="J1723" s="159">
        <v>43.1</v>
      </c>
      <c r="K1723" t="str">
        <f>VLOOKUP($C1723,Lists!$C$3:$M$118,7,FALSE)</f>
        <v>COKE_RGB</v>
      </c>
      <c r="S1723" s="4"/>
      <c r="T1723" s="4"/>
      <c r="U1723" s="5"/>
      <c r="V1723" s="5"/>
    </row>
    <row r="1724" spans="1:22" x14ac:dyDescent="0.25">
      <c r="A1724" s="158" t="s">
        <v>725</v>
      </c>
      <c r="B1724" s="158" t="s">
        <v>726</v>
      </c>
      <c r="C1724" s="158" t="s">
        <v>43</v>
      </c>
      <c r="D1724" s="158" t="s">
        <v>44</v>
      </c>
      <c r="E1724" s="157">
        <v>72</v>
      </c>
      <c r="F1724" s="158" t="s">
        <v>525</v>
      </c>
      <c r="G1724" s="159">
        <v>566717.76</v>
      </c>
      <c r="H1724" s="159">
        <v>0</v>
      </c>
      <c r="I1724" s="159">
        <v>285170.40000000002</v>
      </c>
      <c r="J1724" s="159">
        <v>50.3</v>
      </c>
      <c r="K1724" t="str">
        <f>VLOOKUP($C1724,Lists!$C$3:$M$118,7,FALSE)</f>
        <v>Beers</v>
      </c>
      <c r="S1724" s="4"/>
      <c r="T1724" s="4"/>
      <c r="U1724" s="5"/>
      <c r="V1724" s="5"/>
    </row>
    <row r="1725" spans="1:22" x14ac:dyDescent="0.25">
      <c r="A1725" s="158" t="s">
        <v>725</v>
      </c>
      <c r="B1725" s="158" t="s">
        <v>726</v>
      </c>
      <c r="C1725" s="158" t="s">
        <v>22</v>
      </c>
      <c r="D1725" s="158" t="s">
        <v>23</v>
      </c>
      <c r="E1725" s="157">
        <v>72</v>
      </c>
      <c r="F1725" s="158" t="s">
        <v>525</v>
      </c>
      <c r="G1725" s="159">
        <v>290355.12</v>
      </c>
      <c r="H1725" s="159">
        <v>0</v>
      </c>
      <c r="I1725" s="159">
        <v>120185.28</v>
      </c>
      <c r="J1725" s="159">
        <v>41.4</v>
      </c>
      <c r="K1725" t="str">
        <f>VLOOKUP($C1725,Lists!$C$3:$M$118,7,FALSE)</f>
        <v>COKE_RGB</v>
      </c>
      <c r="S1725" s="4"/>
      <c r="T1725" s="4"/>
      <c r="U1725" s="5"/>
      <c r="V1725" s="5"/>
    </row>
    <row r="1726" spans="1:22" x14ac:dyDescent="0.25">
      <c r="A1726" s="158" t="s">
        <v>727</v>
      </c>
      <c r="B1726" s="158" t="s">
        <v>728</v>
      </c>
      <c r="C1726" s="158" t="s">
        <v>12</v>
      </c>
      <c r="D1726" s="158" t="s">
        <v>13</v>
      </c>
      <c r="E1726" s="157">
        <v>144</v>
      </c>
      <c r="F1726" s="158" t="s">
        <v>525</v>
      </c>
      <c r="G1726" s="159">
        <v>944530.56</v>
      </c>
      <c r="H1726" s="159">
        <v>0</v>
      </c>
      <c r="I1726" s="159">
        <v>422638.56</v>
      </c>
      <c r="J1726" s="159">
        <v>44.7</v>
      </c>
      <c r="K1726" t="str">
        <f>VLOOKUP($C1726,Lists!$C$3:$M$118,7,FALSE)</f>
        <v>Beers</v>
      </c>
      <c r="S1726" s="4"/>
      <c r="T1726" s="4"/>
      <c r="U1726" s="5"/>
      <c r="V1726" s="5"/>
    </row>
    <row r="1727" spans="1:22" x14ac:dyDescent="0.25">
      <c r="A1727" s="158" t="s">
        <v>727</v>
      </c>
      <c r="B1727" s="158" t="s">
        <v>728</v>
      </c>
      <c r="C1727" s="158" t="s">
        <v>14</v>
      </c>
      <c r="D1727" s="158" t="s">
        <v>15</v>
      </c>
      <c r="E1727" s="157">
        <v>72</v>
      </c>
      <c r="F1727" s="158" t="s">
        <v>525</v>
      </c>
      <c r="G1727" s="159">
        <v>566717.76</v>
      </c>
      <c r="H1727" s="159">
        <v>0</v>
      </c>
      <c r="I1727" s="159">
        <v>285170.40000000002</v>
      </c>
      <c r="J1727" s="159">
        <v>50.3</v>
      </c>
      <c r="K1727" t="str">
        <f>VLOOKUP($C1727,Lists!$C$3:$M$118,7,FALSE)</f>
        <v>Beers</v>
      </c>
      <c r="S1727" s="4"/>
      <c r="T1727" s="4"/>
      <c r="U1727" s="5"/>
      <c r="V1727" s="5"/>
    </row>
    <row r="1728" spans="1:22" x14ac:dyDescent="0.25">
      <c r="A1728" s="158" t="s">
        <v>727</v>
      </c>
      <c r="B1728" s="158" t="s">
        <v>728</v>
      </c>
      <c r="C1728" s="158" t="s">
        <v>16</v>
      </c>
      <c r="D1728" s="158" t="s">
        <v>17</v>
      </c>
      <c r="E1728" s="157">
        <v>144</v>
      </c>
      <c r="F1728" s="158" t="s">
        <v>525</v>
      </c>
      <c r="G1728" s="159">
        <v>1133435.52</v>
      </c>
      <c r="H1728" s="159">
        <v>0</v>
      </c>
      <c r="I1728" s="159">
        <v>570340.80000000005</v>
      </c>
      <c r="J1728" s="159">
        <v>50.3</v>
      </c>
      <c r="K1728" t="str">
        <f>VLOOKUP($C1728,Lists!$C$3:$M$118,7,FALSE)</f>
        <v>Beers</v>
      </c>
      <c r="S1728" s="4"/>
      <c r="T1728" s="4"/>
      <c r="U1728" s="5"/>
      <c r="V1728" s="5"/>
    </row>
    <row r="1729" spans="1:22" x14ac:dyDescent="0.25">
      <c r="A1729" s="158" t="s">
        <v>729</v>
      </c>
      <c r="B1729" s="158" t="s">
        <v>730</v>
      </c>
      <c r="C1729" s="158" t="s">
        <v>12</v>
      </c>
      <c r="D1729" s="158" t="s">
        <v>13</v>
      </c>
      <c r="E1729" s="157">
        <v>360</v>
      </c>
      <c r="F1729" s="158" t="s">
        <v>525</v>
      </c>
      <c r="G1729" s="159">
        <v>2361326.4</v>
      </c>
      <c r="H1729" s="159">
        <v>0</v>
      </c>
      <c r="I1729" s="159">
        <v>1056596.3999999999</v>
      </c>
      <c r="J1729" s="159">
        <v>44.7</v>
      </c>
      <c r="K1729" t="str">
        <f>VLOOKUP($C1729,Lists!$C$3:$M$118,7,FALSE)</f>
        <v>Beers</v>
      </c>
      <c r="S1729" s="4"/>
      <c r="T1729" s="4"/>
      <c r="U1729" s="5"/>
      <c r="V1729" s="5"/>
    </row>
    <row r="1730" spans="1:22" x14ac:dyDescent="0.25">
      <c r="A1730" s="158" t="s">
        <v>729</v>
      </c>
      <c r="B1730" s="158" t="s">
        <v>730</v>
      </c>
      <c r="C1730" s="158" t="s">
        <v>14</v>
      </c>
      <c r="D1730" s="158" t="s">
        <v>15</v>
      </c>
      <c r="E1730" s="157">
        <v>72</v>
      </c>
      <c r="F1730" s="158" t="s">
        <v>525</v>
      </c>
      <c r="G1730" s="159">
        <v>566717.76</v>
      </c>
      <c r="H1730" s="159">
        <v>0</v>
      </c>
      <c r="I1730" s="159">
        <v>285170.40000000002</v>
      </c>
      <c r="J1730" s="159">
        <v>50.3</v>
      </c>
      <c r="K1730" t="str">
        <f>VLOOKUP($C1730,Lists!$C$3:$M$118,7,FALSE)</f>
        <v>Beers</v>
      </c>
      <c r="S1730" s="4"/>
      <c r="T1730" s="4"/>
      <c r="U1730" s="5"/>
      <c r="V1730" s="5"/>
    </row>
    <row r="1731" spans="1:22" x14ac:dyDescent="0.25">
      <c r="A1731" s="158" t="s">
        <v>729</v>
      </c>
      <c r="B1731" s="158" t="s">
        <v>730</v>
      </c>
      <c r="C1731" s="158" t="s">
        <v>16</v>
      </c>
      <c r="D1731" s="158" t="s">
        <v>17</v>
      </c>
      <c r="E1731" s="157">
        <v>288</v>
      </c>
      <c r="F1731" s="158" t="s">
        <v>525</v>
      </c>
      <c r="G1731" s="159">
        <v>2266871.04</v>
      </c>
      <c r="H1731" s="159">
        <v>0</v>
      </c>
      <c r="I1731" s="159">
        <v>1140681.6000000001</v>
      </c>
      <c r="J1731" s="159">
        <v>50.3</v>
      </c>
      <c r="K1731" t="str">
        <f>VLOOKUP($C1731,Lists!$C$3:$M$118,7,FALSE)</f>
        <v>Beers</v>
      </c>
      <c r="S1731" s="4"/>
      <c r="T1731" s="4"/>
      <c r="U1731" s="5"/>
      <c r="V1731" s="5"/>
    </row>
    <row r="1732" spans="1:22" x14ac:dyDescent="0.25">
      <c r="A1732" s="158" t="s">
        <v>729</v>
      </c>
      <c r="B1732" s="158" t="s">
        <v>730</v>
      </c>
      <c r="C1732" s="158" t="s">
        <v>18</v>
      </c>
      <c r="D1732" s="158" t="s">
        <v>19</v>
      </c>
      <c r="E1732" s="157">
        <v>144</v>
      </c>
      <c r="F1732" s="158" t="s">
        <v>525</v>
      </c>
      <c r="G1732" s="159">
        <v>1511246.88</v>
      </c>
      <c r="H1732" s="159">
        <v>0</v>
      </c>
      <c r="I1732" s="159">
        <v>797078.88</v>
      </c>
      <c r="J1732" s="159">
        <v>52.7</v>
      </c>
      <c r="K1732" t="str">
        <f>VLOOKUP($C1732,Lists!$C$3:$M$118,7,FALSE)</f>
        <v>Beers</v>
      </c>
      <c r="S1732" s="4"/>
      <c r="T1732" s="4"/>
      <c r="U1732" s="5"/>
      <c r="V1732" s="5"/>
    </row>
    <row r="1733" spans="1:22" x14ac:dyDescent="0.25">
      <c r="A1733" s="158" t="s">
        <v>729</v>
      </c>
      <c r="B1733" s="158" t="s">
        <v>730</v>
      </c>
      <c r="C1733" s="158" t="s">
        <v>20</v>
      </c>
      <c r="D1733" s="158" t="s">
        <v>21</v>
      </c>
      <c r="E1733" s="157">
        <v>216</v>
      </c>
      <c r="F1733" s="158" t="s">
        <v>525</v>
      </c>
      <c r="G1733" s="159">
        <v>871065.36</v>
      </c>
      <c r="H1733" s="159">
        <v>0</v>
      </c>
      <c r="I1733" s="159">
        <v>375410.16</v>
      </c>
      <c r="J1733" s="159">
        <v>43.1</v>
      </c>
      <c r="K1733" t="str">
        <f>VLOOKUP($C1733,Lists!$C$3:$M$118,7,FALSE)</f>
        <v>COKE_RGB</v>
      </c>
      <c r="S1733" s="4"/>
      <c r="T1733" s="4"/>
      <c r="U1733" s="5"/>
      <c r="V1733" s="5"/>
    </row>
    <row r="1734" spans="1:22" x14ac:dyDescent="0.25">
      <c r="A1734" s="158" t="s">
        <v>729</v>
      </c>
      <c r="B1734" s="158" t="s">
        <v>730</v>
      </c>
      <c r="C1734" s="158" t="s">
        <v>22</v>
      </c>
      <c r="D1734" s="158" t="s">
        <v>23</v>
      </c>
      <c r="E1734" s="157">
        <v>144</v>
      </c>
      <c r="F1734" s="158" t="s">
        <v>525</v>
      </c>
      <c r="G1734" s="159">
        <v>580710.24</v>
      </c>
      <c r="H1734" s="159">
        <v>0</v>
      </c>
      <c r="I1734" s="159">
        <v>240370.56</v>
      </c>
      <c r="J1734" s="159">
        <v>41.4</v>
      </c>
      <c r="K1734" t="str">
        <f>VLOOKUP($C1734,Lists!$C$3:$M$118,7,FALSE)</f>
        <v>COKE_RGB</v>
      </c>
      <c r="S1734" s="4"/>
      <c r="T1734" s="4"/>
      <c r="U1734" s="5"/>
      <c r="V1734" s="5"/>
    </row>
    <row r="1735" spans="1:22" x14ac:dyDescent="0.25">
      <c r="A1735" s="158" t="s">
        <v>729</v>
      </c>
      <c r="B1735" s="158" t="s">
        <v>730</v>
      </c>
      <c r="C1735" s="158" t="s">
        <v>24</v>
      </c>
      <c r="D1735" s="158" t="s">
        <v>25</v>
      </c>
      <c r="E1735" s="157">
        <v>72</v>
      </c>
      <c r="F1735" s="158" t="s">
        <v>525</v>
      </c>
      <c r="G1735" s="159">
        <v>472265.28</v>
      </c>
      <c r="H1735" s="159">
        <v>0</v>
      </c>
      <c r="I1735" s="159">
        <v>231919.92</v>
      </c>
      <c r="J1735" s="159">
        <v>49.1</v>
      </c>
      <c r="K1735" t="str">
        <f>VLOOKUP($C1735,Lists!$C$3:$M$118,7,FALSE)</f>
        <v>Beers</v>
      </c>
      <c r="S1735" s="4"/>
      <c r="T1735" s="4"/>
      <c r="U1735" s="5"/>
      <c r="V1735" s="5"/>
    </row>
    <row r="1736" spans="1:22" x14ac:dyDescent="0.25">
      <c r="A1736" s="158" t="s">
        <v>729</v>
      </c>
      <c r="B1736" s="158" t="s">
        <v>730</v>
      </c>
      <c r="C1736" s="158" t="s">
        <v>29</v>
      </c>
      <c r="D1736" s="158" t="s">
        <v>30</v>
      </c>
      <c r="E1736" s="157">
        <v>30</v>
      </c>
      <c r="F1736" s="158" t="s">
        <v>525</v>
      </c>
      <c r="G1736" s="159">
        <v>1112126.7</v>
      </c>
      <c r="H1736" s="159">
        <v>0</v>
      </c>
      <c r="I1736" s="159">
        <v>332126.7</v>
      </c>
      <c r="J1736" s="159">
        <v>29.9</v>
      </c>
      <c r="K1736" t="str">
        <f>VLOOKUP($C1736,Lists!$C$3:$M$118,7,FALSE)</f>
        <v>Spirits</v>
      </c>
      <c r="S1736" s="4"/>
      <c r="T1736" s="4"/>
      <c r="U1736" s="5"/>
      <c r="V1736" s="5"/>
    </row>
    <row r="1737" spans="1:22" x14ac:dyDescent="0.25">
      <c r="A1737" s="158" t="s">
        <v>729</v>
      </c>
      <c r="B1737" s="158" t="s">
        <v>730</v>
      </c>
      <c r="C1737" s="158" t="s">
        <v>37</v>
      </c>
      <c r="D1737" s="158" t="s">
        <v>38</v>
      </c>
      <c r="E1737" s="157">
        <v>72</v>
      </c>
      <c r="F1737" s="158" t="s">
        <v>525</v>
      </c>
      <c r="G1737" s="159">
        <v>241962.48</v>
      </c>
      <c r="H1737" s="159">
        <v>0</v>
      </c>
      <c r="I1737" s="159">
        <v>115732.8</v>
      </c>
      <c r="J1737" s="159">
        <v>47.8</v>
      </c>
      <c r="K1737" t="str">
        <f>VLOOKUP($C1737,Lists!$C$3:$M$118,7,FALSE)</f>
        <v>SOBO_RGB</v>
      </c>
      <c r="S1737" s="4"/>
      <c r="T1737" s="4"/>
      <c r="U1737" s="5"/>
      <c r="V1737" s="5"/>
    </row>
    <row r="1738" spans="1:22" x14ac:dyDescent="0.25">
      <c r="A1738" s="158" t="s">
        <v>731</v>
      </c>
      <c r="B1738" s="158" t="s">
        <v>732</v>
      </c>
      <c r="C1738" s="158" t="s">
        <v>69</v>
      </c>
      <c r="D1738" s="158" t="s">
        <v>70</v>
      </c>
      <c r="E1738" s="157">
        <v>72</v>
      </c>
      <c r="F1738" s="158" t="s">
        <v>525</v>
      </c>
      <c r="G1738" s="159">
        <v>566717.76</v>
      </c>
      <c r="H1738" s="159">
        <v>0</v>
      </c>
      <c r="I1738" s="159">
        <v>243797.76000000001</v>
      </c>
      <c r="J1738" s="159">
        <v>43</v>
      </c>
      <c r="K1738" t="str">
        <f>VLOOKUP($C1738,Lists!$C$3:$M$118,7,FALSE)</f>
        <v>Alcomix</v>
      </c>
      <c r="S1738" s="4"/>
      <c r="T1738" s="4"/>
      <c r="U1738" s="5"/>
      <c r="V1738" s="5"/>
    </row>
    <row r="1739" spans="1:22" x14ac:dyDescent="0.25">
      <c r="A1739" s="158" t="s">
        <v>731</v>
      </c>
      <c r="B1739" s="158" t="s">
        <v>732</v>
      </c>
      <c r="C1739" s="158" t="s">
        <v>12</v>
      </c>
      <c r="D1739" s="158" t="s">
        <v>13</v>
      </c>
      <c r="E1739" s="157">
        <v>144</v>
      </c>
      <c r="F1739" s="158" t="s">
        <v>525</v>
      </c>
      <c r="G1739" s="159">
        <v>944530.56</v>
      </c>
      <c r="H1739" s="159">
        <v>0</v>
      </c>
      <c r="I1739" s="159">
        <v>422638.56</v>
      </c>
      <c r="J1739" s="159">
        <v>44.7</v>
      </c>
      <c r="K1739" t="str">
        <f>VLOOKUP($C1739,Lists!$C$3:$M$118,7,FALSE)</f>
        <v>Beers</v>
      </c>
      <c r="S1739" s="4"/>
      <c r="T1739" s="4"/>
      <c r="U1739" s="5"/>
      <c r="V1739" s="5"/>
    </row>
    <row r="1740" spans="1:22" x14ac:dyDescent="0.25">
      <c r="A1740" s="158" t="s">
        <v>731</v>
      </c>
      <c r="B1740" s="158" t="s">
        <v>732</v>
      </c>
      <c r="C1740" s="158" t="s">
        <v>14</v>
      </c>
      <c r="D1740" s="158" t="s">
        <v>15</v>
      </c>
      <c r="E1740" s="157">
        <v>72</v>
      </c>
      <c r="F1740" s="158" t="s">
        <v>525</v>
      </c>
      <c r="G1740" s="159">
        <v>566717.76</v>
      </c>
      <c r="H1740" s="159">
        <v>0</v>
      </c>
      <c r="I1740" s="159">
        <v>285170.40000000002</v>
      </c>
      <c r="J1740" s="159">
        <v>50.3</v>
      </c>
      <c r="K1740" t="str">
        <f>VLOOKUP($C1740,Lists!$C$3:$M$118,7,FALSE)</f>
        <v>Beers</v>
      </c>
      <c r="S1740" s="4"/>
      <c r="T1740" s="4"/>
      <c r="U1740" s="5"/>
      <c r="V1740" s="5"/>
    </row>
    <row r="1741" spans="1:22" x14ac:dyDescent="0.25">
      <c r="A1741" s="158" t="s">
        <v>731</v>
      </c>
      <c r="B1741" s="158" t="s">
        <v>732</v>
      </c>
      <c r="C1741" s="158" t="s">
        <v>16</v>
      </c>
      <c r="D1741" s="158" t="s">
        <v>17</v>
      </c>
      <c r="E1741" s="157">
        <v>72</v>
      </c>
      <c r="F1741" s="158" t="s">
        <v>525</v>
      </c>
      <c r="G1741" s="159">
        <v>566717.76</v>
      </c>
      <c r="H1741" s="159">
        <v>0</v>
      </c>
      <c r="I1741" s="159">
        <v>285170.40000000002</v>
      </c>
      <c r="J1741" s="159">
        <v>50.3</v>
      </c>
      <c r="K1741" t="str">
        <f>VLOOKUP($C1741,Lists!$C$3:$M$118,7,FALSE)</f>
        <v>Beers</v>
      </c>
      <c r="S1741" s="4"/>
      <c r="T1741" s="4"/>
      <c r="U1741" s="5"/>
      <c r="V1741" s="5"/>
    </row>
    <row r="1742" spans="1:22" x14ac:dyDescent="0.25">
      <c r="A1742" s="158" t="s">
        <v>731</v>
      </c>
      <c r="B1742" s="158" t="s">
        <v>732</v>
      </c>
      <c r="C1742" s="158" t="s">
        <v>18</v>
      </c>
      <c r="D1742" s="158" t="s">
        <v>19</v>
      </c>
      <c r="E1742" s="157">
        <v>72</v>
      </c>
      <c r="F1742" s="158" t="s">
        <v>525</v>
      </c>
      <c r="G1742" s="159">
        <v>755623.44</v>
      </c>
      <c r="H1742" s="159">
        <v>0</v>
      </c>
      <c r="I1742" s="159">
        <v>398539.44</v>
      </c>
      <c r="J1742" s="159">
        <v>52.7</v>
      </c>
      <c r="K1742" t="str">
        <f>VLOOKUP($C1742,Lists!$C$3:$M$118,7,FALSE)</f>
        <v>Beers</v>
      </c>
      <c r="S1742" s="4"/>
      <c r="T1742" s="4"/>
      <c r="U1742" s="5"/>
      <c r="V1742" s="5"/>
    </row>
    <row r="1743" spans="1:22" x14ac:dyDescent="0.25">
      <c r="A1743" s="158" t="s">
        <v>731</v>
      </c>
      <c r="B1743" s="158" t="s">
        <v>732</v>
      </c>
      <c r="C1743" s="158" t="s">
        <v>20</v>
      </c>
      <c r="D1743" s="158" t="s">
        <v>21</v>
      </c>
      <c r="E1743" s="157">
        <v>144</v>
      </c>
      <c r="F1743" s="158" t="s">
        <v>525</v>
      </c>
      <c r="G1743" s="159">
        <v>580710.24</v>
      </c>
      <c r="H1743" s="159">
        <v>0</v>
      </c>
      <c r="I1743" s="159">
        <v>250273.44</v>
      </c>
      <c r="J1743" s="159">
        <v>43.1</v>
      </c>
      <c r="K1743" t="str">
        <f>VLOOKUP($C1743,Lists!$C$3:$M$118,7,FALSE)</f>
        <v>COKE_RGB</v>
      </c>
      <c r="S1743" s="4"/>
      <c r="T1743" s="4"/>
      <c r="U1743" s="5"/>
      <c r="V1743" s="5"/>
    </row>
    <row r="1744" spans="1:22" x14ac:dyDescent="0.25">
      <c r="A1744" s="158" t="s">
        <v>731</v>
      </c>
      <c r="B1744" s="158" t="s">
        <v>732</v>
      </c>
      <c r="C1744" s="158" t="s">
        <v>24</v>
      </c>
      <c r="D1744" s="158" t="s">
        <v>25</v>
      </c>
      <c r="E1744" s="157">
        <v>72</v>
      </c>
      <c r="F1744" s="158" t="s">
        <v>525</v>
      </c>
      <c r="G1744" s="159">
        <v>472265.28</v>
      </c>
      <c r="H1744" s="159">
        <v>0</v>
      </c>
      <c r="I1744" s="159">
        <v>231919.92</v>
      </c>
      <c r="J1744" s="159">
        <v>49.1</v>
      </c>
      <c r="K1744" t="str">
        <f>VLOOKUP($C1744,Lists!$C$3:$M$118,7,FALSE)</f>
        <v>Beers</v>
      </c>
      <c r="S1744" s="4"/>
      <c r="T1744" s="4"/>
      <c r="U1744" s="5"/>
      <c r="V1744" s="5"/>
    </row>
    <row r="1745" spans="1:22" x14ac:dyDescent="0.25">
      <c r="A1745" s="158" t="s">
        <v>731</v>
      </c>
      <c r="B1745" s="158" t="s">
        <v>732</v>
      </c>
      <c r="C1745" s="158" t="s">
        <v>39</v>
      </c>
      <c r="D1745" s="158" t="s">
        <v>40</v>
      </c>
      <c r="E1745" s="157">
        <v>72</v>
      </c>
      <c r="F1745" s="158" t="s">
        <v>525</v>
      </c>
      <c r="G1745" s="159">
        <v>241962.48</v>
      </c>
      <c r="H1745" s="159">
        <v>0</v>
      </c>
      <c r="I1745" s="159">
        <v>114749.28</v>
      </c>
      <c r="J1745" s="159">
        <v>47.4</v>
      </c>
      <c r="K1745" t="str">
        <f>VLOOKUP($C1745,Lists!$C$3:$M$118,7,FALSE)</f>
        <v>SOBO_RGB</v>
      </c>
      <c r="S1745" s="4"/>
      <c r="T1745" s="4"/>
      <c r="U1745" s="5"/>
      <c r="V1745" s="5"/>
    </row>
    <row r="1746" spans="1:22" x14ac:dyDescent="0.25">
      <c r="A1746" s="158" t="s">
        <v>731</v>
      </c>
      <c r="B1746" s="158" t="s">
        <v>732</v>
      </c>
      <c r="C1746" s="158" t="s">
        <v>47</v>
      </c>
      <c r="D1746" s="158" t="s">
        <v>48</v>
      </c>
      <c r="E1746" s="157">
        <v>72</v>
      </c>
      <c r="F1746" s="158" t="s">
        <v>525</v>
      </c>
      <c r="G1746" s="159">
        <v>290355.12</v>
      </c>
      <c r="H1746" s="159">
        <v>0</v>
      </c>
      <c r="I1746" s="159">
        <v>129744.72</v>
      </c>
      <c r="J1746" s="159">
        <v>44.7</v>
      </c>
      <c r="K1746" t="str">
        <f>VLOOKUP($C1746,Lists!$C$3:$M$118,7,FALSE)</f>
        <v>COKE_RGB</v>
      </c>
      <c r="S1746" s="4"/>
      <c r="T1746" s="4"/>
      <c r="U1746" s="5"/>
      <c r="V1746" s="5"/>
    </row>
    <row r="1747" spans="1:22" x14ac:dyDescent="0.25">
      <c r="A1747" s="158" t="s">
        <v>733</v>
      </c>
      <c r="B1747" s="158" t="s">
        <v>734</v>
      </c>
      <c r="C1747" s="158" t="s">
        <v>12</v>
      </c>
      <c r="D1747" s="158" t="s">
        <v>13</v>
      </c>
      <c r="E1747" s="157">
        <v>216</v>
      </c>
      <c r="F1747" s="158" t="s">
        <v>525</v>
      </c>
      <c r="G1747" s="159">
        <v>1416795.84</v>
      </c>
      <c r="H1747" s="159">
        <v>0</v>
      </c>
      <c r="I1747" s="159">
        <v>633957.84</v>
      </c>
      <c r="J1747" s="159">
        <v>44.7</v>
      </c>
      <c r="K1747" t="str">
        <f>VLOOKUP($C1747,Lists!$C$3:$M$118,7,FALSE)</f>
        <v>Beers</v>
      </c>
      <c r="S1747" s="4"/>
      <c r="T1747" s="4"/>
      <c r="U1747" s="5"/>
      <c r="V1747" s="5"/>
    </row>
    <row r="1748" spans="1:22" x14ac:dyDescent="0.25">
      <c r="A1748" s="158" t="s">
        <v>733</v>
      </c>
      <c r="B1748" s="158" t="s">
        <v>734</v>
      </c>
      <c r="C1748" s="158" t="s">
        <v>16</v>
      </c>
      <c r="D1748" s="158" t="s">
        <v>17</v>
      </c>
      <c r="E1748" s="157">
        <v>72</v>
      </c>
      <c r="F1748" s="158" t="s">
        <v>525</v>
      </c>
      <c r="G1748" s="159">
        <v>566717.76</v>
      </c>
      <c r="H1748" s="159">
        <v>0</v>
      </c>
      <c r="I1748" s="159">
        <v>285170.40000000002</v>
      </c>
      <c r="J1748" s="159">
        <v>50.3</v>
      </c>
      <c r="K1748" t="str">
        <f>VLOOKUP($C1748,Lists!$C$3:$M$118,7,FALSE)</f>
        <v>Beers</v>
      </c>
      <c r="S1748" s="4"/>
      <c r="T1748" s="4"/>
      <c r="U1748" s="5"/>
      <c r="V1748" s="5"/>
    </row>
    <row r="1749" spans="1:22" x14ac:dyDescent="0.25">
      <c r="A1749" s="158" t="s">
        <v>735</v>
      </c>
      <c r="B1749" s="158" t="s">
        <v>736</v>
      </c>
      <c r="C1749" s="158" t="s">
        <v>12</v>
      </c>
      <c r="D1749" s="158" t="s">
        <v>13</v>
      </c>
      <c r="E1749" s="157">
        <v>72</v>
      </c>
      <c r="F1749" s="158" t="s">
        <v>525</v>
      </c>
      <c r="G1749" s="159">
        <v>472265.28</v>
      </c>
      <c r="H1749" s="159">
        <v>0</v>
      </c>
      <c r="I1749" s="159">
        <v>211319.28</v>
      </c>
      <c r="J1749" s="159">
        <v>44.7</v>
      </c>
      <c r="K1749" t="str">
        <f>VLOOKUP($C1749,Lists!$C$3:$M$118,7,FALSE)</f>
        <v>Beers</v>
      </c>
      <c r="S1749" s="4"/>
      <c r="T1749" s="4"/>
      <c r="U1749" s="5"/>
      <c r="V1749" s="5"/>
    </row>
    <row r="1750" spans="1:22" x14ac:dyDescent="0.25">
      <c r="A1750" s="158" t="s">
        <v>735</v>
      </c>
      <c r="B1750" s="158" t="s">
        <v>736</v>
      </c>
      <c r="C1750" s="158" t="s">
        <v>22</v>
      </c>
      <c r="D1750" s="158" t="s">
        <v>23</v>
      </c>
      <c r="E1750" s="157">
        <v>72</v>
      </c>
      <c r="F1750" s="158" t="s">
        <v>525</v>
      </c>
      <c r="G1750" s="159">
        <v>290355.12</v>
      </c>
      <c r="H1750" s="159">
        <v>0</v>
      </c>
      <c r="I1750" s="159">
        <v>120185.28</v>
      </c>
      <c r="J1750" s="159">
        <v>41.4</v>
      </c>
      <c r="K1750" t="str">
        <f>VLOOKUP($C1750,Lists!$C$3:$M$118,7,FALSE)</f>
        <v>COKE_RGB</v>
      </c>
      <c r="S1750" s="4"/>
      <c r="T1750" s="4"/>
      <c r="U1750" s="5"/>
      <c r="V1750" s="5"/>
    </row>
    <row r="1751" spans="1:22" x14ac:dyDescent="0.25">
      <c r="A1751" s="158" t="s">
        <v>735</v>
      </c>
      <c r="B1751" s="158" t="s">
        <v>736</v>
      </c>
      <c r="C1751" s="158" t="s">
        <v>37</v>
      </c>
      <c r="D1751" s="158" t="s">
        <v>38</v>
      </c>
      <c r="E1751" s="157">
        <v>72</v>
      </c>
      <c r="F1751" s="158" t="s">
        <v>525</v>
      </c>
      <c r="G1751" s="159">
        <v>241962.48</v>
      </c>
      <c r="H1751" s="159">
        <v>0</v>
      </c>
      <c r="I1751" s="159">
        <v>115732.8</v>
      </c>
      <c r="J1751" s="159">
        <v>47.8</v>
      </c>
      <c r="K1751" t="str">
        <f>VLOOKUP($C1751,Lists!$C$3:$M$118,7,FALSE)</f>
        <v>SOBO_RGB</v>
      </c>
      <c r="S1751" s="4"/>
      <c r="T1751" s="4"/>
      <c r="U1751" s="5"/>
      <c r="V1751" s="5"/>
    </row>
    <row r="1752" spans="1:22" x14ac:dyDescent="0.25">
      <c r="A1752" s="158" t="s">
        <v>737</v>
      </c>
      <c r="B1752" s="158" t="s">
        <v>738</v>
      </c>
      <c r="C1752" s="158" t="s">
        <v>12</v>
      </c>
      <c r="D1752" s="158" t="s">
        <v>13</v>
      </c>
      <c r="E1752" s="157">
        <v>288</v>
      </c>
      <c r="F1752" s="158" t="s">
        <v>525</v>
      </c>
      <c r="G1752" s="159">
        <v>1889061.12</v>
      </c>
      <c r="H1752" s="159">
        <v>0</v>
      </c>
      <c r="I1752" s="159">
        <v>845277.12</v>
      </c>
      <c r="J1752" s="159">
        <v>44.7</v>
      </c>
      <c r="K1752" t="str">
        <f>VLOOKUP($C1752,Lists!$C$3:$M$118,7,FALSE)</f>
        <v>Beers</v>
      </c>
      <c r="S1752" s="4"/>
      <c r="T1752" s="4"/>
      <c r="U1752" s="5"/>
      <c r="V1752" s="5"/>
    </row>
    <row r="1753" spans="1:22" x14ac:dyDescent="0.25">
      <c r="A1753" s="158" t="s">
        <v>737</v>
      </c>
      <c r="B1753" s="158" t="s">
        <v>738</v>
      </c>
      <c r="C1753" s="158" t="s">
        <v>14</v>
      </c>
      <c r="D1753" s="158" t="s">
        <v>15</v>
      </c>
      <c r="E1753" s="157">
        <v>72</v>
      </c>
      <c r="F1753" s="158" t="s">
        <v>525</v>
      </c>
      <c r="G1753" s="159">
        <v>566717.76</v>
      </c>
      <c r="H1753" s="159">
        <v>0</v>
      </c>
      <c r="I1753" s="159">
        <v>285170.40000000002</v>
      </c>
      <c r="J1753" s="159">
        <v>50.3</v>
      </c>
      <c r="K1753" t="str">
        <f>VLOOKUP($C1753,Lists!$C$3:$M$118,7,FALSE)</f>
        <v>Beers</v>
      </c>
      <c r="S1753" s="4"/>
      <c r="T1753" s="4"/>
      <c r="U1753" s="5"/>
      <c r="V1753" s="5"/>
    </row>
    <row r="1754" spans="1:22" x14ac:dyDescent="0.25">
      <c r="A1754" s="158" t="s">
        <v>737</v>
      </c>
      <c r="B1754" s="158" t="s">
        <v>738</v>
      </c>
      <c r="C1754" s="158" t="s">
        <v>16</v>
      </c>
      <c r="D1754" s="158" t="s">
        <v>17</v>
      </c>
      <c r="E1754" s="157">
        <v>288</v>
      </c>
      <c r="F1754" s="158" t="s">
        <v>525</v>
      </c>
      <c r="G1754" s="159">
        <v>2266871.04</v>
      </c>
      <c r="H1754" s="159">
        <v>0</v>
      </c>
      <c r="I1754" s="159">
        <v>1140681.6000000001</v>
      </c>
      <c r="J1754" s="159">
        <v>50.3</v>
      </c>
      <c r="K1754" t="str">
        <f>VLOOKUP($C1754,Lists!$C$3:$M$118,7,FALSE)</f>
        <v>Beers</v>
      </c>
      <c r="S1754" s="4"/>
      <c r="T1754" s="4"/>
      <c r="U1754" s="5"/>
      <c r="V1754" s="5"/>
    </row>
    <row r="1755" spans="1:22" x14ac:dyDescent="0.25">
      <c r="A1755" s="158" t="s">
        <v>737</v>
      </c>
      <c r="B1755" s="158" t="s">
        <v>738</v>
      </c>
      <c r="C1755" s="158" t="s">
        <v>20</v>
      </c>
      <c r="D1755" s="158" t="s">
        <v>21</v>
      </c>
      <c r="E1755" s="157">
        <v>216</v>
      </c>
      <c r="F1755" s="158" t="s">
        <v>525</v>
      </c>
      <c r="G1755" s="159">
        <v>871065.36</v>
      </c>
      <c r="H1755" s="159">
        <v>0</v>
      </c>
      <c r="I1755" s="159">
        <v>375410.14</v>
      </c>
      <c r="J1755" s="159">
        <v>43.1</v>
      </c>
      <c r="K1755" t="str">
        <f>VLOOKUP($C1755,Lists!$C$3:$M$118,7,FALSE)</f>
        <v>COKE_RGB</v>
      </c>
      <c r="S1755" s="4"/>
      <c r="T1755" s="4"/>
      <c r="U1755" s="5"/>
      <c r="V1755" s="5"/>
    </row>
    <row r="1756" spans="1:22" x14ac:dyDescent="0.25">
      <c r="A1756" s="158" t="s">
        <v>737</v>
      </c>
      <c r="B1756" s="158" t="s">
        <v>738</v>
      </c>
      <c r="C1756" s="158" t="s">
        <v>22</v>
      </c>
      <c r="D1756" s="158" t="s">
        <v>23</v>
      </c>
      <c r="E1756" s="157">
        <v>144</v>
      </c>
      <c r="F1756" s="158" t="s">
        <v>525</v>
      </c>
      <c r="G1756" s="159">
        <v>580710.24</v>
      </c>
      <c r="H1756" s="159">
        <v>0</v>
      </c>
      <c r="I1756" s="159">
        <v>240370.56</v>
      </c>
      <c r="J1756" s="159">
        <v>41.4</v>
      </c>
      <c r="K1756" t="str">
        <f>VLOOKUP($C1756,Lists!$C$3:$M$118,7,FALSE)</f>
        <v>COKE_RGB</v>
      </c>
      <c r="S1756" s="4"/>
      <c r="T1756" s="4"/>
      <c r="U1756" s="5"/>
      <c r="V1756" s="5"/>
    </row>
    <row r="1757" spans="1:22" x14ac:dyDescent="0.25">
      <c r="A1757" s="158" t="s">
        <v>737</v>
      </c>
      <c r="B1757" s="158" t="s">
        <v>738</v>
      </c>
      <c r="C1757" s="158" t="s">
        <v>37</v>
      </c>
      <c r="D1757" s="158" t="s">
        <v>38</v>
      </c>
      <c r="E1757" s="157">
        <v>72</v>
      </c>
      <c r="F1757" s="158" t="s">
        <v>525</v>
      </c>
      <c r="G1757" s="159">
        <v>241962.48</v>
      </c>
      <c r="H1757" s="159">
        <v>0</v>
      </c>
      <c r="I1757" s="159">
        <v>115732.8</v>
      </c>
      <c r="J1757" s="159">
        <v>47.8</v>
      </c>
      <c r="K1757" t="str">
        <f>VLOOKUP($C1757,Lists!$C$3:$M$118,7,FALSE)</f>
        <v>SOBO_RGB</v>
      </c>
      <c r="S1757" s="4"/>
      <c r="T1757" s="4"/>
      <c r="U1757" s="5"/>
      <c r="V1757" s="5"/>
    </row>
    <row r="1758" spans="1:22" x14ac:dyDescent="0.25">
      <c r="A1758" s="158" t="s">
        <v>737</v>
      </c>
      <c r="B1758" s="158" t="s">
        <v>738</v>
      </c>
      <c r="C1758" s="158" t="s">
        <v>49</v>
      </c>
      <c r="D1758" s="158" t="s">
        <v>50</v>
      </c>
      <c r="E1758" s="157">
        <v>6</v>
      </c>
      <c r="F1758" s="158" t="s">
        <v>525</v>
      </c>
      <c r="G1758" s="159">
        <v>60164.28</v>
      </c>
      <c r="H1758" s="159">
        <v>0</v>
      </c>
      <c r="I1758" s="159">
        <v>19162.32</v>
      </c>
      <c r="J1758" s="159">
        <v>31.8</v>
      </c>
      <c r="K1758" t="str">
        <f>VLOOKUP($C1758,Lists!$C$3:$M$118,7,FALSE)</f>
        <v>Squash</v>
      </c>
      <c r="S1758" s="4"/>
      <c r="T1758" s="4"/>
      <c r="U1758" s="5"/>
      <c r="V1758" s="5"/>
    </row>
    <row r="1759" spans="1:22" x14ac:dyDescent="0.25">
      <c r="A1759" s="158" t="s">
        <v>737</v>
      </c>
      <c r="B1759" s="158" t="s">
        <v>738</v>
      </c>
      <c r="C1759" s="158" t="s">
        <v>51</v>
      </c>
      <c r="D1759" s="158" t="s">
        <v>52</v>
      </c>
      <c r="E1759" s="157">
        <v>6</v>
      </c>
      <c r="F1759" s="158" t="s">
        <v>525</v>
      </c>
      <c r="G1759" s="159">
        <v>60164.28</v>
      </c>
      <c r="H1759" s="159">
        <v>0</v>
      </c>
      <c r="I1759" s="159">
        <v>19002.18</v>
      </c>
      <c r="J1759" s="159">
        <v>31.6</v>
      </c>
      <c r="K1759" t="str">
        <f>VLOOKUP($C1759,Lists!$C$3:$M$118,7,FALSE)</f>
        <v>Squash</v>
      </c>
      <c r="S1759" s="4"/>
      <c r="T1759" s="4"/>
      <c r="U1759" s="5"/>
      <c r="V1759" s="5"/>
    </row>
    <row r="1760" spans="1:22" x14ac:dyDescent="0.25">
      <c r="A1760" s="158" t="s">
        <v>739</v>
      </c>
      <c r="B1760" s="158" t="s">
        <v>740</v>
      </c>
      <c r="C1760" s="158" t="s">
        <v>12</v>
      </c>
      <c r="D1760" s="158" t="s">
        <v>13</v>
      </c>
      <c r="E1760" s="157">
        <v>144</v>
      </c>
      <c r="F1760" s="158" t="s">
        <v>525</v>
      </c>
      <c r="G1760" s="159">
        <v>944530.56</v>
      </c>
      <c r="H1760" s="159">
        <v>0</v>
      </c>
      <c r="I1760" s="159">
        <v>422638.55</v>
      </c>
      <c r="J1760" s="159">
        <v>44.7</v>
      </c>
      <c r="K1760" t="str">
        <f>VLOOKUP($C1760,Lists!$C$3:$M$118,7,FALSE)</f>
        <v>Beers</v>
      </c>
      <c r="S1760" s="4"/>
      <c r="T1760" s="4"/>
      <c r="U1760" s="5"/>
      <c r="V1760" s="5"/>
    </row>
    <row r="1761" spans="1:22" x14ac:dyDescent="0.25">
      <c r="A1761" s="158" t="s">
        <v>739</v>
      </c>
      <c r="B1761" s="158" t="s">
        <v>740</v>
      </c>
      <c r="C1761" s="158" t="s">
        <v>20</v>
      </c>
      <c r="D1761" s="158" t="s">
        <v>21</v>
      </c>
      <c r="E1761" s="157">
        <v>72</v>
      </c>
      <c r="F1761" s="158" t="s">
        <v>525</v>
      </c>
      <c r="G1761" s="159">
        <v>290355.12</v>
      </c>
      <c r="H1761" s="159">
        <v>0</v>
      </c>
      <c r="I1761" s="159">
        <v>125136.71</v>
      </c>
      <c r="J1761" s="159">
        <v>43.1</v>
      </c>
      <c r="K1761" t="str">
        <f>VLOOKUP($C1761,Lists!$C$3:$M$118,7,FALSE)</f>
        <v>COKE_RGB</v>
      </c>
      <c r="S1761" s="4"/>
      <c r="T1761" s="4"/>
      <c r="U1761" s="5"/>
      <c r="V1761" s="5"/>
    </row>
    <row r="1762" spans="1:22" x14ac:dyDescent="0.25">
      <c r="A1762" s="158" t="s">
        <v>739</v>
      </c>
      <c r="B1762" s="158" t="s">
        <v>740</v>
      </c>
      <c r="C1762" s="158" t="s">
        <v>37</v>
      </c>
      <c r="D1762" s="158" t="s">
        <v>38</v>
      </c>
      <c r="E1762" s="157">
        <v>72</v>
      </c>
      <c r="F1762" s="158" t="s">
        <v>525</v>
      </c>
      <c r="G1762" s="159">
        <v>241962.48</v>
      </c>
      <c r="H1762" s="159">
        <v>0</v>
      </c>
      <c r="I1762" s="159">
        <v>115732.8</v>
      </c>
      <c r="J1762" s="159">
        <v>47.8</v>
      </c>
      <c r="K1762" t="str">
        <f>VLOOKUP($C1762,Lists!$C$3:$M$118,7,FALSE)</f>
        <v>SOBO_RGB</v>
      </c>
      <c r="S1762" s="4"/>
      <c r="T1762" s="4"/>
      <c r="U1762" s="5"/>
      <c r="V1762" s="5"/>
    </row>
    <row r="1763" spans="1:22" x14ac:dyDescent="0.25">
      <c r="A1763" s="158" t="s">
        <v>739</v>
      </c>
      <c r="B1763" s="158" t="s">
        <v>740</v>
      </c>
      <c r="C1763" s="158" t="s">
        <v>39</v>
      </c>
      <c r="D1763" s="158" t="s">
        <v>40</v>
      </c>
      <c r="E1763" s="157">
        <v>72</v>
      </c>
      <c r="F1763" s="158" t="s">
        <v>525</v>
      </c>
      <c r="G1763" s="159">
        <v>241962.48</v>
      </c>
      <c r="H1763" s="159">
        <v>0</v>
      </c>
      <c r="I1763" s="159">
        <v>114749.28</v>
      </c>
      <c r="J1763" s="159">
        <v>47.4</v>
      </c>
      <c r="K1763" t="str">
        <f>VLOOKUP($C1763,Lists!$C$3:$M$118,7,FALSE)</f>
        <v>SOBO_RGB</v>
      </c>
      <c r="S1763" s="4"/>
      <c r="T1763" s="4"/>
      <c r="U1763" s="5"/>
      <c r="V1763" s="5"/>
    </row>
    <row r="1764" spans="1:22" x14ac:dyDescent="0.25">
      <c r="A1764" s="158" t="s">
        <v>741</v>
      </c>
      <c r="B1764" s="158" t="s">
        <v>742</v>
      </c>
      <c r="C1764" s="158" t="s">
        <v>22</v>
      </c>
      <c r="D1764" s="158" t="s">
        <v>23</v>
      </c>
      <c r="E1764" s="157">
        <v>72</v>
      </c>
      <c r="F1764" s="158" t="s">
        <v>525</v>
      </c>
      <c r="G1764" s="159">
        <v>290355.12</v>
      </c>
      <c r="H1764" s="159">
        <v>0</v>
      </c>
      <c r="I1764" s="159">
        <v>120185.28</v>
      </c>
      <c r="J1764" s="159">
        <v>41.4</v>
      </c>
      <c r="K1764" t="str">
        <f>VLOOKUP($C1764,Lists!$C$3:$M$118,7,FALSE)</f>
        <v>COKE_RGB</v>
      </c>
      <c r="S1764" s="4"/>
      <c r="T1764" s="4"/>
      <c r="U1764" s="5"/>
      <c r="V1764" s="5"/>
    </row>
    <row r="1765" spans="1:22" x14ac:dyDescent="0.25">
      <c r="A1765" s="158" t="s">
        <v>741</v>
      </c>
      <c r="B1765" s="158" t="s">
        <v>742</v>
      </c>
      <c r="C1765" s="158" t="s">
        <v>37</v>
      </c>
      <c r="D1765" s="158" t="s">
        <v>38</v>
      </c>
      <c r="E1765" s="157">
        <v>71</v>
      </c>
      <c r="F1765" s="158" t="s">
        <v>525</v>
      </c>
      <c r="G1765" s="159">
        <v>238601.89</v>
      </c>
      <c r="H1765" s="159">
        <v>0</v>
      </c>
      <c r="I1765" s="159">
        <v>114125.4</v>
      </c>
      <c r="J1765" s="159">
        <v>47.8</v>
      </c>
      <c r="K1765" t="str">
        <f>VLOOKUP($C1765,Lists!$C$3:$M$118,7,FALSE)</f>
        <v>SOBO_RGB</v>
      </c>
      <c r="S1765" s="4"/>
      <c r="T1765" s="4"/>
      <c r="U1765" s="5"/>
      <c r="V1765" s="5"/>
    </row>
    <row r="1766" spans="1:22" x14ac:dyDescent="0.25">
      <c r="A1766" s="158" t="s">
        <v>741</v>
      </c>
      <c r="B1766" s="158" t="s">
        <v>742</v>
      </c>
      <c r="C1766" s="158" t="s">
        <v>47</v>
      </c>
      <c r="D1766" s="158" t="s">
        <v>48</v>
      </c>
      <c r="E1766" s="157">
        <v>72</v>
      </c>
      <c r="F1766" s="158" t="s">
        <v>525</v>
      </c>
      <c r="G1766" s="159">
        <v>290355.12</v>
      </c>
      <c r="H1766" s="159">
        <v>0</v>
      </c>
      <c r="I1766" s="159">
        <v>129744.72</v>
      </c>
      <c r="J1766" s="159">
        <v>44.7</v>
      </c>
      <c r="K1766" t="str">
        <f>VLOOKUP($C1766,Lists!$C$3:$M$118,7,FALSE)</f>
        <v>COKE_RGB</v>
      </c>
      <c r="S1766" s="4"/>
      <c r="T1766" s="4"/>
      <c r="U1766" s="5"/>
      <c r="V1766" s="5"/>
    </row>
    <row r="1767" spans="1:22" x14ac:dyDescent="0.25">
      <c r="A1767" s="158" t="s">
        <v>743</v>
      </c>
      <c r="B1767" s="158" t="s">
        <v>744</v>
      </c>
      <c r="C1767" s="158" t="s">
        <v>12</v>
      </c>
      <c r="D1767" s="158" t="s">
        <v>13</v>
      </c>
      <c r="E1767" s="157">
        <v>144</v>
      </c>
      <c r="F1767" s="158" t="s">
        <v>525</v>
      </c>
      <c r="G1767" s="159">
        <v>944530.56</v>
      </c>
      <c r="H1767" s="159">
        <v>0</v>
      </c>
      <c r="I1767" s="159">
        <v>422638.56</v>
      </c>
      <c r="J1767" s="159">
        <v>44.7</v>
      </c>
      <c r="K1767" t="str">
        <f>VLOOKUP($C1767,Lists!$C$3:$M$118,7,FALSE)</f>
        <v>Beers</v>
      </c>
      <c r="S1767" s="4"/>
      <c r="T1767" s="4"/>
      <c r="U1767" s="5"/>
      <c r="V1767" s="5"/>
    </row>
    <row r="1768" spans="1:22" x14ac:dyDescent="0.25">
      <c r="A1768" s="158" t="s">
        <v>743</v>
      </c>
      <c r="B1768" s="158" t="s">
        <v>744</v>
      </c>
      <c r="C1768" s="158" t="s">
        <v>20</v>
      </c>
      <c r="D1768" s="158" t="s">
        <v>21</v>
      </c>
      <c r="E1768" s="157">
        <v>144</v>
      </c>
      <c r="F1768" s="158" t="s">
        <v>525</v>
      </c>
      <c r="G1768" s="159">
        <v>580710.24</v>
      </c>
      <c r="H1768" s="159">
        <v>0</v>
      </c>
      <c r="I1768" s="159">
        <v>250273.44</v>
      </c>
      <c r="J1768" s="159">
        <v>43.1</v>
      </c>
      <c r="K1768" t="str">
        <f>VLOOKUP($C1768,Lists!$C$3:$M$118,7,FALSE)</f>
        <v>COKE_RGB</v>
      </c>
      <c r="S1768" s="4"/>
      <c r="T1768" s="4"/>
      <c r="U1768" s="5"/>
      <c r="V1768" s="5"/>
    </row>
    <row r="1769" spans="1:22" x14ac:dyDescent="0.25">
      <c r="A1769" s="158" t="s">
        <v>743</v>
      </c>
      <c r="B1769" s="158" t="s">
        <v>744</v>
      </c>
      <c r="C1769" s="158" t="s">
        <v>43</v>
      </c>
      <c r="D1769" s="158" t="s">
        <v>44</v>
      </c>
      <c r="E1769" s="157">
        <v>72</v>
      </c>
      <c r="F1769" s="158" t="s">
        <v>525</v>
      </c>
      <c r="G1769" s="159">
        <v>566717.76</v>
      </c>
      <c r="H1769" s="159">
        <v>0</v>
      </c>
      <c r="I1769" s="159">
        <v>285170.40000000002</v>
      </c>
      <c r="J1769" s="159">
        <v>50.3</v>
      </c>
      <c r="K1769" t="str">
        <f>VLOOKUP($C1769,Lists!$C$3:$M$118,7,FALSE)</f>
        <v>Beers</v>
      </c>
      <c r="S1769" s="4"/>
      <c r="T1769" s="4"/>
      <c r="U1769" s="5"/>
      <c r="V1769" s="5"/>
    </row>
    <row r="1770" spans="1:22" x14ac:dyDescent="0.25">
      <c r="A1770" s="158" t="s">
        <v>743</v>
      </c>
      <c r="B1770" s="158" t="s">
        <v>744</v>
      </c>
      <c r="C1770" s="158" t="s">
        <v>22</v>
      </c>
      <c r="D1770" s="158" t="s">
        <v>23</v>
      </c>
      <c r="E1770" s="157">
        <v>144</v>
      </c>
      <c r="F1770" s="158" t="s">
        <v>525</v>
      </c>
      <c r="G1770" s="159">
        <v>580710.24</v>
      </c>
      <c r="H1770" s="159">
        <v>0</v>
      </c>
      <c r="I1770" s="159">
        <v>240370.56</v>
      </c>
      <c r="J1770" s="159">
        <v>41.4</v>
      </c>
      <c r="K1770" t="str">
        <f>VLOOKUP($C1770,Lists!$C$3:$M$118,7,FALSE)</f>
        <v>COKE_RGB</v>
      </c>
      <c r="S1770" s="4"/>
      <c r="T1770" s="4"/>
      <c r="U1770" s="5"/>
      <c r="V1770" s="5"/>
    </row>
    <row r="1771" spans="1:22" x14ac:dyDescent="0.25">
      <c r="A1771" s="158" t="s">
        <v>743</v>
      </c>
      <c r="B1771" s="158" t="s">
        <v>744</v>
      </c>
      <c r="C1771" s="158" t="s">
        <v>261</v>
      </c>
      <c r="D1771" s="158" t="s">
        <v>538</v>
      </c>
      <c r="E1771" s="157">
        <v>72</v>
      </c>
      <c r="F1771" s="158" t="s">
        <v>525</v>
      </c>
      <c r="G1771" s="159">
        <v>290355.12</v>
      </c>
      <c r="H1771" s="159">
        <v>0</v>
      </c>
      <c r="I1771" s="159">
        <v>120185.28</v>
      </c>
      <c r="J1771" s="159">
        <v>41.4</v>
      </c>
      <c r="K1771" t="str">
        <f>VLOOKUP($C1771,Lists!$C$3:$M$118,7,FALSE)</f>
        <v>COKE_RGB</v>
      </c>
      <c r="S1771" s="4"/>
      <c r="T1771" s="4"/>
      <c r="U1771" s="5"/>
      <c r="V1771" s="5"/>
    </row>
    <row r="1772" spans="1:22" x14ac:dyDescent="0.25">
      <c r="A1772" s="158" t="s">
        <v>743</v>
      </c>
      <c r="B1772" s="158" t="s">
        <v>744</v>
      </c>
      <c r="C1772" s="158" t="s">
        <v>24</v>
      </c>
      <c r="D1772" s="158" t="s">
        <v>25</v>
      </c>
      <c r="E1772" s="157">
        <v>216</v>
      </c>
      <c r="F1772" s="158" t="s">
        <v>525</v>
      </c>
      <c r="G1772" s="159">
        <v>1416795.84</v>
      </c>
      <c r="H1772" s="159">
        <v>0</v>
      </c>
      <c r="I1772" s="159">
        <v>695759.76</v>
      </c>
      <c r="J1772" s="159">
        <v>49.1</v>
      </c>
      <c r="K1772" t="str">
        <f>VLOOKUP($C1772,Lists!$C$3:$M$118,7,FALSE)</f>
        <v>Beers</v>
      </c>
      <c r="S1772" s="4"/>
      <c r="T1772" s="4"/>
      <c r="U1772" s="5"/>
      <c r="V1772" s="5"/>
    </row>
    <row r="1773" spans="1:22" x14ac:dyDescent="0.25">
      <c r="A1773" s="158" t="s">
        <v>743</v>
      </c>
      <c r="B1773" s="158" t="s">
        <v>744</v>
      </c>
      <c r="C1773" s="158" t="s">
        <v>29</v>
      </c>
      <c r="D1773" s="158" t="s">
        <v>30</v>
      </c>
      <c r="E1773" s="157">
        <v>5</v>
      </c>
      <c r="F1773" s="158" t="s">
        <v>525</v>
      </c>
      <c r="G1773" s="159">
        <v>185354.45</v>
      </c>
      <c r="H1773" s="159">
        <v>0</v>
      </c>
      <c r="I1773" s="159">
        <v>55354.45</v>
      </c>
      <c r="J1773" s="159">
        <v>29.9</v>
      </c>
      <c r="K1773" t="str">
        <f>VLOOKUP($C1773,Lists!$C$3:$M$118,7,FALSE)</f>
        <v>Spirits</v>
      </c>
      <c r="S1773" s="4"/>
      <c r="T1773" s="4"/>
      <c r="U1773" s="5"/>
      <c r="V1773" s="5"/>
    </row>
    <row r="1774" spans="1:22" x14ac:dyDescent="0.25">
      <c r="A1774" s="158" t="s">
        <v>743</v>
      </c>
      <c r="B1774" s="158" t="s">
        <v>744</v>
      </c>
      <c r="C1774" s="158" t="s">
        <v>37</v>
      </c>
      <c r="D1774" s="158" t="s">
        <v>38</v>
      </c>
      <c r="E1774" s="157">
        <v>144</v>
      </c>
      <c r="F1774" s="158" t="s">
        <v>525</v>
      </c>
      <c r="G1774" s="159">
        <v>483924.96</v>
      </c>
      <c r="H1774" s="159">
        <v>0</v>
      </c>
      <c r="I1774" s="159">
        <v>231465.60000000001</v>
      </c>
      <c r="J1774" s="159">
        <v>47.8</v>
      </c>
      <c r="K1774" t="str">
        <f>VLOOKUP($C1774,Lists!$C$3:$M$118,7,FALSE)</f>
        <v>SOBO_RGB</v>
      </c>
      <c r="S1774" s="4"/>
      <c r="T1774" s="4"/>
      <c r="U1774" s="5"/>
      <c r="V1774" s="5"/>
    </row>
    <row r="1775" spans="1:22" x14ac:dyDescent="0.25">
      <c r="A1775" s="158" t="s">
        <v>743</v>
      </c>
      <c r="B1775" s="158" t="s">
        <v>744</v>
      </c>
      <c r="C1775" s="158" t="s">
        <v>51</v>
      </c>
      <c r="D1775" s="158" t="s">
        <v>52</v>
      </c>
      <c r="E1775" s="157">
        <v>10</v>
      </c>
      <c r="F1775" s="158" t="s">
        <v>525</v>
      </c>
      <c r="G1775" s="159">
        <v>100273.8</v>
      </c>
      <c r="H1775" s="159">
        <v>0</v>
      </c>
      <c r="I1775" s="159">
        <v>31670.3</v>
      </c>
      <c r="J1775" s="159">
        <v>31.6</v>
      </c>
      <c r="K1775" t="str">
        <f>VLOOKUP($C1775,Lists!$C$3:$M$118,7,FALSE)</f>
        <v>Squash</v>
      </c>
      <c r="S1775" s="4"/>
      <c r="T1775" s="4"/>
      <c r="U1775" s="5"/>
      <c r="V1775" s="5"/>
    </row>
    <row r="1776" spans="1:22" x14ac:dyDescent="0.25">
      <c r="A1776" s="158" t="s">
        <v>745</v>
      </c>
      <c r="B1776" s="158" t="s">
        <v>746</v>
      </c>
      <c r="C1776" s="158" t="s">
        <v>12</v>
      </c>
      <c r="D1776" s="158" t="s">
        <v>13</v>
      </c>
      <c r="E1776" s="157">
        <v>144</v>
      </c>
      <c r="F1776" s="158" t="s">
        <v>525</v>
      </c>
      <c r="G1776" s="159">
        <v>944530.56</v>
      </c>
      <c r="H1776" s="159">
        <v>0</v>
      </c>
      <c r="I1776" s="159">
        <v>422638.56</v>
      </c>
      <c r="J1776" s="159">
        <v>44.7</v>
      </c>
      <c r="K1776" t="str">
        <f>VLOOKUP($C1776,Lists!$C$3:$M$118,7,FALSE)</f>
        <v>Beers</v>
      </c>
      <c r="S1776" s="4"/>
      <c r="T1776" s="4"/>
      <c r="U1776" s="5"/>
      <c r="V1776" s="5"/>
    </row>
    <row r="1777" spans="1:22" x14ac:dyDescent="0.25">
      <c r="A1777" s="158" t="s">
        <v>745</v>
      </c>
      <c r="B1777" s="158" t="s">
        <v>746</v>
      </c>
      <c r="C1777" s="158" t="s">
        <v>18</v>
      </c>
      <c r="D1777" s="158" t="s">
        <v>19</v>
      </c>
      <c r="E1777" s="157">
        <v>72</v>
      </c>
      <c r="F1777" s="158" t="s">
        <v>525</v>
      </c>
      <c r="G1777" s="159">
        <v>755623.44</v>
      </c>
      <c r="H1777" s="159">
        <v>0</v>
      </c>
      <c r="I1777" s="159">
        <v>398539.44</v>
      </c>
      <c r="J1777" s="159">
        <v>52.7</v>
      </c>
      <c r="K1777" t="str">
        <f>VLOOKUP($C1777,Lists!$C$3:$M$118,7,FALSE)</f>
        <v>Beers</v>
      </c>
      <c r="S1777" s="4"/>
      <c r="T1777" s="4"/>
      <c r="U1777" s="5"/>
      <c r="V1777" s="5"/>
    </row>
    <row r="1778" spans="1:22" x14ac:dyDescent="0.25">
      <c r="A1778" s="158" t="s">
        <v>745</v>
      </c>
      <c r="B1778" s="158" t="s">
        <v>746</v>
      </c>
      <c r="C1778" s="158" t="s">
        <v>20</v>
      </c>
      <c r="D1778" s="158" t="s">
        <v>21</v>
      </c>
      <c r="E1778" s="157">
        <v>287</v>
      </c>
      <c r="F1778" s="158" t="s">
        <v>525</v>
      </c>
      <c r="G1778" s="159">
        <v>1157387.77</v>
      </c>
      <c r="H1778" s="159">
        <v>0</v>
      </c>
      <c r="I1778" s="159">
        <v>498808.87</v>
      </c>
      <c r="J1778" s="159">
        <v>43.1</v>
      </c>
      <c r="K1778" t="str">
        <f>VLOOKUP($C1778,Lists!$C$3:$M$118,7,FALSE)</f>
        <v>COKE_RGB</v>
      </c>
      <c r="S1778" s="4"/>
      <c r="T1778" s="4"/>
      <c r="U1778" s="5"/>
      <c r="V1778" s="5"/>
    </row>
    <row r="1779" spans="1:22" x14ac:dyDescent="0.25">
      <c r="A1779" s="158" t="s">
        <v>745</v>
      </c>
      <c r="B1779" s="158" t="s">
        <v>746</v>
      </c>
      <c r="C1779" s="158" t="s">
        <v>43</v>
      </c>
      <c r="D1779" s="158" t="s">
        <v>44</v>
      </c>
      <c r="E1779" s="157">
        <v>72</v>
      </c>
      <c r="F1779" s="158" t="s">
        <v>525</v>
      </c>
      <c r="G1779" s="159">
        <v>566717.76</v>
      </c>
      <c r="H1779" s="159">
        <v>0</v>
      </c>
      <c r="I1779" s="159">
        <v>285170.40000000002</v>
      </c>
      <c r="J1779" s="159">
        <v>50.3</v>
      </c>
      <c r="K1779" t="str">
        <f>VLOOKUP($C1779,Lists!$C$3:$M$118,7,FALSE)</f>
        <v>Beers</v>
      </c>
      <c r="S1779" s="4"/>
      <c r="T1779" s="4"/>
      <c r="U1779" s="5"/>
      <c r="V1779" s="5"/>
    </row>
    <row r="1780" spans="1:22" x14ac:dyDescent="0.25">
      <c r="A1780" s="158" t="s">
        <v>745</v>
      </c>
      <c r="B1780" s="158" t="s">
        <v>746</v>
      </c>
      <c r="C1780" s="158" t="s">
        <v>22</v>
      </c>
      <c r="D1780" s="158" t="s">
        <v>23</v>
      </c>
      <c r="E1780" s="157">
        <v>144</v>
      </c>
      <c r="F1780" s="158" t="s">
        <v>525</v>
      </c>
      <c r="G1780" s="159">
        <v>580710.24</v>
      </c>
      <c r="H1780" s="159">
        <v>0</v>
      </c>
      <c r="I1780" s="159">
        <v>240370.56</v>
      </c>
      <c r="J1780" s="159">
        <v>41.4</v>
      </c>
      <c r="K1780" t="str">
        <f>VLOOKUP($C1780,Lists!$C$3:$M$118,7,FALSE)</f>
        <v>COKE_RGB</v>
      </c>
      <c r="S1780" s="4"/>
      <c r="T1780" s="4"/>
      <c r="U1780" s="5"/>
      <c r="V1780" s="5"/>
    </row>
    <row r="1781" spans="1:22" x14ac:dyDescent="0.25">
      <c r="A1781" s="158" t="s">
        <v>745</v>
      </c>
      <c r="B1781" s="158" t="s">
        <v>746</v>
      </c>
      <c r="C1781" s="158" t="s">
        <v>24</v>
      </c>
      <c r="D1781" s="158" t="s">
        <v>25</v>
      </c>
      <c r="E1781" s="157">
        <v>71</v>
      </c>
      <c r="F1781" s="158" t="s">
        <v>525</v>
      </c>
      <c r="G1781" s="159">
        <v>465706.04</v>
      </c>
      <c r="H1781" s="159">
        <v>0</v>
      </c>
      <c r="I1781" s="159">
        <v>228698.81</v>
      </c>
      <c r="J1781" s="159">
        <v>49.1</v>
      </c>
      <c r="K1781" t="str">
        <f>VLOOKUP($C1781,Lists!$C$3:$M$118,7,FALSE)</f>
        <v>Beers</v>
      </c>
      <c r="S1781" s="4"/>
      <c r="T1781" s="4"/>
      <c r="U1781" s="5"/>
      <c r="V1781" s="5"/>
    </row>
    <row r="1782" spans="1:22" x14ac:dyDescent="0.25">
      <c r="A1782" s="158" t="s">
        <v>745</v>
      </c>
      <c r="B1782" s="158" t="s">
        <v>746</v>
      </c>
      <c r="C1782" s="158" t="s">
        <v>47</v>
      </c>
      <c r="D1782" s="158" t="s">
        <v>48</v>
      </c>
      <c r="E1782" s="157">
        <v>72</v>
      </c>
      <c r="F1782" s="158" t="s">
        <v>525</v>
      </c>
      <c r="G1782" s="159">
        <v>290355.12</v>
      </c>
      <c r="H1782" s="159">
        <v>0</v>
      </c>
      <c r="I1782" s="159">
        <v>129744.72</v>
      </c>
      <c r="J1782" s="159">
        <v>44.7</v>
      </c>
      <c r="K1782" t="str">
        <f>VLOOKUP($C1782,Lists!$C$3:$M$118,7,FALSE)</f>
        <v>COKE_RGB</v>
      </c>
      <c r="S1782" s="4"/>
      <c r="T1782" s="4"/>
      <c r="U1782" s="5"/>
      <c r="V1782" s="5"/>
    </row>
    <row r="1783" spans="1:22" x14ac:dyDescent="0.25">
      <c r="A1783" s="158" t="s">
        <v>745</v>
      </c>
      <c r="B1783" s="158" t="s">
        <v>746</v>
      </c>
      <c r="C1783" s="158" t="s">
        <v>51</v>
      </c>
      <c r="D1783" s="158" t="s">
        <v>52</v>
      </c>
      <c r="E1783" s="157">
        <v>9.8333300000000001</v>
      </c>
      <c r="F1783" s="158" t="s">
        <v>525</v>
      </c>
      <c r="G1783" s="159">
        <v>98602.54</v>
      </c>
      <c r="H1783" s="159">
        <v>0</v>
      </c>
      <c r="I1783" s="159">
        <v>31142.45</v>
      </c>
      <c r="J1783" s="159">
        <v>31.6</v>
      </c>
      <c r="K1783" t="str">
        <f>VLOOKUP($C1783,Lists!$C$3:$M$118,7,FALSE)</f>
        <v>Squash</v>
      </c>
      <c r="S1783" s="4"/>
      <c r="T1783" s="4"/>
      <c r="U1783" s="5"/>
      <c r="V1783" s="5"/>
    </row>
    <row r="1784" spans="1:22" x14ac:dyDescent="0.25">
      <c r="A1784" s="158" t="s">
        <v>747</v>
      </c>
      <c r="B1784" s="158" t="s">
        <v>748</v>
      </c>
      <c r="C1784" s="158" t="s">
        <v>12</v>
      </c>
      <c r="D1784" s="158" t="s">
        <v>13</v>
      </c>
      <c r="E1784" s="157">
        <v>288</v>
      </c>
      <c r="F1784" s="158" t="s">
        <v>525</v>
      </c>
      <c r="G1784" s="159">
        <v>1889061.12</v>
      </c>
      <c r="H1784" s="159">
        <v>0</v>
      </c>
      <c r="I1784" s="159">
        <v>845277.12</v>
      </c>
      <c r="J1784" s="159">
        <v>44.7</v>
      </c>
      <c r="K1784" t="str">
        <f>VLOOKUP($C1784,Lists!$C$3:$M$118,7,FALSE)</f>
        <v>Beers</v>
      </c>
      <c r="S1784" s="4"/>
      <c r="T1784" s="4"/>
      <c r="U1784" s="5"/>
      <c r="V1784" s="5"/>
    </row>
    <row r="1785" spans="1:22" x14ac:dyDescent="0.25">
      <c r="A1785" s="158" t="s">
        <v>747</v>
      </c>
      <c r="B1785" s="158" t="s">
        <v>748</v>
      </c>
      <c r="C1785" s="158" t="s">
        <v>16</v>
      </c>
      <c r="D1785" s="158" t="s">
        <v>17</v>
      </c>
      <c r="E1785" s="157">
        <v>143</v>
      </c>
      <c r="F1785" s="158" t="s">
        <v>525</v>
      </c>
      <c r="G1785" s="159">
        <v>1125564.44</v>
      </c>
      <c r="H1785" s="159">
        <v>0</v>
      </c>
      <c r="I1785" s="159">
        <v>566380.1</v>
      </c>
      <c r="J1785" s="159">
        <v>50.3</v>
      </c>
      <c r="K1785" t="str">
        <f>VLOOKUP($C1785,Lists!$C$3:$M$118,7,FALSE)</f>
        <v>Beers</v>
      </c>
      <c r="S1785" s="4"/>
      <c r="T1785" s="4"/>
      <c r="U1785" s="5"/>
      <c r="V1785" s="5"/>
    </row>
    <row r="1786" spans="1:22" x14ac:dyDescent="0.25">
      <c r="A1786" s="158" t="s">
        <v>747</v>
      </c>
      <c r="B1786" s="158" t="s">
        <v>748</v>
      </c>
      <c r="C1786" s="158" t="s">
        <v>20</v>
      </c>
      <c r="D1786" s="158" t="s">
        <v>21</v>
      </c>
      <c r="E1786" s="157">
        <v>71</v>
      </c>
      <c r="F1786" s="158" t="s">
        <v>525</v>
      </c>
      <c r="G1786" s="159">
        <v>286322.40999999997</v>
      </c>
      <c r="H1786" s="159">
        <v>0</v>
      </c>
      <c r="I1786" s="159">
        <v>123398.71</v>
      </c>
      <c r="J1786" s="159">
        <v>43.1</v>
      </c>
      <c r="K1786" t="str">
        <f>VLOOKUP($C1786,Lists!$C$3:$M$118,7,FALSE)</f>
        <v>COKE_RGB</v>
      </c>
      <c r="S1786" s="4"/>
      <c r="T1786" s="4"/>
      <c r="U1786" s="5"/>
      <c r="V1786" s="5"/>
    </row>
    <row r="1787" spans="1:22" x14ac:dyDescent="0.25">
      <c r="A1787" s="158" t="s">
        <v>749</v>
      </c>
      <c r="B1787" s="158" t="s">
        <v>750</v>
      </c>
      <c r="C1787" s="158" t="s">
        <v>10</v>
      </c>
      <c r="D1787" s="158" t="s">
        <v>11</v>
      </c>
      <c r="E1787" s="157">
        <v>72</v>
      </c>
      <c r="F1787" s="158" t="s">
        <v>525</v>
      </c>
      <c r="G1787" s="159">
        <v>566717.76</v>
      </c>
      <c r="H1787" s="159">
        <v>0</v>
      </c>
      <c r="I1787" s="159">
        <v>243797.76000000001</v>
      </c>
      <c r="J1787" s="159">
        <v>43</v>
      </c>
      <c r="K1787" t="str">
        <f>VLOOKUP($C1787,Lists!$C$3:$M$118,7,FALSE)</f>
        <v>Alcomix</v>
      </c>
      <c r="S1787" s="4"/>
      <c r="T1787" s="4"/>
      <c r="U1787" s="5"/>
      <c r="V1787" s="5"/>
    </row>
    <row r="1788" spans="1:22" x14ac:dyDescent="0.25">
      <c r="A1788" s="158" t="s">
        <v>749</v>
      </c>
      <c r="B1788" s="158" t="s">
        <v>750</v>
      </c>
      <c r="C1788" s="158" t="s">
        <v>12</v>
      </c>
      <c r="D1788" s="158" t="s">
        <v>13</v>
      </c>
      <c r="E1788" s="157">
        <v>504</v>
      </c>
      <c r="F1788" s="158" t="s">
        <v>525</v>
      </c>
      <c r="G1788" s="159">
        <v>3305856.96</v>
      </c>
      <c r="H1788" s="159">
        <v>0</v>
      </c>
      <c r="I1788" s="159">
        <v>1479234.95</v>
      </c>
      <c r="J1788" s="159">
        <v>44.7</v>
      </c>
      <c r="K1788" t="str">
        <f>VLOOKUP($C1788,Lists!$C$3:$M$118,7,FALSE)</f>
        <v>Beers</v>
      </c>
      <c r="S1788" s="4"/>
      <c r="T1788" s="4"/>
      <c r="U1788" s="5"/>
      <c r="V1788" s="5"/>
    </row>
    <row r="1789" spans="1:22" x14ac:dyDescent="0.25">
      <c r="A1789" s="158" t="s">
        <v>749</v>
      </c>
      <c r="B1789" s="158" t="s">
        <v>750</v>
      </c>
      <c r="C1789" s="158" t="s">
        <v>14</v>
      </c>
      <c r="D1789" s="158" t="s">
        <v>15</v>
      </c>
      <c r="E1789" s="157">
        <v>288</v>
      </c>
      <c r="F1789" s="158" t="s">
        <v>525</v>
      </c>
      <c r="G1789" s="159">
        <v>2266871.04</v>
      </c>
      <c r="H1789" s="159">
        <v>0</v>
      </c>
      <c r="I1789" s="159">
        <v>1140681.6000000001</v>
      </c>
      <c r="J1789" s="159">
        <v>50.3</v>
      </c>
      <c r="K1789" t="str">
        <f>VLOOKUP($C1789,Lists!$C$3:$M$118,7,FALSE)</f>
        <v>Beers</v>
      </c>
      <c r="S1789" s="4"/>
      <c r="T1789" s="4"/>
      <c r="U1789" s="5"/>
      <c r="V1789" s="5"/>
    </row>
    <row r="1790" spans="1:22" x14ac:dyDescent="0.25">
      <c r="A1790" s="158" t="s">
        <v>749</v>
      </c>
      <c r="B1790" s="158" t="s">
        <v>750</v>
      </c>
      <c r="C1790" s="158" t="s">
        <v>54</v>
      </c>
      <c r="D1790" s="158" t="s">
        <v>55</v>
      </c>
      <c r="E1790" s="157">
        <v>50</v>
      </c>
      <c r="F1790" s="158" t="s">
        <v>525</v>
      </c>
      <c r="G1790" s="159">
        <v>393554</v>
      </c>
      <c r="H1790" s="159">
        <v>0</v>
      </c>
      <c r="I1790" s="159">
        <v>210066.5</v>
      </c>
      <c r="J1790" s="159">
        <v>53.4</v>
      </c>
      <c r="K1790" t="str">
        <f>VLOOKUP($C1790,Lists!$C$3:$M$118,7,FALSE)</f>
        <v>Beers</v>
      </c>
      <c r="S1790" s="4"/>
      <c r="T1790" s="4"/>
      <c r="U1790" s="5"/>
      <c r="V1790" s="5"/>
    </row>
    <row r="1791" spans="1:22" x14ac:dyDescent="0.25">
      <c r="A1791" s="158" t="s">
        <v>749</v>
      </c>
      <c r="B1791" s="158" t="s">
        <v>750</v>
      </c>
      <c r="C1791" s="158" t="s">
        <v>16</v>
      </c>
      <c r="D1791" s="158" t="s">
        <v>17</v>
      </c>
      <c r="E1791" s="157">
        <v>288</v>
      </c>
      <c r="F1791" s="158" t="s">
        <v>525</v>
      </c>
      <c r="G1791" s="159">
        <v>2266871.04</v>
      </c>
      <c r="H1791" s="159">
        <v>0</v>
      </c>
      <c r="I1791" s="159">
        <v>1140681.6000000001</v>
      </c>
      <c r="J1791" s="159">
        <v>50.3</v>
      </c>
      <c r="K1791" t="str">
        <f>VLOOKUP($C1791,Lists!$C$3:$M$118,7,FALSE)</f>
        <v>Beers</v>
      </c>
      <c r="S1791" s="4"/>
      <c r="T1791" s="4"/>
      <c r="U1791" s="5"/>
      <c r="V1791" s="5"/>
    </row>
    <row r="1792" spans="1:22" x14ac:dyDescent="0.25">
      <c r="A1792" s="158" t="s">
        <v>749</v>
      </c>
      <c r="B1792" s="158" t="s">
        <v>750</v>
      </c>
      <c r="C1792" s="158" t="s">
        <v>18</v>
      </c>
      <c r="D1792" s="158" t="s">
        <v>19</v>
      </c>
      <c r="E1792" s="157">
        <v>72</v>
      </c>
      <c r="F1792" s="158" t="s">
        <v>525</v>
      </c>
      <c r="G1792" s="159">
        <v>755623.44</v>
      </c>
      <c r="H1792" s="159">
        <v>0</v>
      </c>
      <c r="I1792" s="159">
        <v>398539.44</v>
      </c>
      <c r="J1792" s="159">
        <v>52.7</v>
      </c>
      <c r="K1792" t="str">
        <f>VLOOKUP($C1792,Lists!$C$3:$M$118,7,FALSE)</f>
        <v>Beers</v>
      </c>
      <c r="S1792" s="4"/>
      <c r="T1792" s="4"/>
      <c r="U1792" s="5"/>
      <c r="V1792" s="5"/>
    </row>
    <row r="1793" spans="1:22" x14ac:dyDescent="0.25">
      <c r="A1793" s="158" t="s">
        <v>749</v>
      </c>
      <c r="B1793" s="158" t="s">
        <v>750</v>
      </c>
      <c r="C1793" s="158" t="s">
        <v>20</v>
      </c>
      <c r="D1793" s="158" t="s">
        <v>21</v>
      </c>
      <c r="E1793" s="157">
        <v>360</v>
      </c>
      <c r="F1793" s="158" t="s">
        <v>525</v>
      </c>
      <c r="G1793" s="159">
        <v>1451775.6</v>
      </c>
      <c r="H1793" s="159">
        <v>0</v>
      </c>
      <c r="I1793" s="159">
        <v>625683.6</v>
      </c>
      <c r="J1793" s="159">
        <v>43.1</v>
      </c>
      <c r="K1793" t="str">
        <f>VLOOKUP($C1793,Lists!$C$3:$M$118,7,FALSE)</f>
        <v>COKE_RGB</v>
      </c>
      <c r="S1793" s="4"/>
      <c r="T1793" s="4"/>
      <c r="U1793" s="5"/>
      <c r="V1793" s="5"/>
    </row>
    <row r="1794" spans="1:22" x14ac:dyDescent="0.25">
      <c r="A1794" s="158" t="s">
        <v>749</v>
      </c>
      <c r="B1794" s="158" t="s">
        <v>750</v>
      </c>
      <c r="C1794" s="158" t="s">
        <v>43</v>
      </c>
      <c r="D1794" s="158" t="s">
        <v>44</v>
      </c>
      <c r="E1794" s="157">
        <v>72</v>
      </c>
      <c r="F1794" s="158" t="s">
        <v>525</v>
      </c>
      <c r="G1794" s="159">
        <v>566717.76</v>
      </c>
      <c r="H1794" s="159">
        <v>0</v>
      </c>
      <c r="I1794" s="159">
        <v>285170.40000000002</v>
      </c>
      <c r="J1794" s="159">
        <v>50.3</v>
      </c>
      <c r="K1794" t="str">
        <f>VLOOKUP($C1794,Lists!$C$3:$M$118,7,FALSE)</f>
        <v>Beers</v>
      </c>
      <c r="S1794" s="4"/>
      <c r="T1794" s="4"/>
      <c r="U1794" s="5"/>
      <c r="V1794" s="5"/>
    </row>
    <row r="1795" spans="1:22" x14ac:dyDescent="0.25">
      <c r="A1795" s="158" t="s">
        <v>749</v>
      </c>
      <c r="B1795" s="158" t="s">
        <v>750</v>
      </c>
      <c r="C1795" s="158" t="s">
        <v>59</v>
      </c>
      <c r="D1795" s="158" t="s">
        <v>60</v>
      </c>
      <c r="E1795" s="157">
        <v>72</v>
      </c>
      <c r="F1795" s="158" t="s">
        <v>525</v>
      </c>
      <c r="G1795" s="159">
        <v>290355.12</v>
      </c>
      <c r="H1795" s="159">
        <v>0</v>
      </c>
      <c r="I1795" s="159">
        <v>121410.72</v>
      </c>
      <c r="J1795" s="159">
        <v>41.8</v>
      </c>
      <c r="K1795" t="str">
        <f>VLOOKUP($C1795,Lists!$C$3:$M$118,7,FALSE)</f>
        <v>COKE_RGB</v>
      </c>
      <c r="S1795" s="4"/>
      <c r="T1795" s="4"/>
      <c r="U1795" s="5"/>
      <c r="V1795" s="5"/>
    </row>
    <row r="1796" spans="1:22" x14ac:dyDescent="0.25">
      <c r="A1796" s="158" t="s">
        <v>749</v>
      </c>
      <c r="B1796" s="158" t="s">
        <v>750</v>
      </c>
      <c r="C1796" s="158" t="s">
        <v>22</v>
      </c>
      <c r="D1796" s="158" t="s">
        <v>23</v>
      </c>
      <c r="E1796" s="157">
        <v>144</v>
      </c>
      <c r="F1796" s="158" t="s">
        <v>525</v>
      </c>
      <c r="G1796" s="159">
        <v>580710.24</v>
      </c>
      <c r="H1796" s="159">
        <v>0</v>
      </c>
      <c r="I1796" s="159">
        <v>240370.56</v>
      </c>
      <c r="J1796" s="159">
        <v>41.4</v>
      </c>
      <c r="K1796" t="str">
        <f>VLOOKUP($C1796,Lists!$C$3:$M$118,7,FALSE)</f>
        <v>COKE_RGB</v>
      </c>
      <c r="S1796" s="4"/>
      <c r="T1796" s="4"/>
      <c r="U1796" s="5"/>
      <c r="V1796" s="5"/>
    </row>
    <row r="1797" spans="1:22" x14ac:dyDescent="0.25">
      <c r="A1797" s="158" t="s">
        <v>749</v>
      </c>
      <c r="B1797" s="158" t="s">
        <v>750</v>
      </c>
      <c r="C1797" s="158" t="s">
        <v>24</v>
      </c>
      <c r="D1797" s="158" t="s">
        <v>25</v>
      </c>
      <c r="E1797" s="157">
        <v>72</v>
      </c>
      <c r="F1797" s="158" t="s">
        <v>525</v>
      </c>
      <c r="G1797" s="159">
        <v>472265.28</v>
      </c>
      <c r="H1797" s="159">
        <v>0</v>
      </c>
      <c r="I1797" s="159">
        <v>231919.92</v>
      </c>
      <c r="J1797" s="159">
        <v>49.1</v>
      </c>
      <c r="K1797" t="str">
        <f>VLOOKUP($C1797,Lists!$C$3:$M$118,7,FALSE)</f>
        <v>Beers</v>
      </c>
      <c r="S1797" s="4"/>
      <c r="T1797" s="4"/>
      <c r="U1797" s="5"/>
      <c r="V1797" s="5"/>
    </row>
    <row r="1798" spans="1:22" x14ac:dyDescent="0.25">
      <c r="A1798" s="158" t="s">
        <v>749</v>
      </c>
      <c r="B1798" s="158" t="s">
        <v>750</v>
      </c>
      <c r="C1798" s="158" t="s">
        <v>37</v>
      </c>
      <c r="D1798" s="158" t="s">
        <v>38</v>
      </c>
      <c r="E1798" s="157">
        <v>72</v>
      </c>
      <c r="F1798" s="158" t="s">
        <v>525</v>
      </c>
      <c r="G1798" s="159">
        <v>241962.48</v>
      </c>
      <c r="H1798" s="159">
        <v>0</v>
      </c>
      <c r="I1798" s="159">
        <v>115732.8</v>
      </c>
      <c r="J1798" s="159">
        <v>47.8</v>
      </c>
      <c r="K1798" t="str">
        <f>VLOOKUP($C1798,Lists!$C$3:$M$118,7,FALSE)</f>
        <v>SOBO_RGB</v>
      </c>
      <c r="S1798" s="4"/>
      <c r="T1798" s="4"/>
      <c r="U1798" s="5"/>
      <c r="V1798" s="5"/>
    </row>
    <row r="1799" spans="1:22" x14ac:dyDescent="0.25">
      <c r="A1799" s="158" t="s">
        <v>749</v>
      </c>
      <c r="B1799" s="158" t="s">
        <v>750</v>
      </c>
      <c r="C1799" s="158" t="s">
        <v>47</v>
      </c>
      <c r="D1799" s="158" t="s">
        <v>48</v>
      </c>
      <c r="E1799" s="157">
        <v>72</v>
      </c>
      <c r="F1799" s="158" t="s">
        <v>525</v>
      </c>
      <c r="G1799" s="159">
        <v>290355.12</v>
      </c>
      <c r="H1799" s="159">
        <v>0</v>
      </c>
      <c r="I1799" s="159">
        <v>129744.72</v>
      </c>
      <c r="J1799" s="159">
        <v>44.7</v>
      </c>
      <c r="K1799" t="str">
        <f>VLOOKUP($C1799,Lists!$C$3:$M$118,7,FALSE)</f>
        <v>COKE_RGB</v>
      </c>
      <c r="S1799" s="4"/>
      <c r="T1799" s="4"/>
      <c r="U1799" s="5"/>
      <c r="V1799" s="5"/>
    </row>
    <row r="1800" spans="1:22" x14ac:dyDescent="0.25">
      <c r="A1800" s="158" t="s">
        <v>749</v>
      </c>
      <c r="B1800" s="158" t="s">
        <v>750</v>
      </c>
      <c r="C1800" s="158" t="s">
        <v>49</v>
      </c>
      <c r="D1800" s="158" t="s">
        <v>50</v>
      </c>
      <c r="E1800" s="157">
        <v>10</v>
      </c>
      <c r="F1800" s="158" t="s">
        <v>525</v>
      </c>
      <c r="G1800" s="159">
        <v>100273.8</v>
      </c>
      <c r="H1800" s="159">
        <v>0</v>
      </c>
      <c r="I1800" s="159">
        <v>31937.200000000001</v>
      </c>
      <c r="J1800" s="159">
        <v>31.8</v>
      </c>
      <c r="K1800" t="str">
        <f>VLOOKUP($C1800,Lists!$C$3:$M$118,7,FALSE)</f>
        <v>Squash</v>
      </c>
      <c r="S1800" s="4"/>
      <c r="T1800" s="4"/>
      <c r="U1800" s="5"/>
      <c r="V1800" s="5"/>
    </row>
    <row r="1801" spans="1:22" x14ac:dyDescent="0.25">
      <c r="A1801" s="158" t="s">
        <v>751</v>
      </c>
      <c r="B1801" s="158" t="s">
        <v>752</v>
      </c>
      <c r="C1801" s="158" t="s">
        <v>12</v>
      </c>
      <c r="D1801" s="158" t="s">
        <v>13</v>
      </c>
      <c r="E1801" s="157">
        <v>144</v>
      </c>
      <c r="F1801" s="158" t="s">
        <v>525</v>
      </c>
      <c r="G1801" s="159">
        <v>944530.56</v>
      </c>
      <c r="H1801" s="159">
        <v>0</v>
      </c>
      <c r="I1801" s="159">
        <v>422638.56</v>
      </c>
      <c r="J1801" s="159">
        <v>44.7</v>
      </c>
      <c r="K1801" t="str">
        <f>VLOOKUP($C1801,Lists!$C$3:$M$118,7,FALSE)</f>
        <v>Beers</v>
      </c>
      <c r="S1801" s="4"/>
      <c r="T1801" s="4"/>
      <c r="U1801" s="5"/>
      <c r="V1801" s="5"/>
    </row>
    <row r="1802" spans="1:22" x14ac:dyDescent="0.25">
      <c r="A1802" s="158" t="s">
        <v>751</v>
      </c>
      <c r="B1802" s="158" t="s">
        <v>752</v>
      </c>
      <c r="C1802" s="158" t="s">
        <v>20</v>
      </c>
      <c r="D1802" s="158" t="s">
        <v>21</v>
      </c>
      <c r="E1802" s="157">
        <v>144</v>
      </c>
      <c r="F1802" s="158" t="s">
        <v>525</v>
      </c>
      <c r="G1802" s="159">
        <v>580710.24</v>
      </c>
      <c r="H1802" s="159">
        <v>0</v>
      </c>
      <c r="I1802" s="159">
        <v>250273.44</v>
      </c>
      <c r="J1802" s="159">
        <v>43.1</v>
      </c>
      <c r="K1802" t="str">
        <f>VLOOKUP($C1802,Lists!$C$3:$M$118,7,FALSE)</f>
        <v>COKE_RGB</v>
      </c>
      <c r="S1802" s="4"/>
      <c r="T1802" s="4"/>
      <c r="U1802" s="5"/>
      <c r="V1802" s="5"/>
    </row>
    <row r="1803" spans="1:22" x14ac:dyDescent="0.25">
      <c r="A1803" s="158" t="s">
        <v>751</v>
      </c>
      <c r="B1803" s="158" t="s">
        <v>752</v>
      </c>
      <c r="C1803" s="158" t="s">
        <v>47</v>
      </c>
      <c r="D1803" s="158" t="s">
        <v>48</v>
      </c>
      <c r="E1803" s="157">
        <v>71</v>
      </c>
      <c r="F1803" s="158" t="s">
        <v>525</v>
      </c>
      <c r="G1803" s="159">
        <v>286322.40999999997</v>
      </c>
      <c r="H1803" s="159">
        <v>0</v>
      </c>
      <c r="I1803" s="159">
        <v>127942.71</v>
      </c>
      <c r="J1803" s="159">
        <v>44.7</v>
      </c>
      <c r="K1803" t="str">
        <f>VLOOKUP($C1803,Lists!$C$3:$M$118,7,FALSE)</f>
        <v>COKE_RGB</v>
      </c>
      <c r="S1803" s="4"/>
      <c r="T1803" s="4"/>
      <c r="U1803" s="5"/>
      <c r="V1803" s="5"/>
    </row>
    <row r="1804" spans="1:22" x14ac:dyDescent="0.25">
      <c r="A1804" s="158" t="s">
        <v>753</v>
      </c>
      <c r="B1804" s="158" t="s">
        <v>754</v>
      </c>
      <c r="C1804" s="158" t="s">
        <v>12</v>
      </c>
      <c r="D1804" s="158" t="s">
        <v>13</v>
      </c>
      <c r="E1804" s="157">
        <v>216</v>
      </c>
      <c r="F1804" s="158" t="s">
        <v>525</v>
      </c>
      <c r="G1804" s="159">
        <v>1416795.84</v>
      </c>
      <c r="H1804" s="159">
        <v>0</v>
      </c>
      <c r="I1804" s="159">
        <v>633957.84</v>
      </c>
      <c r="J1804" s="159">
        <v>44.7</v>
      </c>
      <c r="K1804" t="str">
        <f>VLOOKUP($C1804,Lists!$C$3:$M$118,7,FALSE)</f>
        <v>Beers</v>
      </c>
      <c r="S1804" s="4"/>
      <c r="T1804" s="4"/>
      <c r="U1804" s="5"/>
      <c r="V1804" s="5"/>
    </row>
    <row r="1805" spans="1:22" x14ac:dyDescent="0.25">
      <c r="A1805" s="158" t="s">
        <v>753</v>
      </c>
      <c r="B1805" s="158" t="s">
        <v>754</v>
      </c>
      <c r="C1805" s="158" t="s">
        <v>14</v>
      </c>
      <c r="D1805" s="158" t="s">
        <v>15</v>
      </c>
      <c r="E1805" s="157">
        <v>216</v>
      </c>
      <c r="F1805" s="158" t="s">
        <v>525</v>
      </c>
      <c r="G1805" s="159">
        <v>1700153.28</v>
      </c>
      <c r="H1805" s="159">
        <v>0</v>
      </c>
      <c r="I1805" s="159">
        <v>855511.2</v>
      </c>
      <c r="J1805" s="159">
        <v>50.3</v>
      </c>
      <c r="K1805" t="str">
        <f>VLOOKUP($C1805,Lists!$C$3:$M$118,7,FALSE)</f>
        <v>Beers</v>
      </c>
      <c r="S1805" s="4"/>
      <c r="T1805" s="4"/>
      <c r="U1805" s="5"/>
      <c r="V1805" s="5"/>
    </row>
    <row r="1806" spans="1:22" x14ac:dyDescent="0.25">
      <c r="A1806" s="158" t="s">
        <v>488</v>
      </c>
      <c r="B1806" s="158" t="s">
        <v>113</v>
      </c>
      <c r="C1806" s="158" t="s">
        <v>41</v>
      </c>
      <c r="D1806" s="158" t="s">
        <v>42</v>
      </c>
      <c r="E1806" s="157">
        <v>144</v>
      </c>
      <c r="F1806" s="158" t="s">
        <v>525</v>
      </c>
      <c r="G1806" s="159">
        <v>1112446.08</v>
      </c>
      <c r="H1806" s="159">
        <v>0</v>
      </c>
      <c r="I1806" s="159">
        <v>466606.08000000002</v>
      </c>
      <c r="J1806" s="159">
        <v>41.9</v>
      </c>
      <c r="K1806" t="str">
        <f>VLOOKUP($C1806,Lists!$C$3:$M$118,7,FALSE)</f>
        <v>Alcomix</v>
      </c>
      <c r="S1806" s="4"/>
      <c r="T1806" s="4"/>
      <c r="U1806" s="5"/>
      <c r="V1806" s="5"/>
    </row>
    <row r="1807" spans="1:22" x14ac:dyDescent="0.25">
      <c r="A1807" s="158" t="s">
        <v>488</v>
      </c>
      <c r="B1807" s="158" t="s">
        <v>113</v>
      </c>
      <c r="C1807" s="158" t="s">
        <v>10</v>
      </c>
      <c r="D1807" s="158" t="s">
        <v>11</v>
      </c>
      <c r="E1807" s="157">
        <v>34</v>
      </c>
      <c r="F1807" s="158" t="s">
        <v>525</v>
      </c>
      <c r="G1807" s="159">
        <v>262660.88</v>
      </c>
      <c r="H1807" s="159">
        <v>0</v>
      </c>
      <c r="I1807" s="159">
        <v>110170.88</v>
      </c>
      <c r="J1807" s="159">
        <v>41.9</v>
      </c>
      <c r="K1807" t="str">
        <f>VLOOKUP($C1807,Lists!$C$3:$M$118,7,FALSE)</f>
        <v>Alcomix</v>
      </c>
      <c r="S1807" s="4"/>
      <c r="T1807" s="4"/>
      <c r="U1807" s="5"/>
      <c r="V1807" s="5"/>
    </row>
    <row r="1808" spans="1:22" x14ac:dyDescent="0.25">
      <c r="A1808" s="158" t="s">
        <v>488</v>
      </c>
      <c r="B1808" s="158" t="s">
        <v>113</v>
      </c>
      <c r="C1808" s="158" t="s">
        <v>12</v>
      </c>
      <c r="D1808" s="158" t="s">
        <v>13</v>
      </c>
      <c r="E1808" s="157">
        <v>3810</v>
      </c>
      <c r="F1808" s="158" t="s">
        <v>525</v>
      </c>
      <c r="G1808" s="159">
        <v>24527903.699999999</v>
      </c>
      <c r="H1808" s="159">
        <v>0</v>
      </c>
      <c r="I1808" s="159">
        <v>10719511.199999999</v>
      </c>
      <c r="J1808" s="159">
        <v>43.7</v>
      </c>
      <c r="K1808" t="str">
        <f>VLOOKUP($C1808,Lists!$C$3:$M$118,7,FALSE)</f>
        <v>Beers</v>
      </c>
      <c r="S1808" s="4"/>
      <c r="T1808" s="4"/>
      <c r="U1808" s="5"/>
      <c r="V1808" s="5"/>
    </row>
    <row r="1809" spans="1:22" x14ac:dyDescent="0.25">
      <c r="A1809" s="158" t="s">
        <v>488</v>
      </c>
      <c r="B1809" s="158" t="s">
        <v>113</v>
      </c>
      <c r="C1809" s="158" t="s">
        <v>14</v>
      </c>
      <c r="D1809" s="158" t="s">
        <v>15</v>
      </c>
      <c r="E1809" s="157">
        <v>2086</v>
      </c>
      <c r="F1809" s="158" t="s">
        <v>525</v>
      </c>
      <c r="G1809" s="159">
        <v>16115017.52</v>
      </c>
      <c r="H1809" s="159">
        <v>0</v>
      </c>
      <c r="I1809" s="159">
        <v>7957964.8300000001</v>
      </c>
      <c r="J1809" s="159">
        <v>49.4</v>
      </c>
      <c r="K1809" t="str">
        <f>VLOOKUP($C1809,Lists!$C$3:$M$118,7,FALSE)</f>
        <v>Beers</v>
      </c>
      <c r="S1809" s="4"/>
      <c r="T1809" s="4"/>
      <c r="U1809" s="5"/>
      <c r="V1809" s="5"/>
    </row>
    <row r="1810" spans="1:22" x14ac:dyDescent="0.25">
      <c r="A1810" s="158" t="s">
        <v>488</v>
      </c>
      <c r="B1810" s="158" t="s">
        <v>113</v>
      </c>
      <c r="C1810" s="158" t="s">
        <v>54</v>
      </c>
      <c r="D1810" s="158" t="s">
        <v>55</v>
      </c>
      <c r="E1810" s="157">
        <v>599</v>
      </c>
      <c r="F1810" s="158" t="s">
        <v>525</v>
      </c>
      <c r="G1810" s="159">
        <v>4627466.68</v>
      </c>
      <c r="H1810" s="159">
        <v>0</v>
      </c>
      <c r="I1810" s="159">
        <v>2429286.4300000002</v>
      </c>
      <c r="J1810" s="159">
        <v>52.5</v>
      </c>
      <c r="K1810" t="str">
        <f>VLOOKUP($C1810,Lists!$C$3:$M$118,7,FALSE)</f>
        <v>Beers</v>
      </c>
      <c r="S1810" s="4"/>
      <c r="T1810" s="4"/>
      <c r="U1810" s="5"/>
      <c r="V1810" s="5"/>
    </row>
    <row r="1811" spans="1:22" x14ac:dyDescent="0.25">
      <c r="A1811" s="158" t="s">
        <v>488</v>
      </c>
      <c r="B1811" s="158" t="s">
        <v>113</v>
      </c>
      <c r="C1811" s="158" t="s">
        <v>16</v>
      </c>
      <c r="D1811" s="158" t="s">
        <v>17</v>
      </c>
      <c r="E1811" s="157">
        <v>4244</v>
      </c>
      <c r="F1811" s="158" t="s">
        <v>525</v>
      </c>
      <c r="G1811" s="159">
        <v>32786258.079999998</v>
      </c>
      <c r="H1811" s="159">
        <v>0</v>
      </c>
      <c r="I1811" s="159">
        <v>16190605.359999999</v>
      </c>
      <c r="J1811" s="159">
        <v>49.4</v>
      </c>
      <c r="K1811" t="str">
        <f>VLOOKUP($C1811,Lists!$C$3:$M$118,7,FALSE)</f>
        <v>Beers</v>
      </c>
      <c r="S1811" s="4"/>
      <c r="T1811" s="4"/>
      <c r="U1811" s="5"/>
      <c r="V1811" s="5"/>
    </row>
    <row r="1812" spans="1:22" x14ac:dyDescent="0.25">
      <c r="A1812" s="158" t="s">
        <v>488</v>
      </c>
      <c r="B1812" s="158" t="s">
        <v>113</v>
      </c>
      <c r="C1812" s="158" t="s">
        <v>56</v>
      </c>
      <c r="D1812" s="158" t="s">
        <v>57</v>
      </c>
      <c r="E1812" s="157">
        <v>300</v>
      </c>
      <c r="F1812" s="158" t="s">
        <v>525</v>
      </c>
      <c r="G1812" s="159">
        <v>2317596</v>
      </c>
      <c r="H1812" s="159">
        <v>0</v>
      </c>
      <c r="I1812" s="159">
        <v>1216671</v>
      </c>
      <c r="J1812" s="159">
        <v>52.5</v>
      </c>
      <c r="K1812" t="str">
        <f>VLOOKUP($C1812,Lists!$C$3:$M$118,7,FALSE)</f>
        <v>Beers</v>
      </c>
      <c r="S1812" s="4"/>
      <c r="T1812" s="4"/>
      <c r="U1812" s="5"/>
      <c r="V1812" s="5"/>
    </row>
    <row r="1813" spans="1:22" x14ac:dyDescent="0.25">
      <c r="A1813" s="158" t="s">
        <v>488</v>
      </c>
      <c r="B1813" s="158" t="s">
        <v>113</v>
      </c>
      <c r="C1813" s="158" t="s">
        <v>18</v>
      </c>
      <c r="D1813" s="158" t="s">
        <v>19</v>
      </c>
      <c r="E1813" s="157">
        <v>716</v>
      </c>
      <c r="F1813" s="158" t="s">
        <v>525</v>
      </c>
      <c r="G1813" s="159">
        <v>7375107.8799999999</v>
      </c>
      <c r="H1813" s="159">
        <v>0</v>
      </c>
      <c r="I1813" s="159">
        <v>3824105.87</v>
      </c>
      <c r="J1813" s="159">
        <v>51.9</v>
      </c>
      <c r="K1813" t="str">
        <f>VLOOKUP($C1813,Lists!$C$3:$M$118,7,FALSE)</f>
        <v>Beers</v>
      </c>
      <c r="S1813" s="4"/>
      <c r="T1813" s="4"/>
      <c r="U1813" s="5"/>
      <c r="V1813" s="5"/>
    </row>
    <row r="1814" spans="1:22" x14ac:dyDescent="0.25">
      <c r="A1814" s="158" t="s">
        <v>488</v>
      </c>
      <c r="B1814" s="158" t="s">
        <v>113</v>
      </c>
      <c r="C1814" s="158" t="s">
        <v>20</v>
      </c>
      <c r="D1814" s="158" t="s">
        <v>21</v>
      </c>
      <c r="E1814" s="157">
        <v>1582</v>
      </c>
      <c r="F1814" s="158" t="s">
        <v>525</v>
      </c>
      <c r="G1814" s="159">
        <v>6261603.46</v>
      </c>
      <c r="H1814" s="159">
        <v>0</v>
      </c>
      <c r="I1814" s="159">
        <v>2631388.06</v>
      </c>
      <c r="J1814" s="159">
        <v>42</v>
      </c>
      <c r="K1814" t="str">
        <f>VLOOKUP($C1814,Lists!$C$3:$M$118,7,FALSE)</f>
        <v>COKE_RGB</v>
      </c>
      <c r="S1814" s="4"/>
      <c r="T1814" s="4"/>
      <c r="U1814" s="5"/>
      <c r="V1814" s="5"/>
    </row>
    <row r="1815" spans="1:22" x14ac:dyDescent="0.25">
      <c r="A1815" s="158" t="s">
        <v>488</v>
      </c>
      <c r="B1815" s="158" t="s">
        <v>113</v>
      </c>
      <c r="C1815" s="158" t="s">
        <v>78</v>
      </c>
      <c r="D1815" s="158" t="s">
        <v>526</v>
      </c>
      <c r="E1815" s="157">
        <v>74</v>
      </c>
      <c r="F1815" s="158" t="s">
        <v>525</v>
      </c>
      <c r="G1815" s="159">
        <v>179052.62</v>
      </c>
      <c r="H1815" s="159">
        <v>0</v>
      </c>
      <c r="I1815" s="159">
        <v>97760.66</v>
      </c>
      <c r="J1815" s="159">
        <v>54.6</v>
      </c>
      <c r="K1815" t="str">
        <f>VLOOKUP($C1815,Lists!$C$3:$M$118,7,FALSE)</f>
        <v>SOBO_PET</v>
      </c>
      <c r="S1815" s="4"/>
      <c r="T1815" s="4"/>
      <c r="U1815" s="5"/>
      <c r="V1815" s="5"/>
    </row>
    <row r="1816" spans="1:22" x14ac:dyDescent="0.25">
      <c r="A1816" s="158" t="s">
        <v>488</v>
      </c>
      <c r="B1816" s="158" t="s">
        <v>113</v>
      </c>
      <c r="C1816" s="158" t="s">
        <v>43</v>
      </c>
      <c r="D1816" s="158" t="s">
        <v>44</v>
      </c>
      <c r="E1816" s="157">
        <v>358</v>
      </c>
      <c r="F1816" s="158" t="s">
        <v>525</v>
      </c>
      <c r="G1816" s="159">
        <v>2765664.56</v>
      </c>
      <c r="H1816" s="159">
        <v>0</v>
      </c>
      <c r="I1816" s="159">
        <v>1365748.52</v>
      </c>
      <c r="J1816" s="159">
        <v>49.4</v>
      </c>
      <c r="K1816" t="str">
        <f>VLOOKUP($C1816,Lists!$C$3:$M$118,7,FALSE)</f>
        <v>Beers</v>
      </c>
      <c r="S1816" s="4"/>
      <c r="T1816" s="4"/>
      <c r="U1816" s="5"/>
      <c r="V1816" s="5"/>
    </row>
    <row r="1817" spans="1:22" x14ac:dyDescent="0.25">
      <c r="A1817" s="158" t="s">
        <v>488</v>
      </c>
      <c r="B1817" s="158" t="s">
        <v>113</v>
      </c>
      <c r="C1817" s="158" t="s">
        <v>59</v>
      </c>
      <c r="D1817" s="158" t="s">
        <v>60</v>
      </c>
      <c r="E1817" s="157">
        <v>215</v>
      </c>
      <c r="F1817" s="158" t="s">
        <v>525</v>
      </c>
      <c r="G1817" s="159">
        <v>850976.45</v>
      </c>
      <c r="H1817" s="159">
        <v>0</v>
      </c>
      <c r="I1817" s="159">
        <v>346489.7</v>
      </c>
      <c r="J1817" s="159">
        <v>40.700000000000003</v>
      </c>
      <c r="K1817" t="str">
        <f>VLOOKUP($C1817,Lists!$C$3:$M$118,7,FALSE)</f>
        <v>COKE_RGB</v>
      </c>
      <c r="S1817" s="4"/>
      <c r="T1817" s="4"/>
      <c r="U1817" s="5"/>
      <c r="V1817" s="5"/>
    </row>
    <row r="1818" spans="1:22" x14ac:dyDescent="0.25">
      <c r="A1818" s="158" t="s">
        <v>488</v>
      </c>
      <c r="B1818" s="158" t="s">
        <v>113</v>
      </c>
      <c r="C1818" s="158" t="s">
        <v>22</v>
      </c>
      <c r="D1818" s="158" t="s">
        <v>23</v>
      </c>
      <c r="E1818" s="157">
        <v>432</v>
      </c>
      <c r="F1818" s="158" t="s">
        <v>525</v>
      </c>
      <c r="G1818" s="159">
        <v>1709868.96</v>
      </c>
      <c r="H1818" s="159">
        <v>0</v>
      </c>
      <c r="I1818" s="159">
        <v>688849.92000000004</v>
      </c>
      <c r="J1818" s="159">
        <v>40.299999999999997</v>
      </c>
      <c r="K1818" t="str">
        <f>VLOOKUP($C1818,Lists!$C$3:$M$118,7,FALSE)</f>
        <v>COKE_RGB</v>
      </c>
      <c r="S1818" s="4"/>
      <c r="T1818" s="4"/>
      <c r="U1818" s="5"/>
      <c r="V1818" s="5"/>
    </row>
    <row r="1819" spans="1:22" x14ac:dyDescent="0.25">
      <c r="A1819" s="158" t="s">
        <v>488</v>
      </c>
      <c r="B1819" s="158" t="s">
        <v>113</v>
      </c>
      <c r="C1819" s="158" t="s">
        <v>67</v>
      </c>
      <c r="D1819" s="158" t="s">
        <v>533</v>
      </c>
      <c r="E1819" s="157">
        <v>288</v>
      </c>
      <c r="F1819" s="158" t="s">
        <v>525</v>
      </c>
      <c r="G1819" s="159">
        <v>812995.2</v>
      </c>
      <c r="H1819" s="159">
        <v>0</v>
      </c>
      <c r="I1819" s="159">
        <v>399922.56</v>
      </c>
      <c r="J1819" s="159">
        <v>49.2</v>
      </c>
      <c r="K1819" t="str">
        <f>VLOOKUP($C1819,Lists!$C$3:$M$118,7,FALSE)</f>
        <v>COKE_PET</v>
      </c>
      <c r="S1819" s="4"/>
      <c r="T1819" s="4"/>
      <c r="U1819" s="5"/>
      <c r="V1819" s="5"/>
    </row>
    <row r="1820" spans="1:22" x14ac:dyDescent="0.25">
      <c r="A1820" s="158" t="s">
        <v>488</v>
      </c>
      <c r="B1820" s="158" t="s">
        <v>113</v>
      </c>
      <c r="C1820" s="158" t="s">
        <v>24</v>
      </c>
      <c r="D1820" s="158" t="s">
        <v>25</v>
      </c>
      <c r="E1820" s="157">
        <v>1152</v>
      </c>
      <c r="F1820" s="158" t="s">
        <v>525</v>
      </c>
      <c r="G1820" s="159">
        <v>7416311.04</v>
      </c>
      <c r="H1820" s="159">
        <v>0</v>
      </c>
      <c r="I1820" s="159">
        <v>3570785.28</v>
      </c>
      <c r="J1820" s="159">
        <v>48.1</v>
      </c>
      <c r="K1820" t="str">
        <f>VLOOKUP($C1820,Lists!$C$3:$M$118,7,FALSE)</f>
        <v>Beers</v>
      </c>
      <c r="S1820" s="4"/>
      <c r="T1820" s="4"/>
      <c r="U1820" s="5"/>
      <c r="V1820" s="5"/>
    </row>
    <row r="1821" spans="1:22" x14ac:dyDescent="0.25">
      <c r="A1821" s="158" t="s">
        <v>488</v>
      </c>
      <c r="B1821" s="158" t="s">
        <v>113</v>
      </c>
      <c r="C1821" s="158" t="s">
        <v>29</v>
      </c>
      <c r="D1821" s="158" t="s">
        <v>30</v>
      </c>
      <c r="E1821" s="157">
        <v>80</v>
      </c>
      <c r="F1821" s="158" t="s">
        <v>525</v>
      </c>
      <c r="G1821" s="159">
        <v>2910751.2</v>
      </c>
      <c r="H1821" s="159">
        <v>0</v>
      </c>
      <c r="I1821" s="159">
        <v>830751.2</v>
      </c>
      <c r="J1821" s="159">
        <v>28.5</v>
      </c>
      <c r="K1821" t="str">
        <f>VLOOKUP($C1821,Lists!$C$3:$M$118,7,FALSE)</f>
        <v>Spirits</v>
      </c>
      <c r="S1821" s="4"/>
      <c r="T1821" s="4"/>
      <c r="U1821" s="5"/>
      <c r="V1821" s="5"/>
    </row>
    <row r="1822" spans="1:22" x14ac:dyDescent="0.25">
      <c r="A1822" s="158" t="s">
        <v>488</v>
      </c>
      <c r="B1822" s="158" t="s">
        <v>113</v>
      </c>
      <c r="C1822" s="158" t="s">
        <v>31</v>
      </c>
      <c r="D1822" s="158" t="s">
        <v>32</v>
      </c>
      <c r="E1822" s="157">
        <v>4</v>
      </c>
      <c r="F1822" s="158" t="s">
        <v>525</v>
      </c>
      <c r="G1822" s="159">
        <v>136627.12</v>
      </c>
      <c r="H1822" s="159">
        <v>0</v>
      </c>
      <c r="I1822" s="159">
        <v>40627.120000000003</v>
      </c>
      <c r="J1822" s="159">
        <v>29.7</v>
      </c>
      <c r="K1822" t="str">
        <f>VLOOKUP($C1822,Lists!$C$3:$M$118,7,FALSE)</f>
        <v>Spirits</v>
      </c>
      <c r="S1822" s="4"/>
      <c r="T1822" s="4"/>
      <c r="U1822" s="5"/>
      <c r="V1822" s="5"/>
    </row>
    <row r="1823" spans="1:22" x14ac:dyDescent="0.25">
      <c r="A1823" s="158" t="s">
        <v>488</v>
      </c>
      <c r="B1823" s="158" t="s">
        <v>113</v>
      </c>
      <c r="C1823" s="158" t="s">
        <v>33</v>
      </c>
      <c r="D1823" s="158" t="s">
        <v>34</v>
      </c>
      <c r="E1823" s="157">
        <v>25</v>
      </c>
      <c r="F1823" s="158" t="s">
        <v>525</v>
      </c>
      <c r="G1823" s="159">
        <v>1392260</v>
      </c>
      <c r="H1823" s="159">
        <v>0</v>
      </c>
      <c r="I1823" s="159">
        <v>267260</v>
      </c>
      <c r="J1823" s="159">
        <v>19.2</v>
      </c>
      <c r="K1823" t="str">
        <f>VLOOKUP($C1823,Lists!$C$3:$M$118,7,FALSE)</f>
        <v>Spirits</v>
      </c>
      <c r="S1823" s="4"/>
      <c r="T1823" s="4"/>
      <c r="U1823" s="5"/>
      <c r="V1823" s="5"/>
    </row>
    <row r="1824" spans="1:22" x14ac:dyDescent="0.25">
      <c r="A1824" s="158" t="s">
        <v>488</v>
      </c>
      <c r="B1824" s="158" t="s">
        <v>113</v>
      </c>
      <c r="C1824" s="158" t="s">
        <v>37</v>
      </c>
      <c r="D1824" s="158" t="s">
        <v>38</v>
      </c>
      <c r="E1824" s="157">
        <v>216</v>
      </c>
      <c r="F1824" s="158" t="s">
        <v>525</v>
      </c>
      <c r="G1824" s="159">
        <v>712445.76</v>
      </c>
      <c r="H1824" s="159">
        <v>0</v>
      </c>
      <c r="I1824" s="159">
        <v>333756.71999999997</v>
      </c>
      <c r="J1824" s="159">
        <v>46.8</v>
      </c>
      <c r="K1824" t="str">
        <f>VLOOKUP($C1824,Lists!$C$3:$M$118,7,FALSE)</f>
        <v>SOBO_RGB</v>
      </c>
      <c r="S1824" s="4"/>
      <c r="T1824" s="4"/>
      <c r="U1824" s="5"/>
      <c r="V1824" s="5"/>
    </row>
    <row r="1825" spans="1:22" x14ac:dyDescent="0.25">
      <c r="A1825" s="158" t="s">
        <v>488</v>
      </c>
      <c r="B1825" s="158" t="s">
        <v>113</v>
      </c>
      <c r="C1825" s="158" t="s">
        <v>39</v>
      </c>
      <c r="D1825" s="158" t="s">
        <v>40</v>
      </c>
      <c r="E1825" s="157">
        <v>216</v>
      </c>
      <c r="F1825" s="158" t="s">
        <v>525</v>
      </c>
      <c r="G1825" s="159">
        <v>712445.76</v>
      </c>
      <c r="H1825" s="159">
        <v>0</v>
      </c>
      <c r="I1825" s="159">
        <v>330806.15999999997</v>
      </c>
      <c r="J1825" s="159">
        <v>46.4</v>
      </c>
      <c r="K1825" t="str">
        <f>VLOOKUP($C1825,Lists!$C$3:$M$118,7,FALSE)</f>
        <v>SOBO_RGB</v>
      </c>
      <c r="S1825" s="4"/>
      <c r="T1825" s="4"/>
      <c r="U1825" s="5"/>
      <c r="V1825" s="5"/>
    </row>
    <row r="1826" spans="1:22" x14ac:dyDescent="0.25">
      <c r="A1826" s="158" t="s">
        <v>488</v>
      </c>
      <c r="B1826" s="158" t="s">
        <v>113</v>
      </c>
      <c r="C1826" s="158" t="s">
        <v>88</v>
      </c>
      <c r="D1826" s="158" t="s">
        <v>527</v>
      </c>
      <c r="E1826" s="157">
        <v>288</v>
      </c>
      <c r="F1826" s="158" t="s">
        <v>525</v>
      </c>
      <c r="G1826" s="159">
        <v>812995.2</v>
      </c>
      <c r="H1826" s="159">
        <v>0</v>
      </c>
      <c r="I1826" s="159">
        <v>476985.59999999998</v>
      </c>
      <c r="J1826" s="159">
        <v>58.7</v>
      </c>
      <c r="K1826" t="str">
        <f>VLOOKUP($C1826,Lists!$C$3:$M$118,7,FALSE)</f>
        <v>SOBO_PET</v>
      </c>
      <c r="S1826" s="4"/>
      <c r="T1826" s="4"/>
      <c r="U1826" s="5"/>
      <c r="V1826" s="5"/>
    </row>
    <row r="1827" spans="1:22" x14ac:dyDescent="0.25">
      <c r="A1827" s="158" t="s">
        <v>488</v>
      </c>
      <c r="B1827" s="158" t="s">
        <v>113</v>
      </c>
      <c r="C1827" s="158" t="s">
        <v>45</v>
      </c>
      <c r="D1827" s="158" t="s">
        <v>46</v>
      </c>
      <c r="E1827" s="157">
        <v>72</v>
      </c>
      <c r="F1827" s="158" t="s">
        <v>525</v>
      </c>
      <c r="G1827" s="159">
        <v>284978.15999999997</v>
      </c>
      <c r="H1827" s="159">
        <v>0</v>
      </c>
      <c r="I1827" s="159">
        <v>140361.84</v>
      </c>
      <c r="J1827" s="159">
        <v>49.3</v>
      </c>
      <c r="K1827" t="str">
        <f>VLOOKUP($C1827,Lists!$C$3:$M$118,7,FALSE)</f>
        <v>SOBO_RGB</v>
      </c>
      <c r="S1827" s="4"/>
      <c r="T1827" s="4"/>
      <c r="U1827" s="5"/>
      <c r="V1827" s="5"/>
    </row>
    <row r="1828" spans="1:22" x14ac:dyDescent="0.25">
      <c r="A1828" s="158" t="s">
        <v>488</v>
      </c>
      <c r="B1828" s="158" t="s">
        <v>113</v>
      </c>
      <c r="C1828" s="158" t="s">
        <v>47</v>
      </c>
      <c r="D1828" s="158" t="s">
        <v>48</v>
      </c>
      <c r="E1828" s="157">
        <v>216</v>
      </c>
      <c r="F1828" s="158" t="s">
        <v>525</v>
      </c>
      <c r="G1828" s="159">
        <v>854934.48</v>
      </c>
      <c r="H1828" s="159">
        <v>0</v>
      </c>
      <c r="I1828" s="159">
        <v>373103.28</v>
      </c>
      <c r="J1828" s="159">
        <v>43.6</v>
      </c>
      <c r="K1828" t="str">
        <f>VLOOKUP($C1828,Lists!$C$3:$M$118,7,FALSE)</f>
        <v>COKE_RGB</v>
      </c>
      <c r="S1828" s="4"/>
      <c r="T1828" s="4"/>
      <c r="U1828" s="5"/>
      <c r="V1828" s="5"/>
    </row>
    <row r="1829" spans="1:22" x14ac:dyDescent="0.25">
      <c r="A1829" s="158" t="s">
        <v>488</v>
      </c>
      <c r="B1829" s="158" t="s">
        <v>113</v>
      </c>
      <c r="C1829" s="158" t="s">
        <v>68</v>
      </c>
      <c r="D1829" s="158" t="s">
        <v>534</v>
      </c>
      <c r="E1829" s="157">
        <v>144</v>
      </c>
      <c r="F1829" s="158" t="s">
        <v>525</v>
      </c>
      <c r="G1829" s="159">
        <v>406497.6</v>
      </c>
      <c r="H1829" s="159">
        <v>0</v>
      </c>
      <c r="I1829" s="159">
        <v>198080.64000000001</v>
      </c>
      <c r="J1829" s="159">
        <v>48.7</v>
      </c>
      <c r="K1829" t="str">
        <f>VLOOKUP($C1829,Lists!$C$3:$M$118,7,FALSE)</f>
        <v>COKE_PET</v>
      </c>
      <c r="S1829" s="4"/>
      <c r="T1829" s="4"/>
      <c r="U1829" s="5"/>
      <c r="V1829" s="5"/>
    </row>
    <row r="1830" spans="1:22" x14ac:dyDescent="0.25">
      <c r="A1830" s="158" t="s">
        <v>488</v>
      </c>
      <c r="B1830" s="158" t="s">
        <v>113</v>
      </c>
      <c r="C1830" s="158" t="s">
        <v>49</v>
      </c>
      <c r="D1830" s="158" t="s">
        <v>50</v>
      </c>
      <c r="E1830" s="157">
        <v>72</v>
      </c>
      <c r="F1830" s="158" t="s">
        <v>525</v>
      </c>
      <c r="G1830" s="159">
        <v>721971.36</v>
      </c>
      <c r="H1830" s="159">
        <v>0</v>
      </c>
      <c r="I1830" s="159">
        <v>229947.84</v>
      </c>
      <c r="J1830" s="159">
        <v>31.8</v>
      </c>
      <c r="K1830" t="str">
        <f>VLOOKUP($C1830,Lists!$C$3:$M$118,7,FALSE)</f>
        <v>Squash</v>
      </c>
      <c r="S1830" s="4"/>
      <c r="T1830" s="4"/>
      <c r="U1830" s="5"/>
      <c r="V1830" s="5"/>
    </row>
    <row r="1831" spans="1:22" x14ac:dyDescent="0.25">
      <c r="A1831" s="158" t="s">
        <v>488</v>
      </c>
      <c r="B1831" s="158" t="s">
        <v>113</v>
      </c>
      <c r="C1831" s="158" t="s">
        <v>51</v>
      </c>
      <c r="D1831" s="158" t="s">
        <v>52</v>
      </c>
      <c r="E1831" s="157">
        <v>72</v>
      </c>
      <c r="F1831" s="158" t="s">
        <v>525</v>
      </c>
      <c r="G1831" s="159">
        <v>721971.36</v>
      </c>
      <c r="H1831" s="159">
        <v>0</v>
      </c>
      <c r="I1831" s="159">
        <v>228026.16</v>
      </c>
      <c r="J1831" s="159">
        <v>31.6</v>
      </c>
      <c r="K1831" t="str">
        <f>VLOOKUP($C1831,Lists!$C$3:$M$118,7,FALSE)</f>
        <v>Squash</v>
      </c>
      <c r="S1831" s="4"/>
      <c r="T1831" s="4"/>
      <c r="U1831" s="5"/>
      <c r="V1831" s="5"/>
    </row>
    <row r="1832" spans="1:22" x14ac:dyDescent="0.25">
      <c r="A1832" s="158" t="s">
        <v>488</v>
      </c>
      <c r="B1832" s="158" t="s">
        <v>113</v>
      </c>
      <c r="C1832" s="158" t="s">
        <v>26</v>
      </c>
      <c r="D1832" s="158" t="s">
        <v>27</v>
      </c>
      <c r="E1832" s="157">
        <v>142</v>
      </c>
      <c r="F1832" s="158" t="s">
        <v>525</v>
      </c>
      <c r="G1832" s="159">
        <v>309900.79999999999</v>
      </c>
      <c r="H1832" s="159">
        <v>0</v>
      </c>
      <c r="I1832" s="159">
        <v>136626.72</v>
      </c>
      <c r="J1832" s="159">
        <v>44.1</v>
      </c>
      <c r="K1832" t="str">
        <f>VLOOKUP($C1832,Lists!$C$3:$M$118,7,FALSE)</f>
        <v>Water</v>
      </c>
      <c r="S1832" s="4"/>
      <c r="T1832" s="4"/>
      <c r="U1832" s="5"/>
      <c r="V1832" s="5"/>
    </row>
    <row r="1833" spans="1:22" x14ac:dyDescent="0.25">
      <c r="A1833" s="158" t="s">
        <v>755</v>
      </c>
      <c r="B1833" s="158" t="s">
        <v>756</v>
      </c>
      <c r="C1833" s="158" t="s">
        <v>20</v>
      </c>
      <c r="D1833" s="158" t="s">
        <v>21</v>
      </c>
      <c r="E1833" s="157">
        <v>144</v>
      </c>
      <c r="F1833" s="158" t="s">
        <v>525</v>
      </c>
      <c r="G1833" s="159">
        <v>580710.24</v>
      </c>
      <c r="H1833" s="159">
        <v>0</v>
      </c>
      <c r="I1833" s="159">
        <v>250273.44</v>
      </c>
      <c r="J1833" s="159">
        <v>43.1</v>
      </c>
      <c r="K1833" t="str">
        <f>VLOOKUP($C1833,Lists!$C$3:$M$118,7,FALSE)</f>
        <v>COKE_RGB</v>
      </c>
      <c r="S1833" s="4"/>
      <c r="T1833" s="4"/>
      <c r="U1833" s="5"/>
      <c r="V1833" s="5"/>
    </row>
    <row r="1834" spans="1:22" x14ac:dyDescent="0.25">
      <c r="A1834" s="158" t="s">
        <v>755</v>
      </c>
      <c r="B1834" s="158" t="s">
        <v>756</v>
      </c>
      <c r="C1834" s="158" t="s">
        <v>28</v>
      </c>
      <c r="D1834" s="158" t="s">
        <v>530</v>
      </c>
      <c r="E1834" s="157">
        <v>100</v>
      </c>
      <c r="F1834" s="158" t="s">
        <v>525</v>
      </c>
      <c r="G1834" s="159">
        <v>287719</v>
      </c>
      <c r="H1834" s="159">
        <v>0</v>
      </c>
      <c r="I1834" s="159">
        <v>147814</v>
      </c>
      <c r="J1834" s="159">
        <v>51.4</v>
      </c>
      <c r="K1834" t="str">
        <f>VLOOKUP($C1834,Lists!$C$3:$M$118,7,FALSE)</f>
        <v>COKE_PET</v>
      </c>
      <c r="S1834" s="4"/>
      <c r="T1834" s="4"/>
      <c r="U1834" s="5"/>
      <c r="V1834" s="5"/>
    </row>
    <row r="1835" spans="1:22" x14ac:dyDescent="0.25">
      <c r="A1835" s="158" t="s">
        <v>755</v>
      </c>
      <c r="B1835" s="158" t="s">
        <v>756</v>
      </c>
      <c r="C1835" s="158" t="s">
        <v>78</v>
      </c>
      <c r="D1835" s="158" t="s">
        <v>526</v>
      </c>
      <c r="E1835" s="157">
        <v>144</v>
      </c>
      <c r="F1835" s="158" t="s">
        <v>525</v>
      </c>
      <c r="G1835" s="159">
        <v>355127.03999999998</v>
      </c>
      <c r="H1835" s="159">
        <v>0</v>
      </c>
      <c r="I1835" s="159">
        <v>196937.28</v>
      </c>
      <c r="J1835" s="159">
        <v>55.5</v>
      </c>
      <c r="K1835" t="str">
        <f>VLOOKUP($C1835,Lists!$C$3:$M$118,7,FALSE)</f>
        <v>SOBO_PET</v>
      </c>
      <c r="S1835" s="4"/>
      <c r="T1835" s="4"/>
      <c r="U1835" s="5"/>
      <c r="V1835" s="5"/>
    </row>
    <row r="1836" spans="1:22" x14ac:dyDescent="0.25">
      <c r="A1836" s="158" t="s">
        <v>755</v>
      </c>
      <c r="B1836" s="158" t="s">
        <v>756</v>
      </c>
      <c r="C1836" s="158" t="s">
        <v>22</v>
      </c>
      <c r="D1836" s="158" t="s">
        <v>23</v>
      </c>
      <c r="E1836" s="157">
        <v>108</v>
      </c>
      <c r="F1836" s="158" t="s">
        <v>525</v>
      </c>
      <c r="G1836" s="159">
        <v>435532.68</v>
      </c>
      <c r="H1836" s="159">
        <v>0</v>
      </c>
      <c r="I1836" s="159">
        <v>180277.92</v>
      </c>
      <c r="J1836" s="159">
        <v>41.4</v>
      </c>
      <c r="K1836" t="str">
        <f>VLOOKUP($C1836,Lists!$C$3:$M$118,7,FALSE)</f>
        <v>COKE_RGB</v>
      </c>
      <c r="S1836" s="4"/>
      <c r="T1836" s="4"/>
      <c r="U1836" s="5"/>
      <c r="V1836" s="5"/>
    </row>
    <row r="1837" spans="1:22" x14ac:dyDescent="0.25">
      <c r="A1837" s="158" t="s">
        <v>755</v>
      </c>
      <c r="B1837" s="158" t="s">
        <v>756</v>
      </c>
      <c r="C1837" s="158" t="s">
        <v>67</v>
      </c>
      <c r="D1837" s="158" t="s">
        <v>533</v>
      </c>
      <c r="E1837" s="157">
        <v>288</v>
      </c>
      <c r="F1837" s="158" t="s">
        <v>525</v>
      </c>
      <c r="G1837" s="159">
        <v>828630.72</v>
      </c>
      <c r="H1837" s="159">
        <v>0</v>
      </c>
      <c r="I1837" s="159">
        <v>415558.08</v>
      </c>
      <c r="J1837" s="159">
        <v>50.1</v>
      </c>
      <c r="K1837" t="str">
        <f>VLOOKUP($C1837,Lists!$C$3:$M$118,7,FALSE)</f>
        <v>COKE_PET</v>
      </c>
      <c r="S1837" s="4"/>
      <c r="T1837" s="4"/>
      <c r="U1837" s="5"/>
      <c r="V1837" s="5"/>
    </row>
    <row r="1838" spans="1:22" x14ac:dyDescent="0.25">
      <c r="A1838" s="158" t="s">
        <v>755</v>
      </c>
      <c r="B1838" s="158" t="s">
        <v>756</v>
      </c>
      <c r="C1838" s="158" t="s">
        <v>261</v>
      </c>
      <c r="D1838" s="158" t="s">
        <v>538</v>
      </c>
      <c r="E1838" s="157">
        <v>36</v>
      </c>
      <c r="F1838" s="158" t="s">
        <v>525</v>
      </c>
      <c r="G1838" s="159">
        <v>145177.56</v>
      </c>
      <c r="H1838" s="159">
        <v>0</v>
      </c>
      <c r="I1838" s="159">
        <v>60092.639999999999</v>
      </c>
      <c r="J1838" s="159">
        <v>41.4</v>
      </c>
      <c r="K1838" t="str">
        <f>VLOOKUP($C1838,Lists!$C$3:$M$118,7,FALSE)</f>
        <v>COKE_RGB</v>
      </c>
      <c r="S1838" s="4"/>
      <c r="T1838" s="4"/>
      <c r="U1838" s="5"/>
      <c r="V1838" s="5"/>
    </row>
    <row r="1839" spans="1:22" x14ac:dyDescent="0.25">
      <c r="A1839" s="158" t="s">
        <v>755</v>
      </c>
      <c r="B1839" s="158" t="s">
        <v>756</v>
      </c>
      <c r="C1839" s="158" t="s">
        <v>37</v>
      </c>
      <c r="D1839" s="158" t="s">
        <v>38</v>
      </c>
      <c r="E1839" s="157">
        <v>86</v>
      </c>
      <c r="F1839" s="158" t="s">
        <v>525</v>
      </c>
      <c r="G1839" s="159">
        <v>289010.74</v>
      </c>
      <c r="H1839" s="159">
        <v>0</v>
      </c>
      <c r="I1839" s="159">
        <v>138236.4</v>
      </c>
      <c r="J1839" s="159">
        <v>47.8</v>
      </c>
      <c r="K1839" t="str">
        <f>VLOOKUP($C1839,Lists!$C$3:$M$118,7,FALSE)</f>
        <v>SOBO_RGB</v>
      </c>
      <c r="S1839" s="4"/>
      <c r="T1839" s="4"/>
      <c r="U1839" s="5"/>
      <c r="V1839" s="5"/>
    </row>
    <row r="1840" spans="1:22" x14ac:dyDescent="0.25">
      <c r="A1840" s="158" t="s">
        <v>755</v>
      </c>
      <c r="B1840" s="158" t="s">
        <v>756</v>
      </c>
      <c r="C1840" s="158" t="s">
        <v>88</v>
      </c>
      <c r="D1840" s="158" t="s">
        <v>527</v>
      </c>
      <c r="E1840" s="157">
        <v>143</v>
      </c>
      <c r="F1840" s="158" t="s">
        <v>525</v>
      </c>
      <c r="G1840" s="159">
        <v>411438.17</v>
      </c>
      <c r="H1840" s="159">
        <v>0</v>
      </c>
      <c r="I1840" s="159">
        <v>244600.07</v>
      </c>
      <c r="J1840" s="159">
        <v>59.5</v>
      </c>
      <c r="K1840" t="str">
        <f>VLOOKUP($C1840,Lists!$C$3:$M$118,7,FALSE)</f>
        <v>SOBO_PET</v>
      </c>
      <c r="S1840" s="4"/>
      <c r="T1840" s="4"/>
      <c r="U1840" s="5"/>
      <c r="V1840" s="5"/>
    </row>
    <row r="1841" spans="1:22" x14ac:dyDescent="0.25">
      <c r="A1841" s="158" t="s">
        <v>755</v>
      </c>
      <c r="B1841" s="158" t="s">
        <v>756</v>
      </c>
      <c r="C1841" s="158" t="s">
        <v>51</v>
      </c>
      <c r="D1841" s="158" t="s">
        <v>52</v>
      </c>
      <c r="E1841" s="157">
        <v>324</v>
      </c>
      <c r="F1841" s="158" t="s">
        <v>525</v>
      </c>
      <c r="G1841" s="159">
        <v>3248871.12</v>
      </c>
      <c r="H1841" s="159">
        <v>0</v>
      </c>
      <c r="I1841" s="159">
        <v>1026117.73</v>
      </c>
      <c r="J1841" s="159">
        <v>31.6</v>
      </c>
      <c r="K1841" t="str">
        <f>VLOOKUP($C1841,Lists!$C$3:$M$118,7,FALSE)</f>
        <v>Squash</v>
      </c>
      <c r="S1841" s="4"/>
      <c r="T1841" s="4"/>
      <c r="U1841" s="5"/>
      <c r="V1841" s="5"/>
    </row>
    <row r="1842" spans="1:22" x14ac:dyDescent="0.25">
      <c r="A1842" s="158" t="s">
        <v>495</v>
      </c>
      <c r="B1842" s="158" t="s">
        <v>114</v>
      </c>
      <c r="C1842" s="158" t="s">
        <v>12</v>
      </c>
      <c r="D1842" s="158" t="s">
        <v>13</v>
      </c>
      <c r="E1842" s="157">
        <v>216</v>
      </c>
      <c r="F1842" s="158" t="s">
        <v>525</v>
      </c>
      <c r="G1842" s="159">
        <v>1390558.32</v>
      </c>
      <c r="H1842" s="159">
        <v>0</v>
      </c>
      <c r="I1842" s="159">
        <v>607720.31999999995</v>
      </c>
      <c r="J1842" s="159">
        <v>43.7</v>
      </c>
      <c r="K1842" t="str">
        <f>VLOOKUP($C1842,Lists!$C$3:$M$118,7,FALSE)</f>
        <v>Beers</v>
      </c>
      <c r="S1842" s="4"/>
      <c r="T1842" s="4"/>
      <c r="U1842" s="5"/>
      <c r="V1842" s="5"/>
    </row>
    <row r="1843" spans="1:22" x14ac:dyDescent="0.25">
      <c r="A1843" s="158" t="s">
        <v>495</v>
      </c>
      <c r="B1843" s="158" t="s">
        <v>114</v>
      </c>
      <c r="C1843" s="158" t="s">
        <v>14</v>
      </c>
      <c r="D1843" s="158" t="s">
        <v>15</v>
      </c>
      <c r="E1843" s="157">
        <v>144</v>
      </c>
      <c r="F1843" s="158" t="s">
        <v>525</v>
      </c>
      <c r="G1843" s="159">
        <v>1112446.08</v>
      </c>
      <c r="H1843" s="159">
        <v>0</v>
      </c>
      <c r="I1843" s="159">
        <v>549351.36</v>
      </c>
      <c r="J1843" s="159">
        <v>49.4</v>
      </c>
      <c r="K1843" t="str">
        <f>VLOOKUP($C1843,Lists!$C$3:$M$118,7,FALSE)</f>
        <v>Beers</v>
      </c>
      <c r="S1843" s="4"/>
      <c r="T1843" s="4"/>
      <c r="U1843" s="5"/>
      <c r="V1843" s="5"/>
    </row>
    <row r="1844" spans="1:22" x14ac:dyDescent="0.25">
      <c r="A1844" s="158" t="s">
        <v>495</v>
      </c>
      <c r="B1844" s="158" t="s">
        <v>114</v>
      </c>
      <c r="C1844" s="158" t="s">
        <v>16</v>
      </c>
      <c r="D1844" s="158" t="s">
        <v>17</v>
      </c>
      <c r="E1844" s="157">
        <v>216</v>
      </c>
      <c r="F1844" s="158" t="s">
        <v>525</v>
      </c>
      <c r="G1844" s="159">
        <v>1668669.12</v>
      </c>
      <c r="H1844" s="159">
        <v>0</v>
      </c>
      <c r="I1844" s="159">
        <v>824027.04</v>
      </c>
      <c r="J1844" s="159">
        <v>49.4</v>
      </c>
      <c r="K1844" t="str">
        <f>VLOOKUP($C1844,Lists!$C$3:$M$118,7,FALSE)</f>
        <v>Beers</v>
      </c>
      <c r="S1844" s="4"/>
      <c r="T1844" s="4"/>
      <c r="U1844" s="5"/>
      <c r="V1844" s="5"/>
    </row>
    <row r="1845" spans="1:22" x14ac:dyDescent="0.25">
      <c r="A1845" s="158" t="s">
        <v>495</v>
      </c>
      <c r="B1845" s="158" t="s">
        <v>114</v>
      </c>
      <c r="C1845" s="158" t="s">
        <v>20</v>
      </c>
      <c r="D1845" s="158" t="s">
        <v>21</v>
      </c>
      <c r="E1845" s="157">
        <v>360</v>
      </c>
      <c r="F1845" s="158" t="s">
        <v>525</v>
      </c>
      <c r="G1845" s="159">
        <v>1424890.8</v>
      </c>
      <c r="H1845" s="159">
        <v>0</v>
      </c>
      <c r="I1845" s="159">
        <v>598798.80000000005</v>
      </c>
      <c r="J1845" s="159">
        <v>42</v>
      </c>
      <c r="K1845" t="str">
        <f>VLOOKUP($C1845,Lists!$C$3:$M$118,7,FALSE)</f>
        <v>COKE_RGB</v>
      </c>
      <c r="S1845" s="4"/>
      <c r="T1845" s="4"/>
      <c r="U1845" s="5"/>
      <c r="V1845" s="5"/>
    </row>
    <row r="1846" spans="1:22" x14ac:dyDescent="0.25">
      <c r="A1846" s="158" t="s">
        <v>495</v>
      </c>
      <c r="B1846" s="158" t="s">
        <v>114</v>
      </c>
      <c r="C1846" s="158" t="s">
        <v>22</v>
      </c>
      <c r="D1846" s="158" t="s">
        <v>23</v>
      </c>
      <c r="E1846" s="157">
        <v>143</v>
      </c>
      <c r="F1846" s="158" t="s">
        <v>525</v>
      </c>
      <c r="G1846" s="159">
        <v>565998.29</v>
      </c>
      <c r="H1846" s="159">
        <v>0</v>
      </c>
      <c r="I1846" s="159">
        <v>228022.08</v>
      </c>
      <c r="J1846" s="159">
        <v>40.299999999999997</v>
      </c>
      <c r="K1846" t="str">
        <f>VLOOKUP($C1846,Lists!$C$3:$M$118,7,FALSE)</f>
        <v>COKE_RGB</v>
      </c>
      <c r="S1846" s="4"/>
      <c r="T1846" s="4"/>
      <c r="U1846" s="5"/>
      <c r="V1846" s="5"/>
    </row>
    <row r="1847" spans="1:22" x14ac:dyDescent="0.25">
      <c r="A1847" s="158" t="s">
        <v>495</v>
      </c>
      <c r="B1847" s="158" t="s">
        <v>114</v>
      </c>
      <c r="C1847" s="158" t="s">
        <v>29</v>
      </c>
      <c r="D1847" s="158" t="s">
        <v>30</v>
      </c>
      <c r="E1847" s="157">
        <v>13</v>
      </c>
      <c r="F1847" s="158" t="s">
        <v>525</v>
      </c>
      <c r="G1847" s="159">
        <v>472997.07</v>
      </c>
      <c r="H1847" s="159">
        <v>0</v>
      </c>
      <c r="I1847" s="159">
        <v>134997.07</v>
      </c>
      <c r="J1847" s="159">
        <v>28.5</v>
      </c>
      <c r="K1847" t="str">
        <f>VLOOKUP($C1847,Lists!$C$3:$M$118,7,FALSE)</f>
        <v>Spirits</v>
      </c>
      <c r="S1847" s="4"/>
      <c r="T1847" s="4"/>
      <c r="U1847" s="5"/>
      <c r="V1847" s="5"/>
    </row>
    <row r="1848" spans="1:22" x14ac:dyDescent="0.25">
      <c r="A1848" s="158" t="s">
        <v>495</v>
      </c>
      <c r="B1848" s="158" t="s">
        <v>114</v>
      </c>
      <c r="C1848" s="158" t="s">
        <v>33</v>
      </c>
      <c r="D1848" s="158" t="s">
        <v>34</v>
      </c>
      <c r="E1848" s="157">
        <v>6</v>
      </c>
      <c r="F1848" s="158" t="s">
        <v>525</v>
      </c>
      <c r="G1848" s="159">
        <v>334142.40000000002</v>
      </c>
      <c r="H1848" s="159">
        <v>0</v>
      </c>
      <c r="I1848" s="159">
        <v>64142.400000000001</v>
      </c>
      <c r="J1848" s="159">
        <v>19.2</v>
      </c>
      <c r="K1848" t="str">
        <f>VLOOKUP($C1848,Lists!$C$3:$M$118,7,FALSE)</f>
        <v>Spirits</v>
      </c>
      <c r="S1848" s="4"/>
      <c r="T1848" s="4"/>
      <c r="U1848" s="5"/>
      <c r="V1848" s="5"/>
    </row>
    <row r="1849" spans="1:22" x14ac:dyDescent="0.25">
      <c r="A1849" s="158" t="s">
        <v>495</v>
      </c>
      <c r="B1849" s="158" t="s">
        <v>114</v>
      </c>
      <c r="C1849" s="158" t="s">
        <v>37</v>
      </c>
      <c r="D1849" s="158" t="s">
        <v>38</v>
      </c>
      <c r="E1849" s="157">
        <v>71</v>
      </c>
      <c r="F1849" s="158" t="s">
        <v>525</v>
      </c>
      <c r="G1849" s="159">
        <v>234183.56</v>
      </c>
      <c r="H1849" s="159">
        <v>0</v>
      </c>
      <c r="I1849" s="159">
        <v>109707.07</v>
      </c>
      <c r="J1849" s="159">
        <v>46.8</v>
      </c>
      <c r="K1849" t="str">
        <f>VLOOKUP($C1849,Lists!$C$3:$M$118,7,FALSE)</f>
        <v>SOBO_RGB</v>
      </c>
      <c r="S1849" s="4"/>
      <c r="T1849" s="4"/>
      <c r="U1849" s="5"/>
      <c r="V1849" s="5"/>
    </row>
    <row r="1850" spans="1:22" x14ac:dyDescent="0.25">
      <c r="A1850" s="158" t="s">
        <v>495</v>
      </c>
      <c r="B1850" s="158" t="s">
        <v>114</v>
      </c>
      <c r="C1850" s="158" t="s">
        <v>39</v>
      </c>
      <c r="D1850" s="158" t="s">
        <v>40</v>
      </c>
      <c r="E1850" s="157">
        <v>72</v>
      </c>
      <c r="F1850" s="158" t="s">
        <v>525</v>
      </c>
      <c r="G1850" s="159">
        <v>237481.92</v>
      </c>
      <c r="H1850" s="159">
        <v>0</v>
      </c>
      <c r="I1850" s="159">
        <v>110268.72</v>
      </c>
      <c r="J1850" s="159">
        <v>46.4</v>
      </c>
      <c r="K1850" t="str">
        <f>VLOOKUP($C1850,Lists!$C$3:$M$118,7,FALSE)</f>
        <v>SOBO_RGB</v>
      </c>
      <c r="S1850" s="4"/>
      <c r="T1850" s="4"/>
      <c r="U1850" s="5"/>
      <c r="V1850" s="5"/>
    </row>
    <row r="1851" spans="1:22" x14ac:dyDescent="0.25">
      <c r="A1851" s="158" t="s">
        <v>495</v>
      </c>
      <c r="B1851" s="158" t="s">
        <v>114</v>
      </c>
      <c r="C1851" s="158" t="s">
        <v>45</v>
      </c>
      <c r="D1851" s="158" t="s">
        <v>46</v>
      </c>
      <c r="E1851" s="157">
        <v>144</v>
      </c>
      <c r="F1851" s="158" t="s">
        <v>525</v>
      </c>
      <c r="G1851" s="159">
        <v>569956.31999999995</v>
      </c>
      <c r="H1851" s="159">
        <v>0</v>
      </c>
      <c r="I1851" s="159">
        <v>280723.68</v>
      </c>
      <c r="J1851" s="159">
        <v>49.3</v>
      </c>
      <c r="K1851" t="str">
        <f>VLOOKUP($C1851,Lists!$C$3:$M$118,7,FALSE)</f>
        <v>SOBO_RGB</v>
      </c>
      <c r="S1851" s="4"/>
      <c r="T1851" s="4"/>
      <c r="U1851" s="5"/>
      <c r="V1851" s="5"/>
    </row>
    <row r="1852" spans="1:22" x14ac:dyDescent="0.25">
      <c r="A1852" s="158" t="s">
        <v>495</v>
      </c>
      <c r="B1852" s="158" t="s">
        <v>114</v>
      </c>
      <c r="C1852" s="158" t="s">
        <v>47</v>
      </c>
      <c r="D1852" s="158" t="s">
        <v>48</v>
      </c>
      <c r="E1852" s="157">
        <v>71</v>
      </c>
      <c r="F1852" s="158" t="s">
        <v>525</v>
      </c>
      <c r="G1852" s="159">
        <v>281020.13</v>
      </c>
      <c r="H1852" s="159">
        <v>0</v>
      </c>
      <c r="I1852" s="159">
        <v>122640.43</v>
      </c>
      <c r="J1852" s="159">
        <v>43.6</v>
      </c>
      <c r="K1852" t="str">
        <f>VLOOKUP($C1852,Lists!$C$3:$M$118,7,FALSE)</f>
        <v>COKE_RGB</v>
      </c>
      <c r="S1852" s="4"/>
      <c r="T1852" s="4"/>
      <c r="U1852" s="5"/>
      <c r="V1852" s="5"/>
    </row>
    <row r="1853" spans="1:22" x14ac:dyDescent="0.25">
      <c r="A1853" s="158" t="s">
        <v>489</v>
      </c>
      <c r="B1853" s="158" t="s">
        <v>115</v>
      </c>
      <c r="C1853" s="158" t="s">
        <v>41</v>
      </c>
      <c r="D1853" s="158" t="s">
        <v>42</v>
      </c>
      <c r="E1853" s="157">
        <v>216</v>
      </c>
      <c r="F1853" s="158" t="s">
        <v>525</v>
      </c>
      <c r="G1853" s="159">
        <v>1668669.12</v>
      </c>
      <c r="H1853" s="159">
        <v>0</v>
      </c>
      <c r="I1853" s="159">
        <v>699909.12</v>
      </c>
      <c r="J1853" s="159">
        <v>41.9</v>
      </c>
      <c r="K1853" t="str">
        <f>VLOOKUP($C1853,Lists!$C$3:$M$118,7,FALSE)</f>
        <v>Alcomix</v>
      </c>
      <c r="S1853" s="4"/>
      <c r="T1853" s="4"/>
      <c r="U1853" s="5"/>
      <c r="V1853" s="5"/>
    </row>
    <row r="1854" spans="1:22" x14ac:dyDescent="0.25">
      <c r="A1854" s="158" t="s">
        <v>489</v>
      </c>
      <c r="B1854" s="158" t="s">
        <v>115</v>
      </c>
      <c r="C1854" s="158" t="s">
        <v>10</v>
      </c>
      <c r="D1854" s="158" t="s">
        <v>11</v>
      </c>
      <c r="E1854" s="157">
        <v>288</v>
      </c>
      <c r="F1854" s="158" t="s">
        <v>525</v>
      </c>
      <c r="G1854" s="159">
        <v>2224892.16</v>
      </c>
      <c r="H1854" s="159">
        <v>0</v>
      </c>
      <c r="I1854" s="159">
        <v>933212.16000000003</v>
      </c>
      <c r="J1854" s="159">
        <v>41.9</v>
      </c>
      <c r="K1854" t="str">
        <f>VLOOKUP($C1854,Lists!$C$3:$M$118,7,FALSE)</f>
        <v>Alcomix</v>
      </c>
      <c r="S1854" s="4"/>
      <c r="T1854" s="4"/>
      <c r="U1854" s="5"/>
      <c r="V1854" s="5"/>
    </row>
    <row r="1855" spans="1:22" x14ac:dyDescent="0.25">
      <c r="A1855" s="158" t="s">
        <v>489</v>
      </c>
      <c r="B1855" s="158" t="s">
        <v>115</v>
      </c>
      <c r="C1855" s="158" t="s">
        <v>12</v>
      </c>
      <c r="D1855" s="158" t="s">
        <v>13</v>
      </c>
      <c r="E1855" s="157">
        <v>5539</v>
      </c>
      <c r="F1855" s="158" t="s">
        <v>525</v>
      </c>
      <c r="G1855" s="159">
        <v>35658808.030000001</v>
      </c>
      <c r="H1855" s="159">
        <v>0</v>
      </c>
      <c r="I1855" s="159">
        <v>15584087.279999999</v>
      </c>
      <c r="J1855" s="159">
        <v>43.7</v>
      </c>
      <c r="K1855" t="str">
        <f>VLOOKUP($C1855,Lists!$C$3:$M$118,7,FALSE)</f>
        <v>Beers</v>
      </c>
      <c r="S1855" s="4"/>
      <c r="T1855" s="4"/>
      <c r="U1855" s="5"/>
      <c r="V1855" s="5"/>
    </row>
    <row r="1856" spans="1:22" x14ac:dyDescent="0.25">
      <c r="A1856" s="158" t="s">
        <v>489</v>
      </c>
      <c r="B1856" s="158" t="s">
        <v>115</v>
      </c>
      <c r="C1856" s="158" t="s">
        <v>14</v>
      </c>
      <c r="D1856" s="158" t="s">
        <v>15</v>
      </c>
      <c r="E1856" s="157">
        <v>3311</v>
      </c>
      <c r="F1856" s="158" t="s">
        <v>525</v>
      </c>
      <c r="G1856" s="159">
        <v>25578534.52</v>
      </c>
      <c r="H1856" s="159">
        <v>0</v>
      </c>
      <c r="I1856" s="159">
        <v>12631266.33</v>
      </c>
      <c r="J1856" s="159">
        <v>49.4</v>
      </c>
      <c r="K1856" t="str">
        <f>VLOOKUP($C1856,Lists!$C$3:$M$118,7,FALSE)</f>
        <v>Beers</v>
      </c>
      <c r="S1856" s="4"/>
      <c r="T1856" s="4"/>
      <c r="U1856" s="5"/>
      <c r="V1856" s="5"/>
    </row>
    <row r="1857" spans="1:22" x14ac:dyDescent="0.25">
      <c r="A1857" s="158" t="s">
        <v>489</v>
      </c>
      <c r="B1857" s="158" t="s">
        <v>115</v>
      </c>
      <c r="C1857" s="158" t="s">
        <v>54</v>
      </c>
      <c r="D1857" s="158" t="s">
        <v>55</v>
      </c>
      <c r="E1857" s="157">
        <v>499</v>
      </c>
      <c r="F1857" s="158" t="s">
        <v>525</v>
      </c>
      <c r="G1857" s="159">
        <v>3854934.68</v>
      </c>
      <c r="H1857" s="159">
        <v>0</v>
      </c>
      <c r="I1857" s="159">
        <v>2023729.43</v>
      </c>
      <c r="J1857" s="159">
        <v>52.5</v>
      </c>
      <c r="K1857" t="str">
        <f>VLOOKUP($C1857,Lists!$C$3:$M$118,7,FALSE)</f>
        <v>Beers</v>
      </c>
      <c r="S1857" s="4"/>
      <c r="T1857" s="4"/>
      <c r="U1857" s="5"/>
      <c r="V1857" s="5"/>
    </row>
    <row r="1858" spans="1:22" x14ac:dyDescent="0.25">
      <c r="A1858" s="158" t="s">
        <v>489</v>
      </c>
      <c r="B1858" s="158" t="s">
        <v>115</v>
      </c>
      <c r="C1858" s="158" t="s">
        <v>16</v>
      </c>
      <c r="D1858" s="158" t="s">
        <v>17</v>
      </c>
      <c r="E1858" s="157">
        <v>5468</v>
      </c>
      <c r="F1858" s="158" t="s">
        <v>525</v>
      </c>
      <c r="G1858" s="159">
        <v>42242049.759999998</v>
      </c>
      <c r="H1858" s="159">
        <v>0</v>
      </c>
      <c r="I1858" s="159">
        <v>20860091.920000002</v>
      </c>
      <c r="J1858" s="159">
        <v>49.4</v>
      </c>
      <c r="K1858" t="str">
        <f>VLOOKUP($C1858,Lists!$C$3:$M$118,7,FALSE)</f>
        <v>Beers</v>
      </c>
      <c r="S1858" s="4"/>
      <c r="T1858" s="4"/>
      <c r="U1858" s="5"/>
      <c r="V1858" s="5"/>
    </row>
    <row r="1859" spans="1:22" x14ac:dyDescent="0.25">
      <c r="A1859" s="158" t="s">
        <v>489</v>
      </c>
      <c r="B1859" s="158" t="s">
        <v>115</v>
      </c>
      <c r="C1859" s="158" t="s">
        <v>56</v>
      </c>
      <c r="D1859" s="158" t="s">
        <v>57</v>
      </c>
      <c r="E1859" s="157">
        <v>350</v>
      </c>
      <c r="F1859" s="158" t="s">
        <v>525</v>
      </c>
      <c r="G1859" s="159">
        <v>2703862</v>
      </c>
      <c r="H1859" s="159">
        <v>0</v>
      </c>
      <c r="I1859" s="159">
        <v>1419449.5</v>
      </c>
      <c r="J1859" s="159">
        <v>52.5</v>
      </c>
      <c r="K1859" t="str">
        <f>VLOOKUP($C1859,Lists!$C$3:$M$118,7,FALSE)</f>
        <v>Beers</v>
      </c>
      <c r="S1859" s="4"/>
      <c r="T1859" s="4"/>
      <c r="U1859" s="5"/>
      <c r="V1859" s="5"/>
    </row>
    <row r="1860" spans="1:22" x14ac:dyDescent="0.25">
      <c r="A1860" s="158" t="s">
        <v>489</v>
      </c>
      <c r="B1860" s="158" t="s">
        <v>115</v>
      </c>
      <c r="C1860" s="158" t="s">
        <v>18</v>
      </c>
      <c r="D1860" s="158" t="s">
        <v>19</v>
      </c>
      <c r="E1860" s="157">
        <v>1221</v>
      </c>
      <c r="F1860" s="158" t="s">
        <v>525</v>
      </c>
      <c r="G1860" s="159">
        <v>12576825.029999999</v>
      </c>
      <c r="H1860" s="159">
        <v>0</v>
      </c>
      <c r="I1860" s="159">
        <v>6521275.5199999996</v>
      </c>
      <c r="J1860" s="159">
        <v>51.9</v>
      </c>
      <c r="K1860" t="str">
        <f>VLOOKUP($C1860,Lists!$C$3:$M$118,7,FALSE)</f>
        <v>Beers</v>
      </c>
      <c r="S1860" s="4"/>
      <c r="T1860" s="4"/>
      <c r="U1860" s="5"/>
      <c r="V1860" s="5"/>
    </row>
    <row r="1861" spans="1:22" x14ac:dyDescent="0.25">
      <c r="A1861" s="158" t="s">
        <v>489</v>
      </c>
      <c r="B1861" s="158" t="s">
        <v>115</v>
      </c>
      <c r="C1861" s="158" t="s">
        <v>20</v>
      </c>
      <c r="D1861" s="158" t="s">
        <v>21</v>
      </c>
      <c r="E1861" s="157">
        <v>3308</v>
      </c>
      <c r="F1861" s="158" t="s">
        <v>525</v>
      </c>
      <c r="G1861" s="159">
        <v>13093163.24</v>
      </c>
      <c r="H1861" s="159">
        <v>0</v>
      </c>
      <c r="I1861" s="159">
        <v>5502295.6299999999</v>
      </c>
      <c r="J1861" s="159">
        <v>42</v>
      </c>
      <c r="K1861" t="str">
        <f>VLOOKUP($C1861,Lists!$C$3:$M$118,7,FALSE)</f>
        <v>COKE_RGB</v>
      </c>
      <c r="S1861" s="4"/>
      <c r="T1861" s="4"/>
      <c r="U1861" s="5"/>
      <c r="V1861" s="5"/>
    </row>
    <row r="1862" spans="1:22" x14ac:dyDescent="0.25">
      <c r="A1862" s="158" t="s">
        <v>489</v>
      </c>
      <c r="B1862" s="158" t="s">
        <v>115</v>
      </c>
      <c r="C1862" s="158" t="s">
        <v>28</v>
      </c>
      <c r="D1862" s="158" t="s">
        <v>530</v>
      </c>
      <c r="E1862" s="157">
        <v>431</v>
      </c>
      <c r="F1862" s="158" t="s">
        <v>525</v>
      </c>
      <c r="G1862" s="159">
        <v>1216669.8999999999</v>
      </c>
      <c r="H1862" s="159">
        <v>0</v>
      </c>
      <c r="I1862" s="159">
        <v>613679.35</v>
      </c>
      <c r="J1862" s="159">
        <v>50.4</v>
      </c>
      <c r="K1862" t="str">
        <f>VLOOKUP($C1862,Lists!$C$3:$M$118,7,FALSE)</f>
        <v>COKE_PET</v>
      </c>
      <c r="S1862" s="4"/>
      <c r="T1862" s="4"/>
      <c r="U1862" s="5"/>
      <c r="V1862" s="5"/>
    </row>
    <row r="1863" spans="1:22" x14ac:dyDescent="0.25">
      <c r="A1863" s="158" t="s">
        <v>489</v>
      </c>
      <c r="B1863" s="158" t="s">
        <v>115</v>
      </c>
      <c r="C1863" s="158" t="s">
        <v>58</v>
      </c>
      <c r="D1863" s="158" t="s">
        <v>537</v>
      </c>
      <c r="E1863" s="157">
        <v>287</v>
      </c>
      <c r="F1863" s="158" t="s">
        <v>525</v>
      </c>
      <c r="G1863" s="159">
        <v>694433.81</v>
      </c>
      <c r="H1863" s="159">
        <v>0</v>
      </c>
      <c r="I1863" s="159">
        <v>384743.59</v>
      </c>
      <c r="J1863" s="159">
        <v>55.4</v>
      </c>
      <c r="K1863" t="str">
        <f>VLOOKUP($C1863,Lists!$C$3:$M$118,7,FALSE)</f>
        <v>SOBO_PET</v>
      </c>
      <c r="S1863" s="4"/>
      <c r="T1863" s="4"/>
      <c r="U1863" s="5"/>
      <c r="V1863" s="5"/>
    </row>
    <row r="1864" spans="1:22" x14ac:dyDescent="0.25">
      <c r="A1864" s="158" t="s">
        <v>489</v>
      </c>
      <c r="B1864" s="158" t="s">
        <v>115</v>
      </c>
      <c r="C1864" s="158" t="s">
        <v>78</v>
      </c>
      <c r="D1864" s="158" t="s">
        <v>526</v>
      </c>
      <c r="E1864" s="157">
        <v>431</v>
      </c>
      <c r="F1864" s="158" t="s">
        <v>525</v>
      </c>
      <c r="G1864" s="159">
        <v>1042860.53</v>
      </c>
      <c r="H1864" s="159">
        <v>0</v>
      </c>
      <c r="I1864" s="159">
        <v>569389.79</v>
      </c>
      <c r="J1864" s="159">
        <v>54.6</v>
      </c>
      <c r="K1864" t="str">
        <f>VLOOKUP($C1864,Lists!$C$3:$M$118,7,FALSE)</f>
        <v>SOBO_PET</v>
      </c>
      <c r="S1864" s="4"/>
      <c r="T1864" s="4"/>
      <c r="U1864" s="5"/>
      <c r="V1864" s="5"/>
    </row>
    <row r="1865" spans="1:22" x14ac:dyDescent="0.25">
      <c r="A1865" s="158" t="s">
        <v>489</v>
      </c>
      <c r="B1865" s="158" t="s">
        <v>115</v>
      </c>
      <c r="C1865" s="158" t="s">
        <v>59</v>
      </c>
      <c r="D1865" s="158" t="s">
        <v>60</v>
      </c>
      <c r="E1865" s="157">
        <v>648</v>
      </c>
      <c r="F1865" s="158" t="s">
        <v>525</v>
      </c>
      <c r="G1865" s="159">
        <v>2564803.44</v>
      </c>
      <c r="H1865" s="159">
        <v>0</v>
      </c>
      <c r="I1865" s="159">
        <v>1044303.84</v>
      </c>
      <c r="J1865" s="159">
        <v>40.700000000000003</v>
      </c>
      <c r="K1865" t="str">
        <f>VLOOKUP($C1865,Lists!$C$3:$M$118,7,FALSE)</f>
        <v>COKE_RGB</v>
      </c>
      <c r="S1865" s="4"/>
      <c r="T1865" s="4"/>
      <c r="U1865" s="5"/>
      <c r="V1865" s="5"/>
    </row>
    <row r="1866" spans="1:22" x14ac:dyDescent="0.25">
      <c r="A1866" s="158" t="s">
        <v>489</v>
      </c>
      <c r="B1866" s="158" t="s">
        <v>115</v>
      </c>
      <c r="C1866" s="158" t="s">
        <v>22</v>
      </c>
      <c r="D1866" s="158" t="s">
        <v>23</v>
      </c>
      <c r="E1866" s="157">
        <v>1511</v>
      </c>
      <c r="F1866" s="158" t="s">
        <v>525</v>
      </c>
      <c r="G1866" s="159">
        <v>5980583.3300000001</v>
      </c>
      <c r="H1866" s="159">
        <v>0</v>
      </c>
      <c r="I1866" s="159">
        <v>2409380.16</v>
      </c>
      <c r="J1866" s="159">
        <v>40.299999999999997</v>
      </c>
      <c r="K1866" t="str">
        <f>VLOOKUP($C1866,Lists!$C$3:$M$118,7,FALSE)</f>
        <v>COKE_RGB</v>
      </c>
      <c r="S1866" s="4"/>
      <c r="T1866" s="4"/>
      <c r="U1866" s="5"/>
      <c r="V1866" s="5"/>
    </row>
    <row r="1867" spans="1:22" x14ac:dyDescent="0.25">
      <c r="A1867" s="158" t="s">
        <v>489</v>
      </c>
      <c r="B1867" s="158" t="s">
        <v>115</v>
      </c>
      <c r="C1867" s="158" t="s">
        <v>67</v>
      </c>
      <c r="D1867" s="158" t="s">
        <v>533</v>
      </c>
      <c r="E1867" s="157">
        <v>576</v>
      </c>
      <c r="F1867" s="158" t="s">
        <v>525</v>
      </c>
      <c r="G1867" s="159">
        <v>1625990.4</v>
      </c>
      <c r="H1867" s="159">
        <v>0</v>
      </c>
      <c r="I1867" s="159">
        <v>799845.12</v>
      </c>
      <c r="J1867" s="159">
        <v>49.2</v>
      </c>
      <c r="K1867" t="str">
        <f>VLOOKUP($C1867,Lists!$C$3:$M$118,7,FALSE)</f>
        <v>COKE_PET</v>
      </c>
      <c r="S1867" s="4"/>
      <c r="T1867" s="4"/>
      <c r="U1867" s="5"/>
      <c r="V1867" s="5"/>
    </row>
    <row r="1868" spans="1:22" x14ac:dyDescent="0.25">
      <c r="A1868" s="158" t="s">
        <v>489</v>
      </c>
      <c r="B1868" s="158" t="s">
        <v>115</v>
      </c>
      <c r="C1868" s="158" t="s">
        <v>261</v>
      </c>
      <c r="D1868" s="158" t="s">
        <v>538</v>
      </c>
      <c r="E1868" s="157">
        <v>288</v>
      </c>
      <c r="F1868" s="158" t="s">
        <v>525</v>
      </c>
      <c r="G1868" s="159">
        <v>1139912.6399999999</v>
      </c>
      <c r="H1868" s="159">
        <v>0</v>
      </c>
      <c r="I1868" s="159">
        <v>459233.28000000003</v>
      </c>
      <c r="J1868" s="159">
        <v>40.299999999999997</v>
      </c>
      <c r="K1868" t="str">
        <f>VLOOKUP($C1868,Lists!$C$3:$M$118,7,FALSE)</f>
        <v>COKE_RGB</v>
      </c>
      <c r="S1868" s="4"/>
      <c r="T1868" s="4"/>
      <c r="U1868" s="5"/>
      <c r="V1868" s="5"/>
    </row>
    <row r="1869" spans="1:22" x14ac:dyDescent="0.25">
      <c r="A1869" s="158" t="s">
        <v>489</v>
      </c>
      <c r="B1869" s="158" t="s">
        <v>115</v>
      </c>
      <c r="C1869" s="158" t="s">
        <v>24</v>
      </c>
      <c r="D1869" s="158" t="s">
        <v>25</v>
      </c>
      <c r="E1869" s="157">
        <v>1512</v>
      </c>
      <c r="F1869" s="158" t="s">
        <v>525</v>
      </c>
      <c r="G1869" s="159">
        <v>9733908.2400000002</v>
      </c>
      <c r="H1869" s="159">
        <v>0</v>
      </c>
      <c r="I1869" s="159">
        <v>4686655.68</v>
      </c>
      <c r="J1869" s="159">
        <v>48.1</v>
      </c>
      <c r="K1869" t="str">
        <f>VLOOKUP($C1869,Lists!$C$3:$M$118,7,FALSE)</f>
        <v>Beers</v>
      </c>
      <c r="S1869" s="4"/>
      <c r="T1869" s="4"/>
      <c r="U1869" s="5"/>
      <c r="V1869" s="5"/>
    </row>
    <row r="1870" spans="1:22" x14ac:dyDescent="0.25">
      <c r="A1870" s="158" t="s">
        <v>489</v>
      </c>
      <c r="B1870" s="158" t="s">
        <v>115</v>
      </c>
      <c r="C1870" s="158" t="s">
        <v>29</v>
      </c>
      <c r="D1870" s="158" t="s">
        <v>30</v>
      </c>
      <c r="E1870" s="157">
        <v>110</v>
      </c>
      <c r="F1870" s="158" t="s">
        <v>525</v>
      </c>
      <c r="G1870" s="159">
        <v>4002282.9</v>
      </c>
      <c r="H1870" s="159">
        <v>0</v>
      </c>
      <c r="I1870" s="159">
        <v>1142282.8999999999</v>
      </c>
      <c r="J1870" s="159">
        <v>28.5</v>
      </c>
      <c r="K1870" t="str">
        <f>VLOOKUP($C1870,Lists!$C$3:$M$118,7,FALSE)</f>
        <v>Spirits</v>
      </c>
      <c r="S1870" s="4"/>
      <c r="T1870" s="4"/>
      <c r="U1870" s="5"/>
      <c r="V1870" s="5"/>
    </row>
    <row r="1871" spans="1:22" x14ac:dyDescent="0.25">
      <c r="A1871" s="158" t="s">
        <v>489</v>
      </c>
      <c r="B1871" s="158" t="s">
        <v>115</v>
      </c>
      <c r="C1871" s="158" t="s">
        <v>33</v>
      </c>
      <c r="D1871" s="158" t="s">
        <v>34</v>
      </c>
      <c r="E1871" s="157">
        <v>50</v>
      </c>
      <c r="F1871" s="158" t="s">
        <v>525</v>
      </c>
      <c r="G1871" s="159">
        <v>2784520</v>
      </c>
      <c r="H1871" s="159">
        <v>0</v>
      </c>
      <c r="I1871" s="159">
        <v>534520</v>
      </c>
      <c r="J1871" s="159">
        <v>19.2</v>
      </c>
      <c r="K1871" t="str">
        <f>VLOOKUP($C1871,Lists!$C$3:$M$118,7,FALSE)</f>
        <v>Spirits</v>
      </c>
      <c r="S1871" s="4"/>
      <c r="T1871" s="4"/>
      <c r="U1871" s="5"/>
      <c r="V1871" s="5"/>
    </row>
    <row r="1872" spans="1:22" x14ac:dyDescent="0.25">
      <c r="A1872" s="158" t="s">
        <v>489</v>
      </c>
      <c r="B1872" s="158" t="s">
        <v>115</v>
      </c>
      <c r="C1872" s="158" t="s">
        <v>37</v>
      </c>
      <c r="D1872" s="158" t="s">
        <v>38</v>
      </c>
      <c r="E1872" s="157">
        <v>1008</v>
      </c>
      <c r="F1872" s="158" t="s">
        <v>525</v>
      </c>
      <c r="G1872" s="159">
        <v>3324746.88</v>
      </c>
      <c r="H1872" s="159">
        <v>0</v>
      </c>
      <c r="I1872" s="159">
        <v>1557531.35</v>
      </c>
      <c r="J1872" s="159">
        <v>46.8</v>
      </c>
      <c r="K1872" t="str">
        <f>VLOOKUP($C1872,Lists!$C$3:$M$118,7,FALSE)</f>
        <v>SOBO_RGB</v>
      </c>
      <c r="S1872" s="4"/>
      <c r="T1872" s="4"/>
      <c r="U1872" s="5"/>
      <c r="V1872" s="5"/>
    </row>
    <row r="1873" spans="1:22" x14ac:dyDescent="0.25">
      <c r="A1873" s="158" t="s">
        <v>489</v>
      </c>
      <c r="B1873" s="158" t="s">
        <v>115</v>
      </c>
      <c r="C1873" s="158" t="s">
        <v>39</v>
      </c>
      <c r="D1873" s="158" t="s">
        <v>40</v>
      </c>
      <c r="E1873" s="157">
        <v>790</v>
      </c>
      <c r="F1873" s="158" t="s">
        <v>525</v>
      </c>
      <c r="G1873" s="159">
        <v>2605704.4</v>
      </c>
      <c r="H1873" s="159">
        <v>0</v>
      </c>
      <c r="I1873" s="159">
        <v>1209892.8899999999</v>
      </c>
      <c r="J1873" s="159">
        <v>46.4</v>
      </c>
      <c r="K1873" t="str">
        <f>VLOOKUP($C1873,Lists!$C$3:$M$118,7,FALSE)</f>
        <v>SOBO_RGB</v>
      </c>
      <c r="S1873" s="4"/>
      <c r="T1873" s="4"/>
      <c r="U1873" s="5"/>
      <c r="V1873" s="5"/>
    </row>
    <row r="1874" spans="1:22" x14ac:dyDescent="0.25">
      <c r="A1874" s="158" t="s">
        <v>489</v>
      </c>
      <c r="B1874" s="158" t="s">
        <v>115</v>
      </c>
      <c r="C1874" s="158" t="s">
        <v>88</v>
      </c>
      <c r="D1874" s="158" t="s">
        <v>527</v>
      </c>
      <c r="E1874" s="157">
        <v>432</v>
      </c>
      <c r="F1874" s="158" t="s">
        <v>525</v>
      </c>
      <c r="G1874" s="159">
        <v>1219492.8</v>
      </c>
      <c r="H1874" s="159">
        <v>0</v>
      </c>
      <c r="I1874" s="159">
        <v>715478.4</v>
      </c>
      <c r="J1874" s="159">
        <v>58.7</v>
      </c>
      <c r="K1874" t="str">
        <f>VLOOKUP($C1874,Lists!$C$3:$M$118,7,FALSE)</f>
        <v>SOBO_PET</v>
      </c>
      <c r="S1874" s="4"/>
      <c r="T1874" s="4"/>
      <c r="U1874" s="5"/>
      <c r="V1874" s="5"/>
    </row>
    <row r="1875" spans="1:22" x14ac:dyDescent="0.25">
      <c r="A1875" s="158" t="s">
        <v>489</v>
      </c>
      <c r="B1875" s="158" t="s">
        <v>115</v>
      </c>
      <c r="C1875" s="158" t="s">
        <v>45</v>
      </c>
      <c r="D1875" s="158" t="s">
        <v>46</v>
      </c>
      <c r="E1875" s="157">
        <v>720</v>
      </c>
      <c r="F1875" s="158" t="s">
        <v>525</v>
      </c>
      <c r="G1875" s="159">
        <v>2849781.6</v>
      </c>
      <c r="H1875" s="159">
        <v>0</v>
      </c>
      <c r="I1875" s="159">
        <v>1403618.4</v>
      </c>
      <c r="J1875" s="159">
        <v>49.3</v>
      </c>
      <c r="K1875" t="str">
        <f>VLOOKUP($C1875,Lists!$C$3:$M$118,7,FALSE)</f>
        <v>SOBO_RGB</v>
      </c>
      <c r="S1875" s="4"/>
      <c r="T1875" s="4"/>
      <c r="U1875" s="5"/>
      <c r="V1875" s="5"/>
    </row>
    <row r="1876" spans="1:22" x14ac:dyDescent="0.25">
      <c r="A1876" s="158" t="s">
        <v>489</v>
      </c>
      <c r="B1876" s="158" t="s">
        <v>115</v>
      </c>
      <c r="C1876" s="158" t="s">
        <v>47</v>
      </c>
      <c r="D1876" s="158" t="s">
        <v>48</v>
      </c>
      <c r="E1876" s="157">
        <v>646</v>
      </c>
      <c r="F1876" s="158" t="s">
        <v>525</v>
      </c>
      <c r="G1876" s="159">
        <v>2556887.38</v>
      </c>
      <c r="H1876" s="159">
        <v>0</v>
      </c>
      <c r="I1876" s="159">
        <v>1115855.18</v>
      </c>
      <c r="J1876" s="159">
        <v>43.6</v>
      </c>
      <c r="K1876" t="str">
        <f>VLOOKUP($C1876,Lists!$C$3:$M$118,7,FALSE)</f>
        <v>COKE_RGB</v>
      </c>
      <c r="S1876" s="4"/>
      <c r="T1876" s="4"/>
      <c r="U1876" s="5"/>
      <c r="V1876" s="5"/>
    </row>
    <row r="1877" spans="1:22" x14ac:dyDescent="0.25">
      <c r="A1877" s="158" t="s">
        <v>489</v>
      </c>
      <c r="B1877" s="158" t="s">
        <v>115</v>
      </c>
      <c r="C1877" s="158" t="s">
        <v>68</v>
      </c>
      <c r="D1877" s="158" t="s">
        <v>534</v>
      </c>
      <c r="E1877" s="157">
        <v>432</v>
      </c>
      <c r="F1877" s="158" t="s">
        <v>525</v>
      </c>
      <c r="G1877" s="159">
        <v>1219492.8</v>
      </c>
      <c r="H1877" s="159">
        <v>0</v>
      </c>
      <c r="I1877" s="159">
        <v>594241.92000000004</v>
      </c>
      <c r="J1877" s="159">
        <v>48.7</v>
      </c>
      <c r="K1877" t="str">
        <f>VLOOKUP($C1877,Lists!$C$3:$M$118,7,FALSE)</f>
        <v>COKE_PET</v>
      </c>
      <c r="S1877" s="4"/>
      <c r="T1877" s="4"/>
      <c r="U1877" s="5"/>
      <c r="V1877" s="5"/>
    </row>
    <row r="1878" spans="1:22" x14ac:dyDescent="0.25">
      <c r="A1878" s="158" t="s">
        <v>489</v>
      </c>
      <c r="B1878" s="158" t="s">
        <v>115</v>
      </c>
      <c r="C1878" s="158" t="s">
        <v>49</v>
      </c>
      <c r="D1878" s="158" t="s">
        <v>50</v>
      </c>
      <c r="E1878" s="157">
        <v>72</v>
      </c>
      <c r="F1878" s="158" t="s">
        <v>525</v>
      </c>
      <c r="G1878" s="159">
        <v>721971.36</v>
      </c>
      <c r="H1878" s="159">
        <v>0</v>
      </c>
      <c r="I1878" s="159">
        <v>229947.84</v>
      </c>
      <c r="J1878" s="159">
        <v>31.8</v>
      </c>
      <c r="K1878" t="str">
        <f>VLOOKUP($C1878,Lists!$C$3:$M$118,7,FALSE)</f>
        <v>Squash</v>
      </c>
      <c r="S1878" s="4"/>
      <c r="T1878" s="4"/>
      <c r="U1878" s="5"/>
      <c r="V1878" s="5"/>
    </row>
    <row r="1879" spans="1:22" x14ac:dyDescent="0.25">
      <c r="A1879" s="158" t="s">
        <v>489</v>
      </c>
      <c r="B1879" s="158" t="s">
        <v>115</v>
      </c>
      <c r="C1879" s="158" t="s">
        <v>51</v>
      </c>
      <c r="D1879" s="158" t="s">
        <v>52</v>
      </c>
      <c r="E1879" s="157">
        <v>143</v>
      </c>
      <c r="F1879" s="158" t="s">
        <v>525</v>
      </c>
      <c r="G1879" s="159">
        <v>1433915.34</v>
      </c>
      <c r="H1879" s="159">
        <v>0</v>
      </c>
      <c r="I1879" s="159">
        <v>452885.29</v>
      </c>
      <c r="J1879" s="159">
        <v>31.6</v>
      </c>
      <c r="K1879" t="str">
        <f>VLOOKUP($C1879,Lists!$C$3:$M$118,7,FALSE)</f>
        <v>Squash</v>
      </c>
      <c r="S1879" s="4"/>
      <c r="T1879" s="4"/>
      <c r="U1879" s="5"/>
      <c r="V1879" s="5"/>
    </row>
    <row r="1880" spans="1:22" x14ac:dyDescent="0.25">
      <c r="A1880" s="158" t="s">
        <v>489</v>
      </c>
      <c r="B1880" s="158" t="s">
        <v>115</v>
      </c>
      <c r="C1880" s="158" t="s">
        <v>26</v>
      </c>
      <c r="D1880" s="158" t="s">
        <v>27</v>
      </c>
      <c r="E1880" s="157">
        <v>144</v>
      </c>
      <c r="F1880" s="158" t="s">
        <v>525</v>
      </c>
      <c r="G1880" s="159">
        <v>314265.59999999998</v>
      </c>
      <c r="H1880" s="159">
        <v>0</v>
      </c>
      <c r="I1880" s="159">
        <v>138551.04000000001</v>
      </c>
      <c r="J1880" s="159">
        <v>44.1</v>
      </c>
      <c r="K1880" t="str">
        <f>VLOOKUP($C1880,Lists!$C$3:$M$118,7,FALSE)</f>
        <v>Water</v>
      </c>
      <c r="S1880" s="4"/>
      <c r="T1880" s="4"/>
      <c r="U1880" s="5"/>
      <c r="V1880" s="5"/>
    </row>
    <row r="1881" spans="1:22" x14ac:dyDescent="0.25">
      <c r="A1881" s="158" t="s">
        <v>490</v>
      </c>
      <c r="B1881" s="158" t="s">
        <v>116</v>
      </c>
      <c r="C1881" s="158" t="s">
        <v>10</v>
      </c>
      <c r="D1881" s="158" t="s">
        <v>11</v>
      </c>
      <c r="E1881" s="157">
        <v>144</v>
      </c>
      <c r="F1881" s="158" t="s">
        <v>525</v>
      </c>
      <c r="G1881" s="159">
        <v>1112446.08</v>
      </c>
      <c r="H1881" s="159">
        <v>0</v>
      </c>
      <c r="I1881" s="159">
        <v>466606.08000000002</v>
      </c>
      <c r="J1881" s="159">
        <v>41.9</v>
      </c>
      <c r="K1881" t="str">
        <f>VLOOKUP($C1881,Lists!$C$3:$M$118,7,FALSE)</f>
        <v>Alcomix</v>
      </c>
      <c r="S1881" s="4"/>
      <c r="T1881" s="4"/>
      <c r="U1881" s="5"/>
      <c r="V1881" s="5"/>
    </row>
    <row r="1882" spans="1:22" x14ac:dyDescent="0.25">
      <c r="A1882" s="158" t="s">
        <v>490</v>
      </c>
      <c r="B1882" s="158" t="s">
        <v>116</v>
      </c>
      <c r="C1882" s="158" t="s">
        <v>12</v>
      </c>
      <c r="D1882" s="158" t="s">
        <v>13</v>
      </c>
      <c r="E1882" s="157">
        <v>2160</v>
      </c>
      <c r="F1882" s="158" t="s">
        <v>525</v>
      </c>
      <c r="G1882" s="159">
        <v>13905583.199999999</v>
      </c>
      <c r="H1882" s="159">
        <v>0</v>
      </c>
      <c r="I1882" s="159">
        <v>6077203.2000000002</v>
      </c>
      <c r="J1882" s="159">
        <v>43.7</v>
      </c>
      <c r="K1882" t="str">
        <f>VLOOKUP($C1882,Lists!$C$3:$M$118,7,FALSE)</f>
        <v>Beers</v>
      </c>
      <c r="S1882" s="4"/>
      <c r="T1882" s="4"/>
      <c r="U1882" s="5"/>
      <c r="V1882" s="5"/>
    </row>
    <row r="1883" spans="1:22" x14ac:dyDescent="0.25">
      <c r="A1883" s="158" t="s">
        <v>490</v>
      </c>
      <c r="B1883" s="158" t="s">
        <v>116</v>
      </c>
      <c r="C1883" s="158" t="s">
        <v>16</v>
      </c>
      <c r="D1883" s="158" t="s">
        <v>17</v>
      </c>
      <c r="E1883" s="157">
        <v>2160</v>
      </c>
      <c r="F1883" s="158" t="s">
        <v>525</v>
      </c>
      <c r="G1883" s="159">
        <v>16686691.199999999</v>
      </c>
      <c r="H1883" s="159">
        <v>0</v>
      </c>
      <c r="I1883" s="159">
        <v>8240270.4000000004</v>
      </c>
      <c r="J1883" s="159">
        <v>49.4</v>
      </c>
      <c r="K1883" t="str">
        <f>VLOOKUP($C1883,Lists!$C$3:$M$118,7,FALSE)</f>
        <v>Beers</v>
      </c>
      <c r="S1883" s="4"/>
      <c r="T1883" s="4"/>
      <c r="U1883" s="5"/>
      <c r="V1883" s="5"/>
    </row>
    <row r="1884" spans="1:22" x14ac:dyDescent="0.25">
      <c r="A1884" s="158" t="s">
        <v>490</v>
      </c>
      <c r="B1884" s="158" t="s">
        <v>116</v>
      </c>
      <c r="C1884" s="158" t="s">
        <v>18</v>
      </c>
      <c r="D1884" s="158" t="s">
        <v>19</v>
      </c>
      <c r="E1884" s="157">
        <v>144</v>
      </c>
      <c r="F1884" s="158" t="s">
        <v>525</v>
      </c>
      <c r="G1884" s="159">
        <v>1483261.92</v>
      </c>
      <c r="H1884" s="159">
        <v>0</v>
      </c>
      <c r="I1884" s="159">
        <v>769093.92</v>
      </c>
      <c r="J1884" s="159">
        <v>51.9</v>
      </c>
      <c r="K1884" t="str">
        <f>VLOOKUP($C1884,Lists!$C$3:$M$118,7,FALSE)</f>
        <v>Beers</v>
      </c>
      <c r="S1884" s="4"/>
      <c r="T1884" s="4"/>
      <c r="U1884" s="5"/>
      <c r="V1884" s="5"/>
    </row>
    <row r="1885" spans="1:22" x14ac:dyDescent="0.25">
      <c r="A1885" s="158" t="s">
        <v>490</v>
      </c>
      <c r="B1885" s="158" t="s">
        <v>116</v>
      </c>
      <c r="C1885" s="158" t="s">
        <v>20</v>
      </c>
      <c r="D1885" s="158" t="s">
        <v>21</v>
      </c>
      <c r="E1885" s="157">
        <v>2088</v>
      </c>
      <c r="F1885" s="158" t="s">
        <v>525</v>
      </c>
      <c r="G1885" s="159">
        <v>8264366.6399999997</v>
      </c>
      <c r="H1885" s="159">
        <v>0</v>
      </c>
      <c r="I1885" s="159">
        <v>3473033.03</v>
      </c>
      <c r="J1885" s="159">
        <v>42</v>
      </c>
      <c r="K1885" t="str">
        <f>VLOOKUP($C1885,Lists!$C$3:$M$118,7,FALSE)</f>
        <v>COKE_RGB</v>
      </c>
      <c r="S1885" s="4"/>
      <c r="T1885" s="4"/>
      <c r="U1885" s="5"/>
      <c r="V1885" s="5"/>
    </row>
    <row r="1886" spans="1:22" x14ac:dyDescent="0.25">
      <c r="A1886" s="158" t="s">
        <v>490</v>
      </c>
      <c r="B1886" s="158" t="s">
        <v>116</v>
      </c>
      <c r="C1886" s="158" t="s">
        <v>28</v>
      </c>
      <c r="D1886" s="158" t="s">
        <v>530</v>
      </c>
      <c r="E1886" s="157">
        <v>144</v>
      </c>
      <c r="F1886" s="158" t="s">
        <v>525</v>
      </c>
      <c r="G1886" s="159">
        <v>406497.6</v>
      </c>
      <c r="H1886" s="159">
        <v>0</v>
      </c>
      <c r="I1886" s="159">
        <v>205034.4</v>
      </c>
      <c r="J1886" s="159">
        <v>50.4</v>
      </c>
      <c r="K1886" t="str">
        <f>VLOOKUP($C1886,Lists!$C$3:$M$118,7,FALSE)</f>
        <v>COKE_PET</v>
      </c>
      <c r="S1886" s="4"/>
      <c r="T1886" s="4"/>
      <c r="U1886" s="5"/>
      <c r="V1886" s="5"/>
    </row>
    <row r="1887" spans="1:22" x14ac:dyDescent="0.25">
      <c r="A1887" s="158" t="s">
        <v>490</v>
      </c>
      <c r="B1887" s="158" t="s">
        <v>116</v>
      </c>
      <c r="C1887" s="158" t="s">
        <v>59</v>
      </c>
      <c r="D1887" s="158" t="s">
        <v>60</v>
      </c>
      <c r="E1887" s="157">
        <v>432</v>
      </c>
      <c r="F1887" s="158" t="s">
        <v>525</v>
      </c>
      <c r="G1887" s="159">
        <v>1709868.96</v>
      </c>
      <c r="H1887" s="159">
        <v>0</v>
      </c>
      <c r="I1887" s="159">
        <v>696202.56</v>
      </c>
      <c r="J1887" s="159">
        <v>40.700000000000003</v>
      </c>
      <c r="K1887" t="str">
        <f>VLOOKUP($C1887,Lists!$C$3:$M$118,7,FALSE)</f>
        <v>COKE_RGB</v>
      </c>
      <c r="S1887" s="4"/>
      <c r="T1887" s="4"/>
      <c r="U1887" s="5"/>
      <c r="V1887" s="5"/>
    </row>
    <row r="1888" spans="1:22" x14ac:dyDescent="0.25">
      <c r="A1888" s="158" t="s">
        <v>490</v>
      </c>
      <c r="B1888" s="158" t="s">
        <v>116</v>
      </c>
      <c r="C1888" s="158" t="s">
        <v>22</v>
      </c>
      <c r="D1888" s="158" t="s">
        <v>23</v>
      </c>
      <c r="E1888" s="157">
        <v>504</v>
      </c>
      <c r="F1888" s="158" t="s">
        <v>525</v>
      </c>
      <c r="G1888" s="159">
        <v>1994847.12</v>
      </c>
      <c r="H1888" s="159">
        <v>0</v>
      </c>
      <c r="I1888" s="159">
        <v>803658.23999999999</v>
      </c>
      <c r="J1888" s="159">
        <v>40.299999999999997</v>
      </c>
      <c r="K1888" t="str">
        <f>VLOOKUP($C1888,Lists!$C$3:$M$118,7,FALSE)</f>
        <v>COKE_RGB</v>
      </c>
      <c r="S1888" s="4"/>
      <c r="T1888" s="4"/>
      <c r="U1888" s="5"/>
      <c r="V1888" s="5"/>
    </row>
    <row r="1889" spans="1:22" x14ac:dyDescent="0.25">
      <c r="A1889" s="158" t="s">
        <v>490</v>
      </c>
      <c r="B1889" s="158" t="s">
        <v>116</v>
      </c>
      <c r="C1889" s="158" t="s">
        <v>261</v>
      </c>
      <c r="D1889" s="158" t="s">
        <v>538</v>
      </c>
      <c r="E1889" s="157">
        <v>288</v>
      </c>
      <c r="F1889" s="158" t="s">
        <v>525</v>
      </c>
      <c r="G1889" s="159">
        <v>1139912.6399999999</v>
      </c>
      <c r="H1889" s="159">
        <v>0</v>
      </c>
      <c r="I1889" s="159">
        <v>459233.28000000003</v>
      </c>
      <c r="J1889" s="159">
        <v>40.299999999999997</v>
      </c>
      <c r="K1889" t="str">
        <f>VLOOKUP($C1889,Lists!$C$3:$M$118,7,FALSE)</f>
        <v>COKE_RGB</v>
      </c>
      <c r="S1889" s="4"/>
      <c r="T1889" s="4"/>
      <c r="U1889" s="5"/>
      <c r="V1889" s="5"/>
    </row>
    <row r="1890" spans="1:22" x14ac:dyDescent="0.25">
      <c r="A1890" s="158" t="s">
        <v>490</v>
      </c>
      <c r="B1890" s="158" t="s">
        <v>116</v>
      </c>
      <c r="C1890" s="158" t="s">
        <v>29</v>
      </c>
      <c r="D1890" s="158" t="s">
        <v>30</v>
      </c>
      <c r="E1890" s="157">
        <v>49</v>
      </c>
      <c r="F1890" s="158" t="s">
        <v>525</v>
      </c>
      <c r="G1890" s="159">
        <v>1782835.11</v>
      </c>
      <c r="H1890" s="159">
        <v>0</v>
      </c>
      <c r="I1890" s="159">
        <v>508835.11</v>
      </c>
      <c r="J1890" s="159">
        <v>28.5</v>
      </c>
      <c r="K1890" t="str">
        <f>VLOOKUP($C1890,Lists!$C$3:$M$118,7,FALSE)</f>
        <v>Spirits</v>
      </c>
      <c r="S1890" s="4"/>
      <c r="T1890" s="4"/>
      <c r="U1890" s="5"/>
      <c r="V1890" s="5"/>
    </row>
    <row r="1891" spans="1:22" x14ac:dyDescent="0.25">
      <c r="A1891" s="158" t="s">
        <v>490</v>
      </c>
      <c r="B1891" s="158" t="s">
        <v>116</v>
      </c>
      <c r="C1891" s="158" t="s">
        <v>37</v>
      </c>
      <c r="D1891" s="158" t="s">
        <v>38</v>
      </c>
      <c r="E1891" s="157">
        <v>720</v>
      </c>
      <c r="F1891" s="158" t="s">
        <v>525</v>
      </c>
      <c r="G1891" s="159">
        <v>2374819.2000000002</v>
      </c>
      <c r="H1891" s="159">
        <v>0</v>
      </c>
      <c r="I1891" s="159">
        <v>1112522.3999999999</v>
      </c>
      <c r="J1891" s="159">
        <v>46.8</v>
      </c>
      <c r="K1891" t="str">
        <f>VLOOKUP($C1891,Lists!$C$3:$M$118,7,FALSE)</f>
        <v>SOBO_RGB</v>
      </c>
      <c r="S1891" s="4"/>
      <c r="T1891" s="4"/>
      <c r="U1891" s="5"/>
      <c r="V1891" s="5"/>
    </row>
    <row r="1892" spans="1:22" x14ac:dyDescent="0.25">
      <c r="A1892" s="158" t="s">
        <v>490</v>
      </c>
      <c r="B1892" s="158" t="s">
        <v>116</v>
      </c>
      <c r="C1892" s="158" t="s">
        <v>39</v>
      </c>
      <c r="D1892" s="158" t="s">
        <v>40</v>
      </c>
      <c r="E1892" s="157">
        <v>216</v>
      </c>
      <c r="F1892" s="158" t="s">
        <v>525</v>
      </c>
      <c r="G1892" s="159">
        <v>712445.76</v>
      </c>
      <c r="H1892" s="159">
        <v>0</v>
      </c>
      <c r="I1892" s="159">
        <v>330806.15999999997</v>
      </c>
      <c r="J1892" s="159">
        <v>46.4</v>
      </c>
      <c r="K1892" t="str">
        <f>VLOOKUP($C1892,Lists!$C$3:$M$118,7,FALSE)</f>
        <v>SOBO_RGB</v>
      </c>
      <c r="S1892" s="4"/>
      <c r="T1892" s="4"/>
      <c r="U1892" s="5"/>
      <c r="V1892" s="5"/>
    </row>
    <row r="1893" spans="1:22" x14ac:dyDescent="0.25">
      <c r="A1893" s="158" t="s">
        <v>490</v>
      </c>
      <c r="B1893" s="158" t="s">
        <v>116</v>
      </c>
      <c r="C1893" s="158" t="s">
        <v>45</v>
      </c>
      <c r="D1893" s="158" t="s">
        <v>46</v>
      </c>
      <c r="E1893" s="157">
        <v>648</v>
      </c>
      <c r="F1893" s="158" t="s">
        <v>525</v>
      </c>
      <c r="G1893" s="159">
        <v>2564803.44</v>
      </c>
      <c r="H1893" s="159">
        <v>0</v>
      </c>
      <c r="I1893" s="159">
        <v>1263256.57</v>
      </c>
      <c r="J1893" s="159">
        <v>49.3</v>
      </c>
      <c r="K1893" t="str">
        <f>VLOOKUP($C1893,Lists!$C$3:$M$118,7,FALSE)</f>
        <v>SOBO_RGB</v>
      </c>
      <c r="S1893" s="4"/>
      <c r="T1893" s="4"/>
      <c r="U1893" s="5"/>
      <c r="V1893" s="5"/>
    </row>
    <row r="1894" spans="1:22" x14ac:dyDescent="0.25">
      <c r="A1894" s="158" t="s">
        <v>490</v>
      </c>
      <c r="B1894" s="158" t="s">
        <v>116</v>
      </c>
      <c r="C1894" s="158" t="s">
        <v>47</v>
      </c>
      <c r="D1894" s="158" t="s">
        <v>48</v>
      </c>
      <c r="E1894" s="157">
        <v>432</v>
      </c>
      <c r="F1894" s="158" t="s">
        <v>525</v>
      </c>
      <c r="G1894" s="159">
        <v>1709868.96</v>
      </c>
      <c r="H1894" s="159">
        <v>0</v>
      </c>
      <c r="I1894" s="159">
        <v>746206.54</v>
      </c>
      <c r="J1894" s="159">
        <v>43.6</v>
      </c>
      <c r="K1894" t="str">
        <f>VLOOKUP($C1894,Lists!$C$3:$M$118,7,FALSE)</f>
        <v>COKE_RGB</v>
      </c>
    </row>
    <row r="1895" spans="1:22" x14ac:dyDescent="0.25">
      <c r="A1895" s="158" t="s">
        <v>490</v>
      </c>
      <c r="B1895" s="158" t="s">
        <v>116</v>
      </c>
      <c r="C1895" s="158" t="s">
        <v>68</v>
      </c>
      <c r="D1895" s="158" t="s">
        <v>534</v>
      </c>
      <c r="E1895" s="157">
        <v>288</v>
      </c>
      <c r="F1895" s="158" t="s">
        <v>525</v>
      </c>
      <c r="G1895" s="159">
        <v>812995.2</v>
      </c>
      <c r="H1895" s="159">
        <v>0</v>
      </c>
      <c r="I1895" s="159">
        <v>396161.28000000003</v>
      </c>
      <c r="J1895" s="159">
        <v>48.7</v>
      </c>
      <c r="K1895" t="str">
        <f>VLOOKUP($C1895,Lists!$C$3:$M$118,7,FALSE)</f>
        <v>COKE_PET</v>
      </c>
    </row>
    <row r="1896" spans="1:22" x14ac:dyDescent="0.25">
      <c r="A1896" s="158" t="s">
        <v>490</v>
      </c>
      <c r="B1896" s="158" t="s">
        <v>116</v>
      </c>
      <c r="C1896" s="158" t="s">
        <v>51</v>
      </c>
      <c r="D1896" s="158" t="s">
        <v>52</v>
      </c>
      <c r="E1896" s="157">
        <v>216</v>
      </c>
      <c r="F1896" s="158" t="s">
        <v>525</v>
      </c>
      <c r="G1896" s="159">
        <v>2165914.08</v>
      </c>
      <c r="H1896" s="159">
        <v>0</v>
      </c>
      <c r="I1896" s="159">
        <v>684078.48</v>
      </c>
      <c r="J1896" s="159">
        <v>31.6</v>
      </c>
      <c r="K1896" t="str">
        <f>VLOOKUP($C1896,Lists!$C$3:$M$118,7,FALSE)</f>
        <v>Squash</v>
      </c>
    </row>
    <row r="1897" spans="1:22" x14ac:dyDescent="0.25">
      <c r="A1897" s="158" t="s">
        <v>757</v>
      </c>
      <c r="B1897" s="158" t="s">
        <v>758</v>
      </c>
      <c r="C1897" s="158" t="s">
        <v>12</v>
      </c>
      <c r="D1897" s="158" t="s">
        <v>13</v>
      </c>
      <c r="E1897" s="157">
        <v>432</v>
      </c>
      <c r="F1897" s="158" t="s">
        <v>525</v>
      </c>
      <c r="G1897" s="159">
        <v>2833591.68</v>
      </c>
      <c r="H1897" s="159">
        <v>0</v>
      </c>
      <c r="I1897" s="159">
        <v>1267915.68</v>
      </c>
      <c r="J1897" s="159">
        <v>44.7</v>
      </c>
      <c r="K1897" t="str">
        <f>VLOOKUP($C1897,Lists!$C$3:$M$118,7,FALSE)</f>
        <v>Beers</v>
      </c>
    </row>
    <row r="1898" spans="1:22" x14ac:dyDescent="0.25">
      <c r="A1898" s="158" t="s">
        <v>757</v>
      </c>
      <c r="B1898" s="158" t="s">
        <v>758</v>
      </c>
      <c r="C1898" s="158" t="s">
        <v>14</v>
      </c>
      <c r="D1898" s="158" t="s">
        <v>15</v>
      </c>
      <c r="E1898" s="157">
        <v>144</v>
      </c>
      <c r="F1898" s="158" t="s">
        <v>525</v>
      </c>
      <c r="G1898" s="159">
        <v>1133435.52</v>
      </c>
      <c r="H1898" s="159">
        <v>0</v>
      </c>
      <c r="I1898" s="159">
        <v>570340.80000000005</v>
      </c>
      <c r="J1898" s="159">
        <v>50.3</v>
      </c>
      <c r="K1898" t="str">
        <f>VLOOKUP($C1898,Lists!$C$3:$M$118,7,FALSE)</f>
        <v>Beers</v>
      </c>
    </row>
    <row r="1899" spans="1:22" x14ac:dyDescent="0.25">
      <c r="A1899" s="158" t="s">
        <v>757</v>
      </c>
      <c r="B1899" s="158" t="s">
        <v>758</v>
      </c>
      <c r="C1899" s="158" t="s">
        <v>16</v>
      </c>
      <c r="D1899" s="158" t="s">
        <v>17</v>
      </c>
      <c r="E1899" s="157">
        <v>359</v>
      </c>
      <c r="F1899" s="158" t="s">
        <v>525</v>
      </c>
      <c r="G1899" s="159">
        <v>2825717.72</v>
      </c>
      <c r="H1899" s="159">
        <v>0</v>
      </c>
      <c r="I1899" s="159">
        <v>1421891.3</v>
      </c>
      <c r="J1899" s="159">
        <v>50.3</v>
      </c>
      <c r="K1899" t="str">
        <f>VLOOKUP($C1899,Lists!$C$3:$M$118,7,FALSE)</f>
        <v>Beers</v>
      </c>
    </row>
    <row r="1900" spans="1:22" x14ac:dyDescent="0.25">
      <c r="A1900" s="158" t="s">
        <v>757</v>
      </c>
      <c r="B1900" s="158" t="s">
        <v>758</v>
      </c>
      <c r="C1900" s="158" t="s">
        <v>56</v>
      </c>
      <c r="D1900" s="158" t="s">
        <v>57</v>
      </c>
      <c r="E1900" s="157">
        <v>50</v>
      </c>
      <c r="F1900" s="158" t="s">
        <v>525</v>
      </c>
      <c r="G1900" s="159">
        <v>393554</v>
      </c>
      <c r="H1900" s="159">
        <v>0</v>
      </c>
      <c r="I1900" s="159">
        <v>210066.5</v>
      </c>
      <c r="J1900" s="159">
        <v>53.4</v>
      </c>
      <c r="K1900" t="str">
        <f>VLOOKUP($C1900,Lists!$C$3:$M$118,7,FALSE)</f>
        <v>Beers</v>
      </c>
    </row>
    <row r="1901" spans="1:22" x14ac:dyDescent="0.25">
      <c r="A1901" s="158" t="s">
        <v>491</v>
      </c>
      <c r="B1901" s="158" t="s">
        <v>117</v>
      </c>
      <c r="C1901" s="158" t="s">
        <v>10</v>
      </c>
      <c r="D1901" s="158" t="s">
        <v>11</v>
      </c>
      <c r="E1901" s="157">
        <v>251</v>
      </c>
      <c r="F1901" s="158" t="s">
        <v>525</v>
      </c>
      <c r="G1901" s="159">
        <v>1939055.32</v>
      </c>
      <c r="H1901" s="159">
        <v>0</v>
      </c>
      <c r="I1901" s="159">
        <v>813320.32</v>
      </c>
      <c r="J1901" s="159">
        <v>41.9</v>
      </c>
      <c r="K1901" t="str">
        <f>VLOOKUP($C1901,Lists!$C$3:$M$118,7,FALSE)</f>
        <v>Alcomix</v>
      </c>
    </row>
    <row r="1902" spans="1:22" x14ac:dyDescent="0.25">
      <c r="A1902" s="158" t="s">
        <v>491</v>
      </c>
      <c r="B1902" s="158" t="s">
        <v>117</v>
      </c>
      <c r="C1902" s="158" t="s">
        <v>12</v>
      </c>
      <c r="D1902" s="158" t="s">
        <v>13</v>
      </c>
      <c r="E1902" s="157">
        <v>4534</v>
      </c>
      <c r="F1902" s="158" t="s">
        <v>525</v>
      </c>
      <c r="G1902" s="159">
        <v>29188849.18</v>
      </c>
      <c r="H1902" s="159">
        <v>0</v>
      </c>
      <c r="I1902" s="159">
        <v>12756499.67</v>
      </c>
      <c r="J1902" s="159">
        <v>43.7</v>
      </c>
      <c r="K1902" t="str">
        <f>VLOOKUP($C1902,Lists!$C$3:$M$118,7,FALSE)</f>
        <v>Beers</v>
      </c>
    </row>
    <row r="1903" spans="1:22" x14ac:dyDescent="0.25">
      <c r="A1903" s="158" t="s">
        <v>491</v>
      </c>
      <c r="B1903" s="158" t="s">
        <v>117</v>
      </c>
      <c r="C1903" s="158" t="s">
        <v>14</v>
      </c>
      <c r="D1903" s="158" t="s">
        <v>15</v>
      </c>
      <c r="E1903" s="157">
        <v>588</v>
      </c>
      <c r="F1903" s="158" t="s">
        <v>525</v>
      </c>
      <c r="G1903" s="159">
        <v>4542488.16</v>
      </c>
      <c r="H1903" s="159">
        <v>0</v>
      </c>
      <c r="I1903" s="159">
        <v>2243184.7200000002</v>
      </c>
      <c r="J1903" s="159">
        <v>49.4</v>
      </c>
      <c r="K1903" t="str">
        <f>VLOOKUP($C1903,Lists!$C$3:$M$118,7,FALSE)</f>
        <v>Beers</v>
      </c>
    </row>
    <row r="1904" spans="1:22" x14ac:dyDescent="0.25">
      <c r="A1904" s="158" t="s">
        <v>491</v>
      </c>
      <c r="B1904" s="158" t="s">
        <v>117</v>
      </c>
      <c r="C1904" s="158" t="s">
        <v>54</v>
      </c>
      <c r="D1904" s="158" t="s">
        <v>55</v>
      </c>
      <c r="E1904" s="157">
        <v>300</v>
      </c>
      <c r="F1904" s="158" t="s">
        <v>525</v>
      </c>
      <c r="G1904" s="159">
        <v>2317596</v>
      </c>
      <c r="H1904" s="159">
        <v>0</v>
      </c>
      <c r="I1904" s="159">
        <v>1216671</v>
      </c>
      <c r="J1904" s="159">
        <v>52.5</v>
      </c>
      <c r="K1904" t="str">
        <f>VLOOKUP($C1904,Lists!$C$3:$M$118,7,FALSE)</f>
        <v>Beers</v>
      </c>
    </row>
    <row r="1905" spans="1:11" x14ac:dyDescent="0.25">
      <c r="A1905" s="158" t="s">
        <v>491</v>
      </c>
      <c r="B1905" s="158" t="s">
        <v>117</v>
      </c>
      <c r="C1905" s="158" t="s">
        <v>16</v>
      </c>
      <c r="D1905" s="158" t="s">
        <v>17</v>
      </c>
      <c r="E1905" s="157">
        <v>2938</v>
      </c>
      <c r="F1905" s="158" t="s">
        <v>525</v>
      </c>
      <c r="G1905" s="159">
        <v>22696990.16</v>
      </c>
      <c r="H1905" s="159">
        <v>0</v>
      </c>
      <c r="I1905" s="159">
        <v>11208293.720000001</v>
      </c>
      <c r="J1905" s="159">
        <v>49.4</v>
      </c>
      <c r="K1905" t="str">
        <f>VLOOKUP($C1905,Lists!$C$3:$M$118,7,FALSE)</f>
        <v>Beers</v>
      </c>
    </row>
    <row r="1906" spans="1:11" x14ac:dyDescent="0.25">
      <c r="A1906" s="158" t="s">
        <v>491</v>
      </c>
      <c r="B1906" s="158" t="s">
        <v>117</v>
      </c>
      <c r="C1906" s="158" t="s">
        <v>18</v>
      </c>
      <c r="D1906" s="158" t="s">
        <v>19</v>
      </c>
      <c r="E1906" s="157">
        <v>672</v>
      </c>
      <c r="F1906" s="158" t="s">
        <v>525</v>
      </c>
      <c r="G1906" s="159">
        <v>6921888.96</v>
      </c>
      <c r="H1906" s="159">
        <v>0</v>
      </c>
      <c r="I1906" s="159">
        <v>3589104.96</v>
      </c>
      <c r="J1906" s="159">
        <v>51.9</v>
      </c>
      <c r="K1906" t="str">
        <f>VLOOKUP($C1906,Lists!$C$3:$M$118,7,FALSE)</f>
        <v>Beers</v>
      </c>
    </row>
    <row r="1907" spans="1:11" x14ac:dyDescent="0.25">
      <c r="A1907" s="158" t="s">
        <v>491</v>
      </c>
      <c r="B1907" s="158" t="s">
        <v>117</v>
      </c>
      <c r="C1907" s="158" t="s">
        <v>20</v>
      </c>
      <c r="D1907" s="158" t="s">
        <v>21</v>
      </c>
      <c r="E1907" s="157">
        <v>1175</v>
      </c>
      <c r="F1907" s="158" t="s">
        <v>525</v>
      </c>
      <c r="G1907" s="159">
        <v>4650685.25</v>
      </c>
      <c r="H1907" s="159">
        <v>0</v>
      </c>
      <c r="I1907" s="159">
        <v>1954412.74</v>
      </c>
      <c r="J1907" s="159">
        <v>42</v>
      </c>
      <c r="K1907" t="str">
        <f>VLOOKUP($C1907,Lists!$C$3:$M$118,7,FALSE)</f>
        <v>COKE_RGB</v>
      </c>
    </row>
    <row r="1908" spans="1:11" x14ac:dyDescent="0.25">
      <c r="A1908" s="158" t="s">
        <v>491</v>
      </c>
      <c r="B1908" s="158" t="s">
        <v>117</v>
      </c>
      <c r="C1908" s="158" t="s">
        <v>28</v>
      </c>
      <c r="D1908" s="158" t="s">
        <v>530</v>
      </c>
      <c r="E1908" s="157">
        <v>144</v>
      </c>
      <c r="F1908" s="158" t="s">
        <v>525</v>
      </c>
      <c r="G1908" s="159">
        <v>406497.6</v>
      </c>
      <c r="H1908" s="159">
        <v>0</v>
      </c>
      <c r="I1908" s="159">
        <v>205034.4</v>
      </c>
      <c r="J1908" s="159">
        <v>50.4</v>
      </c>
      <c r="K1908" t="str">
        <f>VLOOKUP($C1908,Lists!$C$3:$M$118,7,FALSE)</f>
        <v>COKE_PET</v>
      </c>
    </row>
    <row r="1909" spans="1:11" x14ac:dyDescent="0.25">
      <c r="A1909" s="158" t="s">
        <v>491</v>
      </c>
      <c r="B1909" s="158" t="s">
        <v>117</v>
      </c>
      <c r="C1909" s="158" t="s">
        <v>58</v>
      </c>
      <c r="D1909" s="158" t="s">
        <v>537</v>
      </c>
      <c r="E1909" s="157">
        <v>144</v>
      </c>
      <c r="F1909" s="158" t="s">
        <v>525</v>
      </c>
      <c r="G1909" s="159">
        <v>348426.72</v>
      </c>
      <c r="H1909" s="159">
        <v>0</v>
      </c>
      <c r="I1909" s="159">
        <v>193042.08</v>
      </c>
      <c r="J1909" s="159">
        <v>55.4</v>
      </c>
      <c r="K1909" t="str">
        <f>VLOOKUP($C1909,Lists!$C$3:$M$118,7,FALSE)</f>
        <v>SOBO_PET</v>
      </c>
    </row>
    <row r="1910" spans="1:11" x14ac:dyDescent="0.25">
      <c r="A1910" s="158" t="s">
        <v>491</v>
      </c>
      <c r="B1910" s="158" t="s">
        <v>117</v>
      </c>
      <c r="C1910" s="158" t="s">
        <v>78</v>
      </c>
      <c r="D1910" s="158" t="s">
        <v>526</v>
      </c>
      <c r="E1910" s="157">
        <v>143</v>
      </c>
      <c r="F1910" s="158" t="s">
        <v>525</v>
      </c>
      <c r="G1910" s="159">
        <v>346007.09</v>
      </c>
      <c r="H1910" s="159">
        <v>0</v>
      </c>
      <c r="I1910" s="159">
        <v>188915.87</v>
      </c>
      <c r="J1910" s="159">
        <v>54.6</v>
      </c>
      <c r="K1910" t="str">
        <f>VLOOKUP($C1910,Lists!$C$3:$M$118,7,FALSE)</f>
        <v>SOBO_PET</v>
      </c>
    </row>
    <row r="1911" spans="1:11" x14ac:dyDescent="0.25">
      <c r="A1911" s="158" t="s">
        <v>491</v>
      </c>
      <c r="B1911" s="158" t="s">
        <v>117</v>
      </c>
      <c r="C1911" s="158" t="s">
        <v>43</v>
      </c>
      <c r="D1911" s="158" t="s">
        <v>44</v>
      </c>
      <c r="E1911" s="157">
        <v>84</v>
      </c>
      <c r="F1911" s="158" t="s">
        <v>525</v>
      </c>
      <c r="G1911" s="159">
        <v>648926.88</v>
      </c>
      <c r="H1911" s="159">
        <v>0</v>
      </c>
      <c r="I1911" s="159">
        <v>320454.96000000002</v>
      </c>
      <c r="J1911" s="159">
        <v>49.4</v>
      </c>
      <c r="K1911" t="str">
        <f>VLOOKUP($C1911,Lists!$C$3:$M$118,7,FALSE)</f>
        <v>Beers</v>
      </c>
    </row>
    <row r="1912" spans="1:11" x14ac:dyDescent="0.25">
      <c r="A1912" s="158" t="s">
        <v>491</v>
      </c>
      <c r="B1912" s="158" t="s">
        <v>117</v>
      </c>
      <c r="C1912" s="158" t="s">
        <v>59</v>
      </c>
      <c r="D1912" s="158" t="s">
        <v>60</v>
      </c>
      <c r="E1912" s="157">
        <v>251</v>
      </c>
      <c r="F1912" s="158" t="s">
        <v>525</v>
      </c>
      <c r="G1912" s="159">
        <v>993465.53</v>
      </c>
      <c r="H1912" s="159">
        <v>0</v>
      </c>
      <c r="I1912" s="159">
        <v>404506.58</v>
      </c>
      <c r="J1912" s="159">
        <v>40.700000000000003</v>
      </c>
      <c r="K1912" t="str">
        <f>VLOOKUP($C1912,Lists!$C$3:$M$118,7,FALSE)</f>
        <v>COKE_RGB</v>
      </c>
    </row>
    <row r="1913" spans="1:11" x14ac:dyDescent="0.25">
      <c r="A1913" s="158" t="s">
        <v>491</v>
      </c>
      <c r="B1913" s="158" t="s">
        <v>117</v>
      </c>
      <c r="C1913" s="158" t="s">
        <v>22</v>
      </c>
      <c r="D1913" s="158" t="s">
        <v>23</v>
      </c>
      <c r="E1913" s="157">
        <v>755</v>
      </c>
      <c r="F1913" s="158" t="s">
        <v>525</v>
      </c>
      <c r="G1913" s="159">
        <v>2988312.65</v>
      </c>
      <c r="H1913" s="159">
        <v>0</v>
      </c>
      <c r="I1913" s="159">
        <v>1203892.8</v>
      </c>
      <c r="J1913" s="159">
        <v>40.299999999999997</v>
      </c>
      <c r="K1913" t="str">
        <f>VLOOKUP($C1913,Lists!$C$3:$M$118,7,FALSE)</f>
        <v>COKE_RGB</v>
      </c>
    </row>
    <row r="1914" spans="1:11" x14ac:dyDescent="0.25">
      <c r="A1914" s="158" t="s">
        <v>491</v>
      </c>
      <c r="B1914" s="158" t="s">
        <v>117</v>
      </c>
      <c r="C1914" s="158" t="s">
        <v>67</v>
      </c>
      <c r="D1914" s="158" t="s">
        <v>533</v>
      </c>
      <c r="E1914" s="157">
        <v>143</v>
      </c>
      <c r="F1914" s="158" t="s">
        <v>525</v>
      </c>
      <c r="G1914" s="159">
        <v>403674.7</v>
      </c>
      <c r="H1914" s="159">
        <v>0</v>
      </c>
      <c r="I1914" s="159">
        <v>198572.66</v>
      </c>
      <c r="J1914" s="159">
        <v>49.2</v>
      </c>
      <c r="K1914" t="str">
        <f>VLOOKUP($C1914,Lists!$C$3:$M$118,7,FALSE)</f>
        <v>COKE_PET</v>
      </c>
    </row>
    <row r="1915" spans="1:11" x14ac:dyDescent="0.25">
      <c r="A1915" s="158" t="s">
        <v>491</v>
      </c>
      <c r="B1915" s="158" t="s">
        <v>117</v>
      </c>
      <c r="C1915" s="158" t="s">
        <v>261</v>
      </c>
      <c r="D1915" s="158" t="s">
        <v>538</v>
      </c>
      <c r="E1915" s="157">
        <v>167</v>
      </c>
      <c r="F1915" s="158" t="s">
        <v>525</v>
      </c>
      <c r="G1915" s="159">
        <v>660991.01</v>
      </c>
      <c r="H1915" s="159">
        <v>0</v>
      </c>
      <c r="I1915" s="159">
        <v>266291.52</v>
      </c>
      <c r="J1915" s="159">
        <v>40.299999999999997</v>
      </c>
      <c r="K1915" t="str">
        <f>VLOOKUP($C1915,Lists!$C$3:$M$118,7,FALSE)</f>
        <v>COKE_RGB</v>
      </c>
    </row>
    <row r="1916" spans="1:11" x14ac:dyDescent="0.25">
      <c r="A1916" s="158" t="s">
        <v>491</v>
      </c>
      <c r="B1916" s="158" t="s">
        <v>117</v>
      </c>
      <c r="C1916" s="158" t="s">
        <v>24</v>
      </c>
      <c r="D1916" s="158" t="s">
        <v>25</v>
      </c>
      <c r="E1916" s="157">
        <v>588</v>
      </c>
      <c r="F1916" s="158" t="s">
        <v>525</v>
      </c>
      <c r="G1916" s="159">
        <v>3785408.76</v>
      </c>
      <c r="H1916" s="159">
        <v>0</v>
      </c>
      <c r="I1916" s="159">
        <v>1822588.32</v>
      </c>
      <c r="J1916" s="159">
        <v>48.1</v>
      </c>
      <c r="K1916" t="str">
        <f>VLOOKUP($C1916,Lists!$C$3:$M$118,7,FALSE)</f>
        <v>Beers</v>
      </c>
    </row>
    <row r="1917" spans="1:11" x14ac:dyDescent="0.25">
      <c r="A1917" s="158" t="s">
        <v>491</v>
      </c>
      <c r="B1917" s="158" t="s">
        <v>117</v>
      </c>
      <c r="C1917" s="158" t="s">
        <v>29</v>
      </c>
      <c r="D1917" s="158" t="s">
        <v>30</v>
      </c>
      <c r="E1917" s="157">
        <v>35</v>
      </c>
      <c r="F1917" s="158" t="s">
        <v>525</v>
      </c>
      <c r="G1917" s="159">
        <v>1273453.6499999999</v>
      </c>
      <c r="H1917" s="159">
        <v>0</v>
      </c>
      <c r="I1917" s="159">
        <v>363453.65</v>
      </c>
      <c r="J1917" s="159">
        <v>28.5</v>
      </c>
      <c r="K1917" t="str">
        <f>VLOOKUP($C1917,Lists!$C$3:$M$118,7,FALSE)</f>
        <v>Spirits</v>
      </c>
    </row>
    <row r="1918" spans="1:11" x14ac:dyDescent="0.25">
      <c r="A1918" s="158" t="s">
        <v>491</v>
      </c>
      <c r="B1918" s="158" t="s">
        <v>117</v>
      </c>
      <c r="C1918" s="158" t="s">
        <v>33</v>
      </c>
      <c r="D1918" s="158" t="s">
        <v>34</v>
      </c>
      <c r="E1918" s="157">
        <v>10</v>
      </c>
      <c r="F1918" s="158" t="s">
        <v>525</v>
      </c>
      <c r="G1918" s="159">
        <v>556904</v>
      </c>
      <c r="H1918" s="159">
        <v>0</v>
      </c>
      <c r="I1918" s="159">
        <v>106904</v>
      </c>
      <c r="J1918" s="159">
        <v>19.2</v>
      </c>
      <c r="K1918" t="str">
        <f>VLOOKUP($C1918,Lists!$C$3:$M$118,7,FALSE)</f>
        <v>Spirits</v>
      </c>
    </row>
    <row r="1919" spans="1:11" x14ac:dyDescent="0.25">
      <c r="A1919" s="158" t="s">
        <v>491</v>
      </c>
      <c r="B1919" s="158" t="s">
        <v>117</v>
      </c>
      <c r="C1919" s="158" t="s">
        <v>37</v>
      </c>
      <c r="D1919" s="158" t="s">
        <v>38</v>
      </c>
      <c r="E1919" s="157">
        <v>587</v>
      </c>
      <c r="F1919" s="158" t="s">
        <v>525</v>
      </c>
      <c r="G1919" s="159">
        <v>1936137.32</v>
      </c>
      <c r="H1919" s="159">
        <v>0</v>
      </c>
      <c r="I1919" s="159">
        <v>907014.79</v>
      </c>
      <c r="J1919" s="159">
        <v>46.8</v>
      </c>
      <c r="K1919" t="str">
        <f>VLOOKUP($C1919,Lists!$C$3:$M$118,7,FALSE)</f>
        <v>SOBO_RGB</v>
      </c>
    </row>
    <row r="1920" spans="1:11" x14ac:dyDescent="0.25">
      <c r="A1920" s="158" t="s">
        <v>491</v>
      </c>
      <c r="B1920" s="158" t="s">
        <v>117</v>
      </c>
      <c r="C1920" s="158" t="s">
        <v>39</v>
      </c>
      <c r="D1920" s="158" t="s">
        <v>40</v>
      </c>
      <c r="E1920" s="157">
        <v>168</v>
      </c>
      <c r="F1920" s="158" t="s">
        <v>525</v>
      </c>
      <c r="G1920" s="159">
        <v>554124.48</v>
      </c>
      <c r="H1920" s="159">
        <v>0</v>
      </c>
      <c r="I1920" s="159">
        <v>257293.68</v>
      </c>
      <c r="J1920" s="159">
        <v>46.4</v>
      </c>
      <c r="K1920" t="str">
        <f>VLOOKUP($C1920,Lists!$C$3:$M$118,7,FALSE)</f>
        <v>SOBO_RGB</v>
      </c>
    </row>
    <row r="1921" spans="1:11" x14ac:dyDescent="0.25">
      <c r="A1921" s="158" t="s">
        <v>491</v>
      </c>
      <c r="B1921" s="158" t="s">
        <v>117</v>
      </c>
      <c r="C1921" s="158" t="s">
        <v>88</v>
      </c>
      <c r="D1921" s="158" t="s">
        <v>527</v>
      </c>
      <c r="E1921" s="157">
        <v>144</v>
      </c>
      <c r="F1921" s="158" t="s">
        <v>525</v>
      </c>
      <c r="G1921" s="159">
        <v>406497.6</v>
      </c>
      <c r="H1921" s="159">
        <v>0</v>
      </c>
      <c r="I1921" s="159">
        <v>238492.79999999999</v>
      </c>
      <c r="J1921" s="159">
        <v>58.7</v>
      </c>
      <c r="K1921" t="str">
        <f>VLOOKUP($C1921,Lists!$C$3:$M$118,7,FALSE)</f>
        <v>SOBO_PET</v>
      </c>
    </row>
    <row r="1922" spans="1:11" x14ac:dyDescent="0.25">
      <c r="A1922" s="158" t="s">
        <v>491</v>
      </c>
      <c r="B1922" s="158" t="s">
        <v>117</v>
      </c>
      <c r="C1922" s="158" t="s">
        <v>45</v>
      </c>
      <c r="D1922" s="158" t="s">
        <v>46</v>
      </c>
      <c r="E1922" s="157">
        <v>168</v>
      </c>
      <c r="F1922" s="158" t="s">
        <v>525</v>
      </c>
      <c r="G1922" s="159">
        <v>664949.04</v>
      </c>
      <c r="H1922" s="159">
        <v>0</v>
      </c>
      <c r="I1922" s="159">
        <v>327510.96000000002</v>
      </c>
      <c r="J1922" s="159">
        <v>49.3</v>
      </c>
      <c r="K1922" t="str">
        <f>VLOOKUP($C1922,Lists!$C$3:$M$118,7,FALSE)</f>
        <v>SOBO_RGB</v>
      </c>
    </row>
    <row r="1923" spans="1:11" x14ac:dyDescent="0.25">
      <c r="A1923" s="158" t="s">
        <v>491</v>
      </c>
      <c r="B1923" s="158" t="s">
        <v>117</v>
      </c>
      <c r="C1923" s="158" t="s">
        <v>47</v>
      </c>
      <c r="D1923" s="158" t="s">
        <v>48</v>
      </c>
      <c r="E1923" s="157">
        <v>504</v>
      </c>
      <c r="F1923" s="158" t="s">
        <v>525</v>
      </c>
      <c r="G1923" s="159">
        <v>1994847.12</v>
      </c>
      <c r="H1923" s="159">
        <v>0</v>
      </c>
      <c r="I1923" s="159">
        <v>870574.31</v>
      </c>
      <c r="J1923" s="159">
        <v>43.6</v>
      </c>
      <c r="K1923" t="str">
        <f>VLOOKUP($C1923,Lists!$C$3:$M$118,7,FALSE)</f>
        <v>COKE_RGB</v>
      </c>
    </row>
    <row r="1924" spans="1:11" x14ac:dyDescent="0.25">
      <c r="A1924" s="158" t="s">
        <v>491</v>
      </c>
      <c r="B1924" s="158" t="s">
        <v>117</v>
      </c>
      <c r="C1924" s="158" t="s">
        <v>68</v>
      </c>
      <c r="D1924" s="158" t="s">
        <v>534</v>
      </c>
      <c r="E1924" s="157">
        <v>144</v>
      </c>
      <c r="F1924" s="158" t="s">
        <v>525</v>
      </c>
      <c r="G1924" s="159">
        <v>406497.6</v>
      </c>
      <c r="H1924" s="159">
        <v>0</v>
      </c>
      <c r="I1924" s="159">
        <v>198080.64000000001</v>
      </c>
      <c r="J1924" s="159">
        <v>48.7</v>
      </c>
      <c r="K1924" t="str">
        <f>VLOOKUP($C1924,Lists!$C$3:$M$118,7,FALSE)</f>
        <v>COKE_PET</v>
      </c>
    </row>
    <row r="1925" spans="1:11" x14ac:dyDescent="0.25">
      <c r="A1925" s="158" t="s">
        <v>491</v>
      </c>
      <c r="B1925" s="158" t="s">
        <v>117</v>
      </c>
      <c r="C1925" s="158" t="s">
        <v>49</v>
      </c>
      <c r="D1925" s="158" t="s">
        <v>50</v>
      </c>
      <c r="E1925" s="157">
        <v>72</v>
      </c>
      <c r="F1925" s="158" t="s">
        <v>525</v>
      </c>
      <c r="G1925" s="159">
        <v>721971.36</v>
      </c>
      <c r="H1925" s="159">
        <v>0</v>
      </c>
      <c r="I1925" s="159">
        <v>229947.84</v>
      </c>
      <c r="J1925" s="159">
        <v>31.8</v>
      </c>
      <c r="K1925" t="str">
        <f>VLOOKUP($C1925,Lists!$C$3:$M$118,7,FALSE)</f>
        <v>Squash</v>
      </c>
    </row>
    <row r="1926" spans="1:11" x14ac:dyDescent="0.25">
      <c r="A1926" s="158" t="s">
        <v>491</v>
      </c>
      <c r="B1926" s="158" t="s">
        <v>117</v>
      </c>
      <c r="C1926" s="158" t="s">
        <v>51</v>
      </c>
      <c r="D1926" s="158" t="s">
        <v>52</v>
      </c>
      <c r="E1926" s="157">
        <v>144</v>
      </c>
      <c r="F1926" s="158" t="s">
        <v>525</v>
      </c>
      <c r="G1926" s="159">
        <v>1443942.72</v>
      </c>
      <c r="H1926" s="159">
        <v>0</v>
      </c>
      <c r="I1926" s="159">
        <v>456052.32</v>
      </c>
      <c r="J1926" s="159">
        <v>31.6</v>
      </c>
      <c r="K1926" t="str">
        <f>VLOOKUP($C1926,Lists!$C$3:$M$118,7,FALSE)</f>
        <v>Squash</v>
      </c>
    </row>
    <row r="1927" spans="1:11" x14ac:dyDescent="0.25">
      <c r="A1927" s="158" t="s">
        <v>492</v>
      </c>
      <c r="B1927" s="158" t="s">
        <v>118</v>
      </c>
      <c r="C1927" s="158" t="s">
        <v>69</v>
      </c>
      <c r="D1927" s="158" t="s">
        <v>70</v>
      </c>
      <c r="E1927" s="157">
        <v>42</v>
      </c>
      <c r="F1927" s="158" t="s">
        <v>525</v>
      </c>
      <c r="G1927" s="159">
        <v>324463.44</v>
      </c>
      <c r="H1927" s="159">
        <v>0</v>
      </c>
      <c r="I1927" s="159">
        <v>136093.44</v>
      </c>
      <c r="J1927" s="159">
        <v>41.9</v>
      </c>
      <c r="K1927" t="str">
        <f>VLOOKUP($C1927,Lists!$C$3:$M$118,7,FALSE)</f>
        <v>Alcomix</v>
      </c>
    </row>
    <row r="1928" spans="1:11" x14ac:dyDescent="0.25">
      <c r="A1928" s="158" t="s">
        <v>492</v>
      </c>
      <c r="B1928" s="158" t="s">
        <v>118</v>
      </c>
      <c r="C1928" s="158" t="s">
        <v>10</v>
      </c>
      <c r="D1928" s="158" t="s">
        <v>11</v>
      </c>
      <c r="E1928" s="157">
        <v>252</v>
      </c>
      <c r="F1928" s="158" t="s">
        <v>525</v>
      </c>
      <c r="G1928" s="159">
        <v>1946780.64</v>
      </c>
      <c r="H1928" s="159">
        <v>0</v>
      </c>
      <c r="I1928" s="159">
        <v>816560.64000000001</v>
      </c>
      <c r="J1928" s="159">
        <v>41.9</v>
      </c>
      <c r="K1928" t="str">
        <f>VLOOKUP($C1928,Lists!$C$3:$M$118,7,FALSE)</f>
        <v>Alcomix</v>
      </c>
    </row>
    <row r="1929" spans="1:11" x14ac:dyDescent="0.25">
      <c r="A1929" s="158" t="s">
        <v>492</v>
      </c>
      <c r="B1929" s="158" t="s">
        <v>118</v>
      </c>
      <c r="C1929" s="158" t="s">
        <v>71</v>
      </c>
      <c r="D1929" s="158" t="s">
        <v>553</v>
      </c>
      <c r="E1929" s="157">
        <v>42</v>
      </c>
      <c r="F1929" s="158" t="s">
        <v>525</v>
      </c>
      <c r="G1929" s="159">
        <v>324463.44</v>
      </c>
      <c r="H1929" s="159">
        <v>0</v>
      </c>
      <c r="I1929" s="159">
        <v>136093.44</v>
      </c>
      <c r="J1929" s="159">
        <v>41.9</v>
      </c>
      <c r="K1929" t="str">
        <f>VLOOKUP($C1929,Lists!$C$3:$M$118,7,FALSE)</f>
        <v>Alcomix</v>
      </c>
    </row>
    <row r="1930" spans="1:11" x14ac:dyDescent="0.25">
      <c r="A1930" s="158" t="s">
        <v>492</v>
      </c>
      <c r="B1930" s="158" t="s">
        <v>118</v>
      </c>
      <c r="C1930" s="158" t="s">
        <v>12</v>
      </c>
      <c r="D1930" s="158" t="s">
        <v>13</v>
      </c>
      <c r="E1930" s="157">
        <v>5037</v>
      </c>
      <c r="F1930" s="158" t="s">
        <v>525</v>
      </c>
      <c r="G1930" s="159">
        <v>32427047.489999998</v>
      </c>
      <c r="H1930" s="159">
        <v>0</v>
      </c>
      <c r="I1930" s="159">
        <v>14171700.24</v>
      </c>
      <c r="J1930" s="159">
        <v>43.7</v>
      </c>
      <c r="K1930" t="str">
        <f>VLOOKUP($C1930,Lists!$C$3:$M$118,7,FALSE)</f>
        <v>Beers</v>
      </c>
    </row>
    <row r="1931" spans="1:11" x14ac:dyDescent="0.25">
      <c r="A1931" s="158" t="s">
        <v>492</v>
      </c>
      <c r="B1931" s="158" t="s">
        <v>118</v>
      </c>
      <c r="C1931" s="158" t="s">
        <v>14</v>
      </c>
      <c r="D1931" s="158" t="s">
        <v>15</v>
      </c>
      <c r="E1931" s="157">
        <v>1007</v>
      </c>
      <c r="F1931" s="158" t="s">
        <v>525</v>
      </c>
      <c r="G1931" s="159">
        <v>7779397.2400000002</v>
      </c>
      <c r="H1931" s="159">
        <v>0</v>
      </c>
      <c r="I1931" s="159">
        <v>3841644.58</v>
      </c>
      <c r="J1931" s="159">
        <v>49.4</v>
      </c>
      <c r="K1931" t="str">
        <f>VLOOKUP($C1931,Lists!$C$3:$M$118,7,FALSE)</f>
        <v>Beers</v>
      </c>
    </row>
    <row r="1932" spans="1:11" x14ac:dyDescent="0.25">
      <c r="A1932" s="158" t="s">
        <v>492</v>
      </c>
      <c r="B1932" s="158" t="s">
        <v>118</v>
      </c>
      <c r="C1932" s="158" t="s">
        <v>54</v>
      </c>
      <c r="D1932" s="158" t="s">
        <v>55</v>
      </c>
      <c r="E1932" s="157">
        <v>299</v>
      </c>
      <c r="F1932" s="158" t="s">
        <v>525</v>
      </c>
      <c r="G1932" s="159">
        <v>2309870.6800000002</v>
      </c>
      <c r="H1932" s="159">
        <v>0</v>
      </c>
      <c r="I1932" s="159">
        <v>1212615.43</v>
      </c>
      <c r="J1932" s="159">
        <v>52.5</v>
      </c>
      <c r="K1932" t="str">
        <f>VLOOKUP($C1932,Lists!$C$3:$M$118,7,FALSE)</f>
        <v>Beers</v>
      </c>
    </row>
    <row r="1933" spans="1:11" x14ac:dyDescent="0.25">
      <c r="A1933" s="158" t="s">
        <v>492</v>
      </c>
      <c r="B1933" s="158" t="s">
        <v>118</v>
      </c>
      <c r="C1933" s="158" t="s">
        <v>16</v>
      </c>
      <c r="D1933" s="158" t="s">
        <v>17</v>
      </c>
      <c r="E1933" s="157">
        <v>5292</v>
      </c>
      <c r="F1933" s="158" t="s">
        <v>525</v>
      </c>
      <c r="G1933" s="159">
        <v>40882393.439999998</v>
      </c>
      <c r="H1933" s="159">
        <v>0</v>
      </c>
      <c r="I1933" s="159">
        <v>20188662.48</v>
      </c>
      <c r="J1933" s="159">
        <v>49.4</v>
      </c>
      <c r="K1933" t="str">
        <f>VLOOKUP($C1933,Lists!$C$3:$M$118,7,FALSE)</f>
        <v>Beers</v>
      </c>
    </row>
    <row r="1934" spans="1:11" x14ac:dyDescent="0.25">
      <c r="A1934" s="158" t="s">
        <v>492</v>
      </c>
      <c r="B1934" s="158" t="s">
        <v>118</v>
      </c>
      <c r="C1934" s="158" t="s">
        <v>18</v>
      </c>
      <c r="D1934" s="158" t="s">
        <v>19</v>
      </c>
      <c r="E1934" s="157">
        <v>252</v>
      </c>
      <c r="F1934" s="158" t="s">
        <v>525</v>
      </c>
      <c r="G1934" s="159">
        <v>2595708.36</v>
      </c>
      <c r="H1934" s="159">
        <v>0</v>
      </c>
      <c r="I1934" s="159">
        <v>1345914.36</v>
      </c>
      <c r="J1934" s="159">
        <v>51.9</v>
      </c>
      <c r="K1934" t="str">
        <f>VLOOKUP($C1934,Lists!$C$3:$M$118,7,FALSE)</f>
        <v>Beers</v>
      </c>
    </row>
    <row r="1935" spans="1:11" x14ac:dyDescent="0.25">
      <c r="A1935" s="158" t="s">
        <v>492</v>
      </c>
      <c r="B1935" s="158" t="s">
        <v>118</v>
      </c>
      <c r="C1935" s="158" t="s">
        <v>20</v>
      </c>
      <c r="D1935" s="158" t="s">
        <v>21</v>
      </c>
      <c r="E1935" s="157">
        <v>3275</v>
      </c>
      <c r="F1935" s="158" t="s">
        <v>525</v>
      </c>
      <c r="G1935" s="159">
        <v>12962548.25</v>
      </c>
      <c r="H1935" s="159">
        <v>0</v>
      </c>
      <c r="I1935" s="159">
        <v>5447405.7300000004</v>
      </c>
      <c r="J1935" s="159">
        <v>42</v>
      </c>
      <c r="K1935" t="str">
        <f>VLOOKUP($C1935,Lists!$C$3:$M$118,7,FALSE)</f>
        <v>COKE_RGB</v>
      </c>
    </row>
    <row r="1936" spans="1:11" x14ac:dyDescent="0.25">
      <c r="A1936" s="158" t="s">
        <v>492</v>
      </c>
      <c r="B1936" s="158" t="s">
        <v>118</v>
      </c>
      <c r="C1936" s="158" t="s">
        <v>58</v>
      </c>
      <c r="D1936" s="158" t="s">
        <v>537</v>
      </c>
      <c r="E1936" s="157">
        <v>190</v>
      </c>
      <c r="F1936" s="158" t="s">
        <v>525</v>
      </c>
      <c r="G1936" s="159">
        <v>459729.7</v>
      </c>
      <c r="H1936" s="159">
        <v>0</v>
      </c>
      <c r="I1936" s="159">
        <v>254708.3</v>
      </c>
      <c r="J1936" s="159">
        <v>55.4</v>
      </c>
      <c r="K1936" t="str">
        <f>VLOOKUP($C1936,Lists!$C$3:$M$118,7,FALSE)</f>
        <v>SOBO_PET</v>
      </c>
    </row>
    <row r="1937" spans="1:11" x14ac:dyDescent="0.25">
      <c r="A1937" s="158" t="s">
        <v>492</v>
      </c>
      <c r="B1937" s="158" t="s">
        <v>118</v>
      </c>
      <c r="C1937" s="158" t="s">
        <v>78</v>
      </c>
      <c r="D1937" s="158" t="s">
        <v>526</v>
      </c>
      <c r="E1937" s="157">
        <v>144</v>
      </c>
      <c r="F1937" s="158" t="s">
        <v>525</v>
      </c>
      <c r="G1937" s="159">
        <v>348426.72</v>
      </c>
      <c r="H1937" s="159">
        <v>0</v>
      </c>
      <c r="I1937" s="159">
        <v>190236.96</v>
      </c>
      <c r="J1937" s="159">
        <v>54.6</v>
      </c>
      <c r="K1937" t="str">
        <f>VLOOKUP($C1937,Lists!$C$3:$M$118,7,FALSE)</f>
        <v>SOBO_PET</v>
      </c>
    </row>
    <row r="1938" spans="1:11" x14ac:dyDescent="0.25">
      <c r="A1938" s="158" t="s">
        <v>492</v>
      </c>
      <c r="B1938" s="158" t="s">
        <v>118</v>
      </c>
      <c r="C1938" s="158" t="s">
        <v>43</v>
      </c>
      <c r="D1938" s="158" t="s">
        <v>44</v>
      </c>
      <c r="E1938" s="157">
        <v>252</v>
      </c>
      <c r="F1938" s="158" t="s">
        <v>525</v>
      </c>
      <c r="G1938" s="159">
        <v>1946780.64</v>
      </c>
      <c r="H1938" s="159">
        <v>0</v>
      </c>
      <c r="I1938" s="159">
        <v>961364.88</v>
      </c>
      <c r="J1938" s="159">
        <v>49.4</v>
      </c>
      <c r="K1938" t="str">
        <f>VLOOKUP($C1938,Lists!$C$3:$M$118,7,FALSE)</f>
        <v>Beers</v>
      </c>
    </row>
    <row r="1939" spans="1:11" x14ac:dyDescent="0.25">
      <c r="A1939" s="158" t="s">
        <v>492</v>
      </c>
      <c r="B1939" s="158" t="s">
        <v>118</v>
      </c>
      <c r="C1939" s="158" t="s">
        <v>59</v>
      </c>
      <c r="D1939" s="158" t="s">
        <v>60</v>
      </c>
      <c r="E1939" s="157">
        <v>420</v>
      </c>
      <c r="F1939" s="158" t="s">
        <v>525</v>
      </c>
      <c r="G1939" s="159">
        <v>1662372.6</v>
      </c>
      <c r="H1939" s="159">
        <v>0</v>
      </c>
      <c r="I1939" s="159">
        <v>676863.6</v>
      </c>
      <c r="J1939" s="159">
        <v>40.700000000000003</v>
      </c>
      <c r="K1939" t="str">
        <f>VLOOKUP($C1939,Lists!$C$3:$M$118,7,FALSE)</f>
        <v>COKE_RGB</v>
      </c>
    </row>
    <row r="1940" spans="1:11" x14ac:dyDescent="0.25">
      <c r="A1940" s="158" t="s">
        <v>492</v>
      </c>
      <c r="B1940" s="158" t="s">
        <v>118</v>
      </c>
      <c r="C1940" s="158" t="s">
        <v>22</v>
      </c>
      <c r="D1940" s="158" t="s">
        <v>23</v>
      </c>
      <c r="E1940" s="157">
        <v>1260</v>
      </c>
      <c r="F1940" s="158" t="s">
        <v>525</v>
      </c>
      <c r="G1940" s="159">
        <v>4987117.8</v>
      </c>
      <c r="H1940" s="159">
        <v>0</v>
      </c>
      <c r="I1940" s="159">
        <v>2009145.6</v>
      </c>
      <c r="J1940" s="159">
        <v>40.299999999999997</v>
      </c>
      <c r="K1940" t="str">
        <f>VLOOKUP($C1940,Lists!$C$3:$M$118,7,FALSE)</f>
        <v>COKE_RGB</v>
      </c>
    </row>
    <row r="1941" spans="1:11" x14ac:dyDescent="0.25">
      <c r="A1941" s="158" t="s">
        <v>492</v>
      </c>
      <c r="B1941" s="158" t="s">
        <v>118</v>
      </c>
      <c r="C1941" s="158" t="s">
        <v>261</v>
      </c>
      <c r="D1941" s="158" t="s">
        <v>538</v>
      </c>
      <c r="E1941" s="157">
        <v>168</v>
      </c>
      <c r="F1941" s="158" t="s">
        <v>525</v>
      </c>
      <c r="G1941" s="159">
        <v>664949.04</v>
      </c>
      <c r="H1941" s="159">
        <v>0</v>
      </c>
      <c r="I1941" s="159">
        <v>267886.08000000002</v>
      </c>
      <c r="J1941" s="159">
        <v>40.299999999999997</v>
      </c>
      <c r="K1941" t="str">
        <f>VLOOKUP($C1941,Lists!$C$3:$M$118,7,FALSE)</f>
        <v>COKE_RGB</v>
      </c>
    </row>
    <row r="1942" spans="1:11" x14ac:dyDescent="0.25">
      <c r="A1942" s="158" t="s">
        <v>492</v>
      </c>
      <c r="B1942" s="158" t="s">
        <v>118</v>
      </c>
      <c r="C1942" s="158" t="s">
        <v>24</v>
      </c>
      <c r="D1942" s="158" t="s">
        <v>25</v>
      </c>
      <c r="E1942" s="157">
        <v>1091</v>
      </c>
      <c r="F1942" s="158" t="s">
        <v>525</v>
      </c>
      <c r="G1942" s="159">
        <v>7023607.0700000003</v>
      </c>
      <c r="H1942" s="159">
        <v>0</v>
      </c>
      <c r="I1942" s="159">
        <v>3381707.24</v>
      </c>
      <c r="J1942" s="159">
        <v>48.1</v>
      </c>
      <c r="K1942" t="str">
        <f>VLOOKUP($C1942,Lists!$C$3:$M$118,7,FALSE)</f>
        <v>Beers</v>
      </c>
    </row>
    <row r="1943" spans="1:11" x14ac:dyDescent="0.25">
      <c r="A1943" s="158" t="s">
        <v>492</v>
      </c>
      <c r="B1943" s="158" t="s">
        <v>118</v>
      </c>
      <c r="C1943" s="158" t="s">
        <v>29</v>
      </c>
      <c r="D1943" s="158" t="s">
        <v>30</v>
      </c>
      <c r="E1943" s="157">
        <v>101</v>
      </c>
      <c r="F1943" s="158" t="s">
        <v>525</v>
      </c>
      <c r="G1943" s="159">
        <v>3674823.39</v>
      </c>
      <c r="H1943" s="159">
        <v>0</v>
      </c>
      <c r="I1943" s="159">
        <v>1048823.3899999999</v>
      </c>
      <c r="J1943" s="159">
        <v>28.5</v>
      </c>
      <c r="K1943" t="str">
        <f>VLOOKUP($C1943,Lists!$C$3:$M$118,7,FALSE)</f>
        <v>Spirits</v>
      </c>
    </row>
    <row r="1944" spans="1:11" x14ac:dyDescent="0.25">
      <c r="A1944" s="158" t="s">
        <v>492</v>
      </c>
      <c r="B1944" s="158" t="s">
        <v>118</v>
      </c>
      <c r="C1944" s="158" t="s">
        <v>33</v>
      </c>
      <c r="D1944" s="158" t="s">
        <v>34</v>
      </c>
      <c r="E1944" s="157">
        <v>20</v>
      </c>
      <c r="F1944" s="158" t="s">
        <v>525</v>
      </c>
      <c r="G1944" s="159">
        <v>1113808</v>
      </c>
      <c r="H1944" s="159">
        <v>0</v>
      </c>
      <c r="I1944" s="159">
        <v>213808</v>
      </c>
      <c r="J1944" s="159">
        <v>19.2</v>
      </c>
      <c r="K1944" t="str">
        <f>VLOOKUP($C1944,Lists!$C$3:$M$118,7,FALSE)</f>
        <v>Spirits</v>
      </c>
    </row>
    <row r="1945" spans="1:11" x14ac:dyDescent="0.25">
      <c r="A1945" s="158" t="s">
        <v>492</v>
      </c>
      <c r="B1945" s="158" t="s">
        <v>118</v>
      </c>
      <c r="C1945" s="158" t="s">
        <v>37</v>
      </c>
      <c r="D1945" s="158" t="s">
        <v>38</v>
      </c>
      <c r="E1945" s="157">
        <v>1260</v>
      </c>
      <c r="F1945" s="158" t="s">
        <v>525</v>
      </c>
      <c r="G1945" s="159">
        <v>4155933.6</v>
      </c>
      <c r="H1945" s="159">
        <v>0</v>
      </c>
      <c r="I1945" s="159">
        <v>1946914.2</v>
      </c>
      <c r="J1945" s="159">
        <v>46.8</v>
      </c>
      <c r="K1945" t="str">
        <f>VLOOKUP($C1945,Lists!$C$3:$M$118,7,FALSE)</f>
        <v>SOBO_RGB</v>
      </c>
    </row>
    <row r="1946" spans="1:11" x14ac:dyDescent="0.25">
      <c r="A1946" s="158" t="s">
        <v>492</v>
      </c>
      <c r="B1946" s="158" t="s">
        <v>118</v>
      </c>
      <c r="C1946" s="158" t="s">
        <v>88</v>
      </c>
      <c r="D1946" s="158" t="s">
        <v>527</v>
      </c>
      <c r="E1946" s="157">
        <v>432</v>
      </c>
      <c r="F1946" s="158" t="s">
        <v>525</v>
      </c>
      <c r="G1946" s="159">
        <v>1219492.8</v>
      </c>
      <c r="H1946" s="159">
        <v>0</v>
      </c>
      <c r="I1946" s="159">
        <v>715478.4</v>
      </c>
      <c r="J1946" s="159">
        <v>58.7</v>
      </c>
      <c r="K1946" t="str">
        <f>VLOOKUP($C1946,Lists!$C$3:$M$118,7,FALSE)</f>
        <v>SOBO_PET</v>
      </c>
    </row>
    <row r="1947" spans="1:11" x14ac:dyDescent="0.25">
      <c r="A1947" s="158" t="s">
        <v>492</v>
      </c>
      <c r="B1947" s="158" t="s">
        <v>118</v>
      </c>
      <c r="C1947" s="158" t="s">
        <v>45</v>
      </c>
      <c r="D1947" s="158" t="s">
        <v>46</v>
      </c>
      <c r="E1947" s="157">
        <v>502</v>
      </c>
      <c r="F1947" s="158" t="s">
        <v>525</v>
      </c>
      <c r="G1947" s="159">
        <v>1986931.06</v>
      </c>
      <c r="H1947" s="159">
        <v>0</v>
      </c>
      <c r="I1947" s="159">
        <v>978633.93</v>
      </c>
      <c r="J1947" s="159">
        <v>49.3</v>
      </c>
      <c r="K1947" t="str">
        <f>VLOOKUP($C1947,Lists!$C$3:$M$118,7,FALSE)</f>
        <v>SOBO_RGB</v>
      </c>
    </row>
    <row r="1948" spans="1:11" x14ac:dyDescent="0.25">
      <c r="A1948" s="158" t="s">
        <v>492</v>
      </c>
      <c r="B1948" s="158" t="s">
        <v>118</v>
      </c>
      <c r="C1948" s="158" t="s">
        <v>47</v>
      </c>
      <c r="D1948" s="158" t="s">
        <v>48</v>
      </c>
      <c r="E1948" s="157">
        <v>336</v>
      </c>
      <c r="F1948" s="158" t="s">
        <v>525</v>
      </c>
      <c r="G1948" s="159">
        <v>1329898.08</v>
      </c>
      <c r="H1948" s="159">
        <v>0</v>
      </c>
      <c r="I1948" s="159">
        <v>580382.88</v>
      </c>
      <c r="J1948" s="159">
        <v>43.6</v>
      </c>
      <c r="K1948" t="str">
        <f>VLOOKUP($C1948,Lists!$C$3:$M$118,7,FALSE)</f>
        <v>COKE_RGB</v>
      </c>
    </row>
    <row r="1949" spans="1:11" x14ac:dyDescent="0.25">
      <c r="A1949" s="158" t="s">
        <v>492</v>
      </c>
      <c r="B1949" s="158" t="s">
        <v>118</v>
      </c>
      <c r="C1949" s="158" t="s">
        <v>68</v>
      </c>
      <c r="D1949" s="158" t="s">
        <v>534</v>
      </c>
      <c r="E1949" s="157">
        <v>411</v>
      </c>
      <c r="F1949" s="158" t="s">
        <v>525</v>
      </c>
      <c r="G1949" s="159">
        <v>1160211.8999999999</v>
      </c>
      <c r="H1949" s="159">
        <v>0</v>
      </c>
      <c r="I1949" s="159">
        <v>565355.16</v>
      </c>
      <c r="J1949" s="159">
        <v>48.7</v>
      </c>
      <c r="K1949" t="str">
        <f>VLOOKUP($C1949,Lists!$C$3:$M$118,7,FALSE)</f>
        <v>COKE_PET</v>
      </c>
    </row>
    <row r="1950" spans="1:11" x14ac:dyDescent="0.25">
      <c r="A1950" s="158" t="s">
        <v>492</v>
      </c>
      <c r="B1950" s="158" t="s">
        <v>118</v>
      </c>
      <c r="C1950" s="158" t="s">
        <v>51</v>
      </c>
      <c r="D1950" s="158" t="s">
        <v>52</v>
      </c>
      <c r="E1950" s="157">
        <v>144</v>
      </c>
      <c r="F1950" s="158" t="s">
        <v>525</v>
      </c>
      <c r="G1950" s="159">
        <v>1443942.72</v>
      </c>
      <c r="H1950" s="159">
        <v>0</v>
      </c>
      <c r="I1950" s="159">
        <v>456052.32</v>
      </c>
      <c r="J1950" s="159">
        <v>31.6</v>
      </c>
      <c r="K1950" t="str">
        <f>VLOOKUP($C1950,Lists!$C$3:$M$118,7,FALSE)</f>
        <v>Squash</v>
      </c>
    </row>
    <row r="1951" spans="1:11" x14ac:dyDescent="0.25">
      <c r="A1951" s="158" t="s">
        <v>492</v>
      </c>
      <c r="B1951" s="158" t="s">
        <v>118</v>
      </c>
      <c r="C1951" s="158" t="s">
        <v>26</v>
      </c>
      <c r="D1951" s="158" t="s">
        <v>27</v>
      </c>
      <c r="E1951" s="157">
        <v>144</v>
      </c>
      <c r="F1951" s="158" t="s">
        <v>525</v>
      </c>
      <c r="G1951" s="159">
        <v>314265.59999999998</v>
      </c>
      <c r="H1951" s="159">
        <v>0</v>
      </c>
      <c r="I1951" s="159">
        <v>138551.04000000001</v>
      </c>
      <c r="J1951" s="159">
        <v>44.1</v>
      </c>
      <c r="K1951" t="str">
        <f>VLOOKUP($C1951,Lists!$C$3:$M$118,7,FALSE)</f>
        <v>Water</v>
      </c>
    </row>
    <row r="1952" spans="1:11" x14ac:dyDescent="0.25">
      <c r="A1952" s="158" t="s">
        <v>493</v>
      </c>
      <c r="B1952" s="158" t="s">
        <v>119</v>
      </c>
      <c r="C1952" s="158" t="s">
        <v>10</v>
      </c>
      <c r="D1952" s="158" t="s">
        <v>11</v>
      </c>
      <c r="E1952" s="157">
        <v>336</v>
      </c>
      <c r="F1952" s="158" t="s">
        <v>525</v>
      </c>
      <c r="G1952" s="159">
        <v>2595707.52</v>
      </c>
      <c r="H1952" s="159">
        <v>0</v>
      </c>
      <c r="I1952" s="159">
        <v>1088747.52</v>
      </c>
      <c r="J1952" s="159">
        <v>41.9</v>
      </c>
      <c r="K1952" t="str">
        <f>VLOOKUP($C1952,Lists!$C$3:$M$118,7,FALSE)</f>
        <v>Alcomix</v>
      </c>
    </row>
    <row r="1953" spans="1:11" x14ac:dyDescent="0.25">
      <c r="A1953" s="158" t="s">
        <v>493</v>
      </c>
      <c r="B1953" s="158" t="s">
        <v>119</v>
      </c>
      <c r="C1953" s="158" t="s">
        <v>12</v>
      </c>
      <c r="D1953" s="158" t="s">
        <v>13</v>
      </c>
      <c r="E1953" s="157">
        <v>4872</v>
      </c>
      <c r="F1953" s="158" t="s">
        <v>525</v>
      </c>
      <c r="G1953" s="159">
        <v>31364815.440000001</v>
      </c>
      <c r="H1953" s="159">
        <v>0</v>
      </c>
      <c r="I1953" s="159">
        <v>13707469.439999999</v>
      </c>
      <c r="J1953" s="159">
        <v>43.7</v>
      </c>
      <c r="K1953" t="str">
        <f>VLOOKUP($C1953,Lists!$C$3:$M$118,7,FALSE)</f>
        <v>Beers</v>
      </c>
    </row>
    <row r="1954" spans="1:11" x14ac:dyDescent="0.25">
      <c r="A1954" s="158" t="s">
        <v>493</v>
      </c>
      <c r="B1954" s="158" t="s">
        <v>119</v>
      </c>
      <c r="C1954" s="158" t="s">
        <v>14</v>
      </c>
      <c r="D1954" s="158" t="s">
        <v>15</v>
      </c>
      <c r="E1954" s="157">
        <v>1992</v>
      </c>
      <c r="F1954" s="158" t="s">
        <v>525</v>
      </c>
      <c r="G1954" s="159">
        <v>15388837.439999999</v>
      </c>
      <c r="H1954" s="159">
        <v>0</v>
      </c>
      <c r="I1954" s="159">
        <v>7599360.4800000004</v>
      </c>
      <c r="J1954" s="159">
        <v>49.4</v>
      </c>
      <c r="K1954" t="str">
        <f>VLOOKUP($C1954,Lists!$C$3:$M$118,7,FALSE)</f>
        <v>Beers</v>
      </c>
    </row>
    <row r="1955" spans="1:11" x14ac:dyDescent="0.25">
      <c r="A1955" s="158" t="s">
        <v>493</v>
      </c>
      <c r="B1955" s="158" t="s">
        <v>119</v>
      </c>
      <c r="C1955" s="158" t="s">
        <v>54</v>
      </c>
      <c r="D1955" s="158" t="s">
        <v>55</v>
      </c>
      <c r="E1955" s="157">
        <v>140</v>
      </c>
      <c r="F1955" s="158" t="s">
        <v>525</v>
      </c>
      <c r="G1955" s="159">
        <v>1081544.8</v>
      </c>
      <c r="H1955" s="159">
        <v>0</v>
      </c>
      <c r="I1955" s="159">
        <v>567779.79</v>
      </c>
      <c r="J1955" s="159">
        <v>52.5</v>
      </c>
      <c r="K1955" t="str">
        <f>VLOOKUP($C1955,Lists!$C$3:$M$118,7,FALSE)</f>
        <v>Beers</v>
      </c>
    </row>
    <row r="1956" spans="1:11" x14ac:dyDescent="0.25">
      <c r="A1956" s="158" t="s">
        <v>493</v>
      </c>
      <c r="B1956" s="158" t="s">
        <v>119</v>
      </c>
      <c r="C1956" s="158" t="s">
        <v>16</v>
      </c>
      <c r="D1956" s="158" t="s">
        <v>17</v>
      </c>
      <c r="E1956" s="157">
        <v>3444</v>
      </c>
      <c r="F1956" s="158" t="s">
        <v>525</v>
      </c>
      <c r="G1956" s="159">
        <v>26606002.079999998</v>
      </c>
      <c r="H1956" s="159">
        <v>0</v>
      </c>
      <c r="I1956" s="159">
        <v>13138653.359999999</v>
      </c>
      <c r="J1956" s="159">
        <v>49.4</v>
      </c>
      <c r="K1956" t="str">
        <f>VLOOKUP($C1956,Lists!$C$3:$M$118,7,FALSE)</f>
        <v>Beers</v>
      </c>
    </row>
    <row r="1957" spans="1:11" x14ac:dyDescent="0.25">
      <c r="A1957" s="158" t="s">
        <v>493</v>
      </c>
      <c r="B1957" s="158" t="s">
        <v>119</v>
      </c>
      <c r="C1957" s="158" t="s">
        <v>56</v>
      </c>
      <c r="D1957" s="158" t="s">
        <v>57</v>
      </c>
      <c r="E1957" s="157">
        <v>150</v>
      </c>
      <c r="F1957" s="158" t="s">
        <v>525</v>
      </c>
      <c r="G1957" s="159">
        <v>1158798</v>
      </c>
      <c r="H1957" s="159">
        <v>0</v>
      </c>
      <c r="I1957" s="159">
        <v>608335.49</v>
      </c>
      <c r="J1957" s="159">
        <v>52.5</v>
      </c>
      <c r="K1957" t="str">
        <f>VLOOKUP($C1957,Lists!$C$3:$M$118,7,FALSE)</f>
        <v>Beers</v>
      </c>
    </row>
    <row r="1958" spans="1:11" x14ac:dyDescent="0.25">
      <c r="A1958" s="158" t="s">
        <v>493</v>
      </c>
      <c r="B1958" s="158" t="s">
        <v>119</v>
      </c>
      <c r="C1958" s="158" t="s">
        <v>18</v>
      </c>
      <c r="D1958" s="158" t="s">
        <v>19</v>
      </c>
      <c r="E1958" s="157">
        <v>240</v>
      </c>
      <c r="F1958" s="158" t="s">
        <v>525</v>
      </c>
      <c r="G1958" s="159">
        <v>2472103.2000000002</v>
      </c>
      <c r="H1958" s="159">
        <v>0</v>
      </c>
      <c r="I1958" s="159">
        <v>1281823.2</v>
      </c>
      <c r="J1958" s="159">
        <v>51.9</v>
      </c>
      <c r="K1958" t="str">
        <f>VLOOKUP($C1958,Lists!$C$3:$M$118,7,FALSE)</f>
        <v>Beers</v>
      </c>
    </row>
    <row r="1959" spans="1:11" x14ac:dyDescent="0.25">
      <c r="A1959" s="158" t="s">
        <v>493</v>
      </c>
      <c r="B1959" s="158" t="s">
        <v>119</v>
      </c>
      <c r="C1959" s="158" t="s">
        <v>20</v>
      </c>
      <c r="D1959" s="158" t="s">
        <v>21</v>
      </c>
      <c r="E1959" s="157">
        <v>4283</v>
      </c>
      <c r="F1959" s="158" t="s">
        <v>525</v>
      </c>
      <c r="G1959" s="159">
        <v>16952242.489999998</v>
      </c>
      <c r="H1959" s="159">
        <v>0</v>
      </c>
      <c r="I1959" s="159">
        <v>7124042.3799999999</v>
      </c>
      <c r="J1959" s="159">
        <v>42</v>
      </c>
      <c r="K1959" t="str">
        <f>VLOOKUP($C1959,Lists!$C$3:$M$118,7,FALSE)</f>
        <v>COKE_RGB</v>
      </c>
    </row>
    <row r="1960" spans="1:11" x14ac:dyDescent="0.25">
      <c r="A1960" s="158" t="s">
        <v>493</v>
      </c>
      <c r="B1960" s="158" t="s">
        <v>119</v>
      </c>
      <c r="C1960" s="158" t="s">
        <v>28</v>
      </c>
      <c r="D1960" s="158" t="s">
        <v>530</v>
      </c>
      <c r="E1960" s="157">
        <v>288</v>
      </c>
      <c r="F1960" s="158" t="s">
        <v>525</v>
      </c>
      <c r="G1960" s="159">
        <v>812995.2</v>
      </c>
      <c r="H1960" s="159">
        <v>0</v>
      </c>
      <c r="I1960" s="159">
        <v>410068.8</v>
      </c>
      <c r="J1960" s="159">
        <v>50.4</v>
      </c>
      <c r="K1960" t="str">
        <f>VLOOKUP($C1960,Lists!$C$3:$M$118,7,FALSE)</f>
        <v>COKE_PET</v>
      </c>
    </row>
    <row r="1961" spans="1:11" x14ac:dyDescent="0.25">
      <c r="A1961" s="158" t="s">
        <v>493</v>
      </c>
      <c r="B1961" s="158" t="s">
        <v>119</v>
      </c>
      <c r="C1961" s="158" t="s">
        <v>43</v>
      </c>
      <c r="D1961" s="158" t="s">
        <v>44</v>
      </c>
      <c r="E1961" s="157">
        <v>84</v>
      </c>
      <c r="F1961" s="158" t="s">
        <v>525</v>
      </c>
      <c r="G1961" s="159">
        <v>648926.88</v>
      </c>
      <c r="H1961" s="159">
        <v>0</v>
      </c>
      <c r="I1961" s="159">
        <v>320454.96000000002</v>
      </c>
      <c r="J1961" s="159">
        <v>49.4</v>
      </c>
      <c r="K1961" t="str">
        <f>VLOOKUP($C1961,Lists!$C$3:$M$118,7,FALSE)</f>
        <v>Beers</v>
      </c>
    </row>
    <row r="1962" spans="1:11" x14ac:dyDescent="0.25">
      <c r="A1962" s="158" t="s">
        <v>493</v>
      </c>
      <c r="B1962" s="158" t="s">
        <v>119</v>
      </c>
      <c r="C1962" s="158" t="s">
        <v>59</v>
      </c>
      <c r="D1962" s="158" t="s">
        <v>60</v>
      </c>
      <c r="E1962" s="157">
        <v>336</v>
      </c>
      <c r="F1962" s="158" t="s">
        <v>525</v>
      </c>
      <c r="G1962" s="159">
        <v>1329898.08</v>
      </c>
      <c r="H1962" s="159">
        <v>0</v>
      </c>
      <c r="I1962" s="159">
        <v>541490.88</v>
      </c>
      <c r="J1962" s="159">
        <v>40.700000000000003</v>
      </c>
      <c r="K1962" t="str">
        <f>VLOOKUP($C1962,Lists!$C$3:$M$118,7,FALSE)</f>
        <v>COKE_RGB</v>
      </c>
    </row>
    <row r="1963" spans="1:11" x14ac:dyDescent="0.25">
      <c r="A1963" s="158" t="s">
        <v>493</v>
      </c>
      <c r="B1963" s="158" t="s">
        <v>119</v>
      </c>
      <c r="C1963" s="158" t="s">
        <v>22</v>
      </c>
      <c r="D1963" s="158" t="s">
        <v>23</v>
      </c>
      <c r="E1963" s="157">
        <v>732</v>
      </c>
      <c r="F1963" s="158" t="s">
        <v>525</v>
      </c>
      <c r="G1963" s="159">
        <v>2897277.96</v>
      </c>
      <c r="H1963" s="159">
        <v>0</v>
      </c>
      <c r="I1963" s="159">
        <v>1167217.92</v>
      </c>
      <c r="J1963" s="159">
        <v>40.299999999999997</v>
      </c>
      <c r="K1963" t="str">
        <f>VLOOKUP($C1963,Lists!$C$3:$M$118,7,FALSE)</f>
        <v>COKE_RGB</v>
      </c>
    </row>
    <row r="1964" spans="1:11" x14ac:dyDescent="0.25">
      <c r="A1964" s="158" t="s">
        <v>493</v>
      </c>
      <c r="B1964" s="158" t="s">
        <v>119</v>
      </c>
      <c r="C1964" s="158" t="s">
        <v>261</v>
      </c>
      <c r="D1964" s="158" t="s">
        <v>538</v>
      </c>
      <c r="E1964" s="157">
        <v>168</v>
      </c>
      <c r="F1964" s="158" t="s">
        <v>525</v>
      </c>
      <c r="G1964" s="159">
        <v>664949.04</v>
      </c>
      <c r="H1964" s="159">
        <v>0</v>
      </c>
      <c r="I1964" s="159">
        <v>267886.08000000002</v>
      </c>
      <c r="J1964" s="159">
        <v>40.299999999999997</v>
      </c>
      <c r="K1964" t="str">
        <f>VLOOKUP($C1964,Lists!$C$3:$M$118,7,FALSE)</f>
        <v>COKE_RGB</v>
      </c>
    </row>
    <row r="1965" spans="1:11" x14ac:dyDescent="0.25">
      <c r="A1965" s="158" t="s">
        <v>493</v>
      </c>
      <c r="B1965" s="158" t="s">
        <v>119</v>
      </c>
      <c r="C1965" s="158" t="s">
        <v>24</v>
      </c>
      <c r="D1965" s="158" t="s">
        <v>25</v>
      </c>
      <c r="E1965" s="157">
        <v>144</v>
      </c>
      <c r="F1965" s="158" t="s">
        <v>525</v>
      </c>
      <c r="G1965" s="159">
        <v>927038.88</v>
      </c>
      <c r="H1965" s="159">
        <v>0</v>
      </c>
      <c r="I1965" s="159">
        <v>446348.16</v>
      </c>
      <c r="J1965" s="159">
        <v>48.1</v>
      </c>
      <c r="K1965" t="str">
        <f>VLOOKUP($C1965,Lists!$C$3:$M$118,7,FALSE)</f>
        <v>Beers</v>
      </c>
    </row>
    <row r="1966" spans="1:11" x14ac:dyDescent="0.25">
      <c r="A1966" s="158" t="s">
        <v>493</v>
      </c>
      <c r="B1966" s="158" t="s">
        <v>119</v>
      </c>
      <c r="C1966" s="158" t="s">
        <v>29</v>
      </c>
      <c r="D1966" s="158" t="s">
        <v>30</v>
      </c>
      <c r="E1966" s="157">
        <v>27</v>
      </c>
      <c r="F1966" s="158" t="s">
        <v>525</v>
      </c>
      <c r="G1966" s="159">
        <v>982378.53</v>
      </c>
      <c r="H1966" s="159">
        <v>0</v>
      </c>
      <c r="I1966" s="159">
        <v>280378.53000000003</v>
      </c>
      <c r="J1966" s="159">
        <v>28.5</v>
      </c>
      <c r="K1966" t="str">
        <f>VLOOKUP($C1966,Lists!$C$3:$M$118,7,FALSE)</f>
        <v>Spirits</v>
      </c>
    </row>
    <row r="1967" spans="1:11" x14ac:dyDescent="0.25">
      <c r="A1967" s="158" t="s">
        <v>493</v>
      </c>
      <c r="B1967" s="158" t="s">
        <v>119</v>
      </c>
      <c r="C1967" s="158" t="s">
        <v>33</v>
      </c>
      <c r="D1967" s="158" t="s">
        <v>34</v>
      </c>
      <c r="E1967" s="157">
        <v>39</v>
      </c>
      <c r="F1967" s="158" t="s">
        <v>525</v>
      </c>
      <c r="G1967" s="159">
        <v>2171925.6</v>
      </c>
      <c r="H1967" s="159">
        <v>0</v>
      </c>
      <c r="I1967" s="159">
        <v>416925.6</v>
      </c>
      <c r="J1967" s="159">
        <v>19.2</v>
      </c>
      <c r="K1967" t="str">
        <f>VLOOKUP($C1967,Lists!$C$3:$M$118,7,FALSE)</f>
        <v>Spirits</v>
      </c>
    </row>
    <row r="1968" spans="1:11" x14ac:dyDescent="0.25">
      <c r="A1968" s="158" t="s">
        <v>493</v>
      </c>
      <c r="B1968" s="158" t="s">
        <v>119</v>
      </c>
      <c r="C1968" s="158" t="s">
        <v>37</v>
      </c>
      <c r="D1968" s="158" t="s">
        <v>38</v>
      </c>
      <c r="E1968" s="157">
        <v>480</v>
      </c>
      <c r="F1968" s="158" t="s">
        <v>525</v>
      </c>
      <c r="G1968" s="159">
        <v>1583212.8</v>
      </c>
      <c r="H1968" s="159">
        <v>0</v>
      </c>
      <c r="I1968" s="159">
        <v>741681.6</v>
      </c>
      <c r="J1968" s="159">
        <v>46.8</v>
      </c>
      <c r="K1968" t="str">
        <f>VLOOKUP($C1968,Lists!$C$3:$M$118,7,FALSE)</f>
        <v>SOBO_RGB</v>
      </c>
    </row>
    <row r="1969" spans="1:11" x14ac:dyDescent="0.25">
      <c r="A1969" s="158" t="s">
        <v>493</v>
      </c>
      <c r="B1969" s="158" t="s">
        <v>119</v>
      </c>
      <c r="C1969" s="158" t="s">
        <v>39</v>
      </c>
      <c r="D1969" s="158" t="s">
        <v>40</v>
      </c>
      <c r="E1969" s="157">
        <v>840</v>
      </c>
      <c r="F1969" s="158" t="s">
        <v>525</v>
      </c>
      <c r="G1969" s="159">
        <v>2770622.4</v>
      </c>
      <c r="H1969" s="159">
        <v>0</v>
      </c>
      <c r="I1969" s="159">
        <v>1286468.3999999999</v>
      </c>
      <c r="J1969" s="159">
        <v>46.4</v>
      </c>
      <c r="K1969" t="str">
        <f>VLOOKUP($C1969,Lists!$C$3:$M$118,7,FALSE)</f>
        <v>SOBO_RGB</v>
      </c>
    </row>
    <row r="1970" spans="1:11" x14ac:dyDescent="0.25">
      <c r="A1970" s="158" t="s">
        <v>493</v>
      </c>
      <c r="B1970" s="158" t="s">
        <v>119</v>
      </c>
      <c r="C1970" s="158" t="s">
        <v>88</v>
      </c>
      <c r="D1970" s="158" t="s">
        <v>527</v>
      </c>
      <c r="E1970" s="157">
        <v>288</v>
      </c>
      <c r="F1970" s="158" t="s">
        <v>525</v>
      </c>
      <c r="G1970" s="159">
        <v>812995.2</v>
      </c>
      <c r="H1970" s="159">
        <v>0</v>
      </c>
      <c r="I1970" s="159">
        <v>476985.59999999998</v>
      </c>
      <c r="J1970" s="159">
        <v>58.7</v>
      </c>
      <c r="K1970" t="str">
        <f>VLOOKUP($C1970,Lists!$C$3:$M$118,7,FALSE)</f>
        <v>SOBO_PET</v>
      </c>
    </row>
    <row r="1971" spans="1:11" x14ac:dyDescent="0.25">
      <c r="A1971" s="158" t="s">
        <v>493</v>
      </c>
      <c r="B1971" s="158" t="s">
        <v>119</v>
      </c>
      <c r="C1971" s="158" t="s">
        <v>45</v>
      </c>
      <c r="D1971" s="158" t="s">
        <v>46</v>
      </c>
      <c r="E1971" s="157">
        <v>564</v>
      </c>
      <c r="F1971" s="158" t="s">
        <v>525</v>
      </c>
      <c r="G1971" s="159">
        <v>2232328.92</v>
      </c>
      <c r="H1971" s="159">
        <v>0</v>
      </c>
      <c r="I1971" s="159">
        <v>1099501.08</v>
      </c>
      <c r="J1971" s="159">
        <v>49.3</v>
      </c>
      <c r="K1971" t="str">
        <f>VLOOKUP($C1971,Lists!$C$3:$M$118,7,FALSE)</f>
        <v>SOBO_RGB</v>
      </c>
    </row>
    <row r="1972" spans="1:11" x14ac:dyDescent="0.25">
      <c r="A1972" s="158" t="s">
        <v>493</v>
      </c>
      <c r="B1972" s="158" t="s">
        <v>119</v>
      </c>
      <c r="C1972" s="158" t="s">
        <v>47</v>
      </c>
      <c r="D1972" s="158" t="s">
        <v>48</v>
      </c>
      <c r="E1972" s="157">
        <v>564</v>
      </c>
      <c r="F1972" s="158" t="s">
        <v>525</v>
      </c>
      <c r="G1972" s="159">
        <v>2232328.92</v>
      </c>
      <c r="H1972" s="159">
        <v>0</v>
      </c>
      <c r="I1972" s="159">
        <v>974214.12</v>
      </c>
      <c r="J1972" s="159">
        <v>43.6</v>
      </c>
      <c r="K1972" t="str">
        <f>VLOOKUP($C1972,Lists!$C$3:$M$118,7,FALSE)</f>
        <v>COKE_RGB</v>
      </c>
    </row>
    <row r="1973" spans="1:11" x14ac:dyDescent="0.25">
      <c r="A1973" s="158" t="s">
        <v>493</v>
      </c>
      <c r="B1973" s="158" t="s">
        <v>119</v>
      </c>
      <c r="C1973" s="158" t="s">
        <v>49</v>
      </c>
      <c r="D1973" s="158" t="s">
        <v>50</v>
      </c>
      <c r="E1973" s="157">
        <v>72</v>
      </c>
      <c r="F1973" s="158" t="s">
        <v>525</v>
      </c>
      <c r="G1973" s="159">
        <v>721971.36</v>
      </c>
      <c r="H1973" s="159">
        <v>0</v>
      </c>
      <c r="I1973" s="159">
        <v>229947.84</v>
      </c>
      <c r="J1973" s="159">
        <v>31.8</v>
      </c>
      <c r="K1973" t="str">
        <f>VLOOKUP($C1973,Lists!$C$3:$M$118,7,FALSE)</f>
        <v>Squash</v>
      </c>
    </row>
    <row r="1974" spans="1:11" x14ac:dyDescent="0.25">
      <c r="A1974" s="158" t="s">
        <v>759</v>
      </c>
      <c r="B1974" s="158" t="s">
        <v>760</v>
      </c>
      <c r="C1974" s="158" t="s">
        <v>69</v>
      </c>
      <c r="D1974" s="158" t="s">
        <v>70</v>
      </c>
      <c r="E1974" s="157">
        <v>36</v>
      </c>
      <c r="F1974" s="158" t="s">
        <v>525</v>
      </c>
      <c r="G1974" s="159">
        <v>278111.52</v>
      </c>
      <c r="H1974" s="159">
        <v>0</v>
      </c>
      <c r="I1974" s="159">
        <v>116651.52</v>
      </c>
      <c r="J1974" s="159">
        <v>41.9</v>
      </c>
      <c r="K1974" t="str">
        <f>VLOOKUP($C1974,Lists!$C$3:$M$118,7,FALSE)</f>
        <v>Alcomix</v>
      </c>
    </row>
    <row r="1975" spans="1:11" x14ac:dyDescent="0.25">
      <c r="A1975" s="158" t="s">
        <v>759</v>
      </c>
      <c r="B1975" s="158" t="s">
        <v>760</v>
      </c>
      <c r="C1975" s="158" t="s">
        <v>41</v>
      </c>
      <c r="D1975" s="158" t="s">
        <v>42</v>
      </c>
      <c r="E1975" s="157">
        <v>144</v>
      </c>
      <c r="F1975" s="158" t="s">
        <v>525</v>
      </c>
      <c r="G1975" s="159">
        <v>1112446.08</v>
      </c>
      <c r="H1975" s="159">
        <v>0</v>
      </c>
      <c r="I1975" s="159">
        <v>466606.08000000002</v>
      </c>
      <c r="J1975" s="159">
        <v>41.9</v>
      </c>
      <c r="K1975" t="str">
        <f>VLOOKUP($C1975,Lists!$C$3:$M$118,7,FALSE)</f>
        <v>Alcomix</v>
      </c>
    </row>
    <row r="1976" spans="1:11" x14ac:dyDescent="0.25">
      <c r="A1976" s="158" t="s">
        <v>759</v>
      </c>
      <c r="B1976" s="158" t="s">
        <v>760</v>
      </c>
      <c r="C1976" s="158" t="s">
        <v>71</v>
      </c>
      <c r="D1976" s="158" t="s">
        <v>553</v>
      </c>
      <c r="E1976" s="157">
        <v>35</v>
      </c>
      <c r="F1976" s="158" t="s">
        <v>525</v>
      </c>
      <c r="G1976" s="159">
        <v>270386.2</v>
      </c>
      <c r="H1976" s="159">
        <v>0</v>
      </c>
      <c r="I1976" s="159">
        <v>113411.2</v>
      </c>
      <c r="J1976" s="159">
        <v>41.9</v>
      </c>
      <c r="K1976" t="str">
        <f>VLOOKUP($C1976,Lists!$C$3:$M$118,7,FALSE)</f>
        <v>Alcomix</v>
      </c>
    </row>
    <row r="1977" spans="1:11" x14ac:dyDescent="0.25">
      <c r="A1977" s="158" t="s">
        <v>759</v>
      </c>
      <c r="B1977" s="158" t="s">
        <v>760</v>
      </c>
      <c r="C1977" s="158" t="s">
        <v>12</v>
      </c>
      <c r="D1977" s="158" t="s">
        <v>13</v>
      </c>
      <c r="E1977" s="157">
        <v>1224</v>
      </c>
      <c r="F1977" s="158" t="s">
        <v>525</v>
      </c>
      <c r="G1977" s="159">
        <v>7879830.4800000004</v>
      </c>
      <c r="H1977" s="159">
        <v>0</v>
      </c>
      <c r="I1977" s="159">
        <v>3443748.48</v>
      </c>
      <c r="J1977" s="159">
        <v>43.7</v>
      </c>
      <c r="K1977" t="str">
        <f>VLOOKUP($C1977,Lists!$C$3:$M$118,7,FALSE)</f>
        <v>Beers</v>
      </c>
    </row>
    <row r="1978" spans="1:11" x14ac:dyDescent="0.25">
      <c r="A1978" s="158" t="s">
        <v>759</v>
      </c>
      <c r="B1978" s="158" t="s">
        <v>760</v>
      </c>
      <c r="C1978" s="158" t="s">
        <v>14</v>
      </c>
      <c r="D1978" s="158" t="s">
        <v>15</v>
      </c>
      <c r="E1978" s="157">
        <v>1008</v>
      </c>
      <c r="F1978" s="158" t="s">
        <v>525</v>
      </c>
      <c r="G1978" s="159">
        <v>7787122.5599999996</v>
      </c>
      <c r="H1978" s="159">
        <v>0</v>
      </c>
      <c r="I1978" s="159">
        <v>3845459.52</v>
      </c>
      <c r="J1978" s="159">
        <v>49.4</v>
      </c>
      <c r="K1978" t="str">
        <f>VLOOKUP($C1978,Lists!$C$3:$M$118,7,FALSE)</f>
        <v>Beers</v>
      </c>
    </row>
    <row r="1979" spans="1:11" x14ac:dyDescent="0.25">
      <c r="A1979" s="158" t="s">
        <v>759</v>
      </c>
      <c r="B1979" s="158" t="s">
        <v>760</v>
      </c>
      <c r="C1979" s="158" t="s">
        <v>54</v>
      </c>
      <c r="D1979" s="158" t="s">
        <v>55</v>
      </c>
      <c r="E1979" s="157">
        <v>100</v>
      </c>
      <c r="F1979" s="158" t="s">
        <v>525</v>
      </c>
      <c r="G1979" s="159">
        <v>772532</v>
      </c>
      <c r="H1979" s="159">
        <v>0</v>
      </c>
      <c r="I1979" s="159">
        <v>405557</v>
      </c>
      <c r="J1979" s="159">
        <v>52.5</v>
      </c>
      <c r="K1979" t="str">
        <f>VLOOKUP($C1979,Lists!$C$3:$M$118,7,FALSE)</f>
        <v>Beers</v>
      </c>
    </row>
    <row r="1980" spans="1:11" x14ac:dyDescent="0.25">
      <c r="A1980" s="158" t="s">
        <v>759</v>
      </c>
      <c r="B1980" s="158" t="s">
        <v>760</v>
      </c>
      <c r="C1980" s="158" t="s">
        <v>16</v>
      </c>
      <c r="D1980" s="158" t="s">
        <v>17</v>
      </c>
      <c r="E1980" s="157">
        <v>1223</v>
      </c>
      <c r="F1980" s="158" t="s">
        <v>525</v>
      </c>
      <c r="G1980" s="159">
        <v>9448066.3599999994</v>
      </c>
      <c r="H1980" s="159">
        <v>0</v>
      </c>
      <c r="I1980" s="159">
        <v>4665671.62</v>
      </c>
      <c r="J1980" s="159">
        <v>49.4</v>
      </c>
      <c r="K1980" t="str">
        <f>VLOOKUP($C1980,Lists!$C$3:$M$118,7,FALSE)</f>
        <v>Beers</v>
      </c>
    </row>
    <row r="1981" spans="1:11" x14ac:dyDescent="0.25">
      <c r="A1981" s="158" t="s">
        <v>759</v>
      </c>
      <c r="B1981" s="158" t="s">
        <v>760</v>
      </c>
      <c r="C1981" s="158" t="s">
        <v>56</v>
      </c>
      <c r="D1981" s="158" t="s">
        <v>57</v>
      </c>
      <c r="E1981" s="157">
        <v>50</v>
      </c>
      <c r="F1981" s="158" t="s">
        <v>525</v>
      </c>
      <c r="G1981" s="159">
        <v>386266</v>
      </c>
      <c r="H1981" s="159">
        <v>0</v>
      </c>
      <c r="I1981" s="159">
        <v>202778.5</v>
      </c>
      <c r="J1981" s="159">
        <v>52.5</v>
      </c>
      <c r="K1981" t="str">
        <f>VLOOKUP($C1981,Lists!$C$3:$M$118,7,FALSE)</f>
        <v>Beers</v>
      </c>
    </row>
    <row r="1982" spans="1:11" x14ac:dyDescent="0.25">
      <c r="A1982" s="158" t="s">
        <v>759</v>
      </c>
      <c r="B1982" s="158" t="s">
        <v>760</v>
      </c>
      <c r="C1982" s="158" t="s">
        <v>18</v>
      </c>
      <c r="D1982" s="158" t="s">
        <v>19</v>
      </c>
      <c r="E1982" s="157">
        <v>288</v>
      </c>
      <c r="F1982" s="158" t="s">
        <v>525</v>
      </c>
      <c r="G1982" s="159">
        <v>2966523.84</v>
      </c>
      <c r="H1982" s="159">
        <v>0</v>
      </c>
      <c r="I1982" s="159">
        <v>1538187.83</v>
      </c>
      <c r="J1982" s="159">
        <v>51.9</v>
      </c>
      <c r="K1982" t="str">
        <f>VLOOKUP($C1982,Lists!$C$3:$M$118,7,FALSE)</f>
        <v>Beers</v>
      </c>
    </row>
    <row r="1983" spans="1:11" x14ac:dyDescent="0.25">
      <c r="A1983" s="158" t="s">
        <v>759</v>
      </c>
      <c r="B1983" s="158" t="s">
        <v>760</v>
      </c>
      <c r="C1983" s="158" t="s">
        <v>20</v>
      </c>
      <c r="D1983" s="158" t="s">
        <v>21</v>
      </c>
      <c r="E1983" s="157">
        <v>1151</v>
      </c>
      <c r="F1983" s="158" t="s">
        <v>525</v>
      </c>
      <c r="G1983" s="159">
        <v>4555692.53</v>
      </c>
      <c r="H1983" s="159">
        <v>0</v>
      </c>
      <c r="I1983" s="159">
        <v>1914492.83</v>
      </c>
      <c r="J1983" s="159">
        <v>42</v>
      </c>
      <c r="K1983" t="str">
        <f>VLOOKUP($C1983,Lists!$C$3:$M$118,7,FALSE)</f>
        <v>COKE_RGB</v>
      </c>
    </row>
    <row r="1984" spans="1:11" x14ac:dyDescent="0.25">
      <c r="A1984" s="158" t="s">
        <v>759</v>
      </c>
      <c r="B1984" s="158" t="s">
        <v>760</v>
      </c>
      <c r="C1984" s="158" t="s">
        <v>43</v>
      </c>
      <c r="D1984" s="158" t="s">
        <v>44</v>
      </c>
      <c r="E1984" s="157">
        <v>288</v>
      </c>
      <c r="F1984" s="158" t="s">
        <v>525</v>
      </c>
      <c r="G1984" s="159">
        <v>2224892.16</v>
      </c>
      <c r="H1984" s="159">
        <v>0</v>
      </c>
      <c r="I1984" s="159">
        <v>1098702.72</v>
      </c>
      <c r="J1984" s="159">
        <v>49.4</v>
      </c>
      <c r="K1984" t="str">
        <f>VLOOKUP($C1984,Lists!$C$3:$M$118,7,FALSE)</f>
        <v>Beers</v>
      </c>
    </row>
    <row r="1985" spans="1:11" x14ac:dyDescent="0.25">
      <c r="A1985" s="158" t="s">
        <v>759</v>
      </c>
      <c r="B1985" s="158" t="s">
        <v>760</v>
      </c>
      <c r="C1985" s="158" t="s">
        <v>59</v>
      </c>
      <c r="D1985" s="158" t="s">
        <v>60</v>
      </c>
      <c r="E1985" s="157">
        <v>288</v>
      </c>
      <c r="F1985" s="158" t="s">
        <v>525</v>
      </c>
      <c r="G1985" s="159">
        <v>1139912.6399999999</v>
      </c>
      <c r="H1985" s="159">
        <v>0</v>
      </c>
      <c r="I1985" s="159">
        <v>464135.04</v>
      </c>
      <c r="J1985" s="159">
        <v>40.700000000000003</v>
      </c>
      <c r="K1985" t="str">
        <f>VLOOKUP($C1985,Lists!$C$3:$M$118,7,FALSE)</f>
        <v>COKE_RGB</v>
      </c>
    </row>
    <row r="1986" spans="1:11" x14ac:dyDescent="0.25">
      <c r="A1986" s="158" t="s">
        <v>759</v>
      </c>
      <c r="B1986" s="158" t="s">
        <v>760</v>
      </c>
      <c r="C1986" s="158" t="s">
        <v>22</v>
      </c>
      <c r="D1986" s="158" t="s">
        <v>23</v>
      </c>
      <c r="E1986" s="157">
        <v>288</v>
      </c>
      <c r="F1986" s="158" t="s">
        <v>525</v>
      </c>
      <c r="G1986" s="159">
        <v>1139912.6399999999</v>
      </c>
      <c r="H1986" s="159">
        <v>0</v>
      </c>
      <c r="I1986" s="159">
        <v>459233.28000000003</v>
      </c>
      <c r="J1986" s="159">
        <v>40.299999999999997</v>
      </c>
      <c r="K1986" t="str">
        <f>VLOOKUP($C1986,Lists!$C$3:$M$118,7,FALSE)</f>
        <v>COKE_RGB</v>
      </c>
    </row>
    <row r="1987" spans="1:11" x14ac:dyDescent="0.25">
      <c r="A1987" s="158" t="s">
        <v>759</v>
      </c>
      <c r="B1987" s="158" t="s">
        <v>760</v>
      </c>
      <c r="C1987" s="158" t="s">
        <v>67</v>
      </c>
      <c r="D1987" s="158" t="s">
        <v>533</v>
      </c>
      <c r="E1987" s="157">
        <v>144</v>
      </c>
      <c r="F1987" s="158" t="s">
        <v>525</v>
      </c>
      <c r="G1987" s="159">
        <v>406497.6</v>
      </c>
      <c r="H1987" s="159">
        <v>0</v>
      </c>
      <c r="I1987" s="159">
        <v>199961.28</v>
      </c>
      <c r="J1987" s="159">
        <v>49.2</v>
      </c>
      <c r="K1987" t="str">
        <f>VLOOKUP($C1987,Lists!$C$3:$M$118,7,FALSE)</f>
        <v>COKE_PET</v>
      </c>
    </row>
    <row r="1988" spans="1:11" x14ac:dyDescent="0.25">
      <c r="A1988" s="158" t="s">
        <v>759</v>
      </c>
      <c r="B1988" s="158" t="s">
        <v>760</v>
      </c>
      <c r="C1988" s="158" t="s">
        <v>261</v>
      </c>
      <c r="D1988" s="158" t="s">
        <v>538</v>
      </c>
      <c r="E1988" s="157">
        <v>143</v>
      </c>
      <c r="F1988" s="158" t="s">
        <v>525</v>
      </c>
      <c r="G1988" s="159">
        <v>565998.29</v>
      </c>
      <c r="H1988" s="159">
        <v>0</v>
      </c>
      <c r="I1988" s="159">
        <v>228022.08</v>
      </c>
      <c r="J1988" s="159">
        <v>40.299999999999997</v>
      </c>
      <c r="K1988" t="str">
        <f>VLOOKUP($C1988,Lists!$C$3:$M$118,7,FALSE)</f>
        <v>COKE_RGB</v>
      </c>
    </row>
    <row r="1989" spans="1:11" x14ac:dyDescent="0.25">
      <c r="A1989" s="158" t="s">
        <v>759</v>
      </c>
      <c r="B1989" s="158" t="s">
        <v>760</v>
      </c>
      <c r="C1989" s="158" t="s">
        <v>24</v>
      </c>
      <c r="D1989" s="158" t="s">
        <v>25</v>
      </c>
      <c r="E1989" s="157">
        <v>504</v>
      </c>
      <c r="F1989" s="158" t="s">
        <v>525</v>
      </c>
      <c r="G1989" s="159">
        <v>3244636.08</v>
      </c>
      <c r="H1989" s="159">
        <v>0</v>
      </c>
      <c r="I1989" s="159">
        <v>1562218.56</v>
      </c>
      <c r="J1989" s="159">
        <v>48.1</v>
      </c>
      <c r="K1989" t="str">
        <f>VLOOKUP($C1989,Lists!$C$3:$M$118,7,FALSE)</f>
        <v>Beers</v>
      </c>
    </row>
    <row r="1990" spans="1:11" x14ac:dyDescent="0.25">
      <c r="A1990" s="158" t="s">
        <v>759</v>
      </c>
      <c r="B1990" s="158" t="s">
        <v>760</v>
      </c>
      <c r="C1990" s="158" t="s">
        <v>29</v>
      </c>
      <c r="D1990" s="158" t="s">
        <v>30</v>
      </c>
      <c r="E1990" s="157">
        <v>20</v>
      </c>
      <c r="F1990" s="158" t="s">
        <v>525</v>
      </c>
      <c r="G1990" s="159">
        <v>727687.8</v>
      </c>
      <c r="H1990" s="159">
        <v>0</v>
      </c>
      <c r="I1990" s="159">
        <v>207687.8</v>
      </c>
      <c r="J1990" s="159">
        <v>28.5</v>
      </c>
      <c r="K1990" t="str">
        <f>VLOOKUP($C1990,Lists!$C$3:$M$118,7,FALSE)</f>
        <v>Spirits</v>
      </c>
    </row>
    <row r="1991" spans="1:11" x14ac:dyDescent="0.25">
      <c r="A1991" s="158" t="s">
        <v>759</v>
      </c>
      <c r="B1991" s="158" t="s">
        <v>760</v>
      </c>
      <c r="C1991" s="158" t="s">
        <v>31</v>
      </c>
      <c r="D1991" s="158" t="s">
        <v>32</v>
      </c>
      <c r="E1991" s="157">
        <v>10</v>
      </c>
      <c r="F1991" s="158" t="s">
        <v>525</v>
      </c>
      <c r="G1991" s="159">
        <v>341567.8</v>
      </c>
      <c r="H1991" s="159">
        <v>0</v>
      </c>
      <c r="I1991" s="159">
        <v>101567.8</v>
      </c>
      <c r="J1991" s="159">
        <v>29.7</v>
      </c>
      <c r="K1991" t="str">
        <f>VLOOKUP($C1991,Lists!$C$3:$M$118,7,FALSE)</f>
        <v>Spirits</v>
      </c>
    </row>
    <row r="1992" spans="1:11" x14ac:dyDescent="0.25">
      <c r="A1992" s="158" t="s">
        <v>759</v>
      </c>
      <c r="B1992" s="158" t="s">
        <v>760</v>
      </c>
      <c r="C1992" s="158" t="s">
        <v>33</v>
      </c>
      <c r="D1992" s="158" t="s">
        <v>34</v>
      </c>
      <c r="E1992" s="157">
        <v>10</v>
      </c>
      <c r="F1992" s="158" t="s">
        <v>525</v>
      </c>
      <c r="G1992" s="159">
        <v>556904</v>
      </c>
      <c r="H1992" s="159">
        <v>0</v>
      </c>
      <c r="I1992" s="159">
        <v>106904</v>
      </c>
      <c r="J1992" s="159">
        <v>19.2</v>
      </c>
      <c r="K1992" t="str">
        <f>VLOOKUP($C1992,Lists!$C$3:$M$118,7,FALSE)</f>
        <v>Spirits</v>
      </c>
    </row>
    <row r="1993" spans="1:11" x14ac:dyDescent="0.25">
      <c r="A1993" s="158" t="s">
        <v>759</v>
      </c>
      <c r="B1993" s="158" t="s">
        <v>760</v>
      </c>
      <c r="C1993" s="158" t="s">
        <v>37</v>
      </c>
      <c r="D1993" s="158" t="s">
        <v>38</v>
      </c>
      <c r="E1993" s="157">
        <v>288</v>
      </c>
      <c r="F1993" s="158" t="s">
        <v>525</v>
      </c>
      <c r="G1993" s="159">
        <v>949927.68</v>
      </c>
      <c r="H1993" s="159">
        <v>0</v>
      </c>
      <c r="I1993" s="159">
        <v>445008.96</v>
      </c>
      <c r="J1993" s="159">
        <v>46.8</v>
      </c>
      <c r="K1993" t="str">
        <f>VLOOKUP($C1993,Lists!$C$3:$M$118,7,FALSE)</f>
        <v>SOBO_RGB</v>
      </c>
    </row>
    <row r="1994" spans="1:11" x14ac:dyDescent="0.25">
      <c r="A1994" s="158" t="s">
        <v>759</v>
      </c>
      <c r="B1994" s="158" t="s">
        <v>760</v>
      </c>
      <c r="C1994" s="158" t="s">
        <v>39</v>
      </c>
      <c r="D1994" s="158" t="s">
        <v>40</v>
      </c>
      <c r="E1994" s="157">
        <v>215</v>
      </c>
      <c r="F1994" s="158" t="s">
        <v>525</v>
      </c>
      <c r="G1994" s="159">
        <v>709147.4</v>
      </c>
      <c r="H1994" s="159">
        <v>0</v>
      </c>
      <c r="I1994" s="159">
        <v>329274.65000000002</v>
      </c>
      <c r="J1994" s="159">
        <v>46.4</v>
      </c>
      <c r="K1994" t="str">
        <f>VLOOKUP($C1994,Lists!$C$3:$M$118,7,FALSE)</f>
        <v>SOBO_RGB</v>
      </c>
    </row>
    <row r="1995" spans="1:11" x14ac:dyDescent="0.25">
      <c r="A1995" s="158" t="s">
        <v>759</v>
      </c>
      <c r="B1995" s="158" t="s">
        <v>760</v>
      </c>
      <c r="C1995" s="158" t="s">
        <v>88</v>
      </c>
      <c r="D1995" s="158" t="s">
        <v>527</v>
      </c>
      <c r="E1995" s="157">
        <v>288</v>
      </c>
      <c r="F1995" s="158" t="s">
        <v>525</v>
      </c>
      <c r="G1995" s="159">
        <v>812995.2</v>
      </c>
      <c r="H1995" s="159">
        <v>0</v>
      </c>
      <c r="I1995" s="159">
        <v>476985.59999999998</v>
      </c>
      <c r="J1995" s="159">
        <v>58.7</v>
      </c>
      <c r="K1995" t="str">
        <f>VLOOKUP($C1995,Lists!$C$3:$M$118,7,FALSE)</f>
        <v>SOBO_PET</v>
      </c>
    </row>
    <row r="1996" spans="1:11" x14ac:dyDescent="0.25">
      <c r="A1996" s="158" t="s">
        <v>759</v>
      </c>
      <c r="B1996" s="158" t="s">
        <v>760</v>
      </c>
      <c r="C1996" s="158" t="s">
        <v>45</v>
      </c>
      <c r="D1996" s="158" t="s">
        <v>46</v>
      </c>
      <c r="E1996" s="157">
        <v>216</v>
      </c>
      <c r="F1996" s="158" t="s">
        <v>525</v>
      </c>
      <c r="G1996" s="159">
        <v>854934.48</v>
      </c>
      <c r="H1996" s="159">
        <v>0</v>
      </c>
      <c r="I1996" s="159">
        <v>421085.52</v>
      </c>
      <c r="J1996" s="159">
        <v>49.3</v>
      </c>
      <c r="K1996" t="str">
        <f>VLOOKUP($C1996,Lists!$C$3:$M$118,7,FALSE)</f>
        <v>SOBO_RGB</v>
      </c>
    </row>
    <row r="1997" spans="1:11" x14ac:dyDescent="0.25">
      <c r="A1997" s="158" t="s">
        <v>759</v>
      </c>
      <c r="B1997" s="158" t="s">
        <v>760</v>
      </c>
      <c r="C1997" s="158" t="s">
        <v>47</v>
      </c>
      <c r="D1997" s="158" t="s">
        <v>48</v>
      </c>
      <c r="E1997" s="157">
        <v>215</v>
      </c>
      <c r="F1997" s="158" t="s">
        <v>525</v>
      </c>
      <c r="G1997" s="159">
        <v>850976.45</v>
      </c>
      <c r="H1997" s="159">
        <v>0</v>
      </c>
      <c r="I1997" s="159">
        <v>371375.95</v>
      </c>
      <c r="J1997" s="159">
        <v>43.6</v>
      </c>
      <c r="K1997" t="str">
        <f>VLOOKUP($C1997,Lists!$C$3:$M$118,7,FALSE)</f>
        <v>COKE_RGB</v>
      </c>
    </row>
    <row r="1998" spans="1:11" x14ac:dyDescent="0.25">
      <c r="A1998" s="158" t="s">
        <v>759</v>
      </c>
      <c r="B1998" s="158" t="s">
        <v>760</v>
      </c>
      <c r="C1998" s="158" t="s">
        <v>68</v>
      </c>
      <c r="D1998" s="158" t="s">
        <v>534</v>
      </c>
      <c r="E1998" s="157">
        <v>144</v>
      </c>
      <c r="F1998" s="158" t="s">
        <v>525</v>
      </c>
      <c r="G1998" s="159">
        <v>406497.6</v>
      </c>
      <c r="H1998" s="159">
        <v>0</v>
      </c>
      <c r="I1998" s="159">
        <v>198080.64000000001</v>
      </c>
      <c r="J1998" s="159">
        <v>48.7</v>
      </c>
      <c r="K1998" t="str">
        <f>VLOOKUP($C1998,Lists!$C$3:$M$118,7,FALSE)</f>
        <v>COKE_PET</v>
      </c>
    </row>
    <row r="1999" spans="1:11" x14ac:dyDescent="0.25">
      <c r="A1999" s="158" t="s">
        <v>759</v>
      </c>
      <c r="B1999" s="158" t="s">
        <v>760</v>
      </c>
      <c r="C1999" s="158" t="s">
        <v>49</v>
      </c>
      <c r="D1999" s="158" t="s">
        <v>50</v>
      </c>
      <c r="E1999" s="157">
        <v>71</v>
      </c>
      <c r="F1999" s="158" t="s">
        <v>525</v>
      </c>
      <c r="G1999" s="159">
        <v>711943.98</v>
      </c>
      <c r="H1999" s="159">
        <v>0</v>
      </c>
      <c r="I1999" s="159">
        <v>226754.12</v>
      </c>
      <c r="J1999" s="159">
        <v>31.8</v>
      </c>
      <c r="K1999" t="str">
        <f>VLOOKUP($C1999,Lists!$C$3:$M$118,7,FALSE)</f>
        <v>Squash</v>
      </c>
    </row>
    <row r="2000" spans="1:11" x14ac:dyDescent="0.25">
      <c r="A2000" s="158" t="s">
        <v>759</v>
      </c>
      <c r="B2000" s="158" t="s">
        <v>760</v>
      </c>
      <c r="C2000" s="158" t="s">
        <v>51</v>
      </c>
      <c r="D2000" s="158" t="s">
        <v>52</v>
      </c>
      <c r="E2000" s="157">
        <v>72</v>
      </c>
      <c r="F2000" s="158" t="s">
        <v>525</v>
      </c>
      <c r="G2000" s="159">
        <v>721971.36</v>
      </c>
      <c r="H2000" s="159">
        <v>0</v>
      </c>
      <c r="I2000" s="159">
        <v>228026.16</v>
      </c>
      <c r="J2000" s="159">
        <v>31.6</v>
      </c>
      <c r="K2000" t="str">
        <f>VLOOKUP($C2000,Lists!$C$3:$M$118,7,FALSE)</f>
        <v>Squash</v>
      </c>
    </row>
    <row r="2001" spans="1:11" x14ac:dyDescent="0.25">
      <c r="A2001" s="158" t="s">
        <v>761</v>
      </c>
      <c r="B2001" s="158" t="s">
        <v>762</v>
      </c>
      <c r="C2001" s="158" t="s">
        <v>12</v>
      </c>
      <c r="D2001" s="158" t="s">
        <v>13</v>
      </c>
      <c r="E2001" s="157">
        <v>20.350000000000001</v>
      </c>
      <c r="F2001" s="158" t="s">
        <v>525</v>
      </c>
      <c r="G2001" s="159">
        <v>141489.28</v>
      </c>
      <c r="H2001" s="159">
        <v>0</v>
      </c>
      <c r="I2001" s="159">
        <v>67735.759999999995</v>
      </c>
      <c r="J2001" s="159">
        <v>47.9</v>
      </c>
      <c r="K2001" t="str">
        <f>VLOOKUP($C2001,Lists!$C$3:$M$118,7,FALSE)</f>
        <v>Beers</v>
      </c>
    </row>
    <row r="2002" spans="1:11" x14ac:dyDescent="0.25">
      <c r="A2002" s="158" t="s">
        <v>761</v>
      </c>
      <c r="B2002" s="158" t="s">
        <v>762</v>
      </c>
      <c r="C2002" s="158" t="s">
        <v>14</v>
      </c>
      <c r="D2002" s="158" t="s">
        <v>15</v>
      </c>
      <c r="E2002" s="157">
        <v>6.05</v>
      </c>
      <c r="F2002" s="158" t="s">
        <v>525</v>
      </c>
      <c r="G2002" s="159">
        <v>50477.26</v>
      </c>
      <c r="H2002" s="159">
        <v>0</v>
      </c>
      <c r="I2002" s="159">
        <v>26819.46</v>
      </c>
      <c r="J2002" s="159">
        <v>53.1</v>
      </c>
      <c r="K2002" t="str">
        <f>VLOOKUP($C2002,Lists!$C$3:$M$118,7,FALSE)</f>
        <v>Beers</v>
      </c>
    </row>
    <row r="2003" spans="1:11" x14ac:dyDescent="0.25">
      <c r="A2003" s="158" t="s">
        <v>761</v>
      </c>
      <c r="B2003" s="158" t="s">
        <v>762</v>
      </c>
      <c r="C2003" s="158" t="s">
        <v>54</v>
      </c>
      <c r="D2003" s="158" t="s">
        <v>55</v>
      </c>
      <c r="E2003" s="157">
        <v>1.5</v>
      </c>
      <c r="F2003" s="158" t="s">
        <v>525</v>
      </c>
      <c r="G2003" s="159">
        <v>12515.04</v>
      </c>
      <c r="H2003" s="159">
        <v>0</v>
      </c>
      <c r="I2003" s="159">
        <v>7010.4</v>
      </c>
      <c r="J2003" s="159">
        <v>56</v>
      </c>
      <c r="K2003" t="str">
        <f>VLOOKUP($C2003,Lists!$C$3:$M$118,7,FALSE)</f>
        <v>Beers</v>
      </c>
    </row>
    <row r="2004" spans="1:11" x14ac:dyDescent="0.25">
      <c r="A2004" s="158" t="s">
        <v>761</v>
      </c>
      <c r="B2004" s="158" t="s">
        <v>762</v>
      </c>
      <c r="C2004" s="158" t="s">
        <v>16</v>
      </c>
      <c r="D2004" s="158" t="s">
        <v>17</v>
      </c>
      <c r="E2004" s="157">
        <v>13.05</v>
      </c>
      <c r="F2004" s="158" t="s">
        <v>525</v>
      </c>
      <c r="G2004" s="159">
        <v>108880.72</v>
      </c>
      <c r="H2004" s="159">
        <v>0</v>
      </c>
      <c r="I2004" s="159">
        <v>57850.25</v>
      </c>
      <c r="J2004" s="159">
        <v>53.1</v>
      </c>
      <c r="K2004" t="str">
        <f>VLOOKUP($C2004,Lists!$C$3:$M$118,7,FALSE)</f>
        <v>Beers</v>
      </c>
    </row>
    <row r="2005" spans="1:11" x14ac:dyDescent="0.25">
      <c r="A2005" s="158" t="s">
        <v>761</v>
      </c>
      <c r="B2005" s="158" t="s">
        <v>762</v>
      </c>
      <c r="C2005" s="158" t="s">
        <v>18</v>
      </c>
      <c r="D2005" s="158" t="s">
        <v>19</v>
      </c>
      <c r="E2005" s="157">
        <v>3.35</v>
      </c>
      <c r="F2005" s="158" t="s">
        <v>525</v>
      </c>
      <c r="G2005" s="159">
        <v>37266.94</v>
      </c>
      <c r="H2005" s="159">
        <v>0</v>
      </c>
      <c r="I2005" s="159">
        <v>20652.599999999999</v>
      </c>
      <c r="J2005" s="159">
        <v>55.4</v>
      </c>
      <c r="K2005" t="str">
        <f>VLOOKUP($C2005,Lists!$C$3:$M$118,7,FALSE)</f>
        <v>Beers</v>
      </c>
    </row>
    <row r="2006" spans="1:11" x14ac:dyDescent="0.25">
      <c r="A2006" s="158" t="s">
        <v>761</v>
      </c>
      <c r="B2006" s="158" t="s">
        <v>762</v>
      </c>
      <c r="C2006" s="158" t="s">
        <v>20</v>
      </c>
      <c r="D2006" s="158" t="s">
        <v>21</v>
      </c>
      <c r="E2006" s="157">
        <v>7.05</v>
      </c>
      <c r="F2006" s="158" t="s">
        <v>525</v>
      </c>
      <c r="G2006" s="159">
        <v>30136.49</v>
      </c>
      <c r="H2006" s="159">
        <v>0</v>
      </c>
      <c r="I2006" s="159">
        <v>13958.83</v>
      </c>
      <c r="J2006" s="159">
        <v>46.3</v>
      </c>
      <c r="K2006" t="str">
        <f>VLOOKUP($C2006,Lists!$C$3:$M$118,7,FALSE)</f>
        <v>COKE_RGB</v>
      </c>
    </row>
    <row r="2007" spans="1:11" x14ac:dyDescent="0.25">
      <c r="A2007" s="158" t="s">
        <v>761</v>
      </c>
      <c r="B2007" s="158" t="s">
        <v>762</v>
      </c>
      <c r="C2007" s="158" t="s">
        <v>28</v>
      </c>
      <c r="D2007" s="158" t="s">
        <v>530</v>
      </c>
      <c r="E2007" s="157">
        <v>2.3333300000000001</v>
      </c>
      <c r="F2007" s="158" t="s">
        <v>525</v>
      </c>
      <c r="G2007" s="159">
        <v>6981.95</v>
      </c>
      <c r="H2007" s="159">
        <v>0</v>
      </c>
      <c r="I2007" s="159">
        <v>3717.5</v>
      </c>
      <c r="J2007" s="159">
        <v>53.2</v>
      </c>
      <c r="K2007" t="str">
        <f>VLOOKUP($C2007,Lists!$C$3:$M$118,7,FALSE)</f>
        <v>COKE_PET</v>
      </c>
    </row>
    <row r="2008" spans="1:11" x14ac:dyDescent="0.25">
      <c r="A2008" s="158" t="s">
        <v>761</v>
      </c>
      <c r="B2008" s="158" t="s">
        <v>762</v>
      </c>
      <c r="C2008" s="158" t="s">
        <v>78</v>
      </c>
      <c r="D2008" s="158" t="s">
        <v>526</v>
      </c>
      <c r="E2008" s="157">
        <v>0.16667000000000001</v>
      </c>
      <c r="F2008" s="158" t="s">
        <v>525</v>
      </c>
      <c r="G2008" s="159">
        <v>427.48</v>
      </c>
      <c r="H2008" s="159">
        <v>0</v>
      </c>
      <c r="I2008" s="159">
        <v>244.39</v>
      </c>
      <c r="J2008" s="159">
        <v>57.2</v>
      </c>
      <c r="K2008" t="str">
        <f>VLOOKUP($C2008,Lists!$C$3:$M$118,7,FALSE)</f>
        <v>SOBO_PET</v>
      </c>
    </row>
    <row r="2009" spans="1:11" x14ac:dyDescent="0.25">
      <c r="A2009" s="158" t="s">
        <v>761</v>
      </c>
      <c r="B2009" s="158" t="s">
        <v>762</v>
      </c>
      <c r="C2009" s="158" t="s">
        <v>43</v>
      </c>
      <c r="D2009" s="158" t="s">
        <v>44</v>
      </c>
      <c r="E2009" s="157">
        <v>1.1000000000000001</v>
      </c>
      <c r="F2009" s="158" t="s">
        <v>525</v>
      </c>
      <c r="G2009" s="159">
        <v>9177.68</v>
      </c>
      <c r="H2009" s="159">
        <v>0</v>
      </c>
      <c r="I2009" s="159">
        <v>4876.26</v>
      </c>
      <c r="J2009" s="159">
        <v>53.1</v>
      </c>
      <c r="K2009" t="str">
        <f>VLOOKUP($C2009,Lists!$C$3:$M$118,7,FALSE)</f>
        <v>Beers</v>
      </c>
    </row>
    <row r="2010" spans="1:11" x14ac:dyDescent="0.25">
      <c r="A2010" s="158" t="s">
        <v>761</v>
      </c>
      <c r="B2010" s="158" t="s">
        <v>762</v>
      </c>
      <c r="C2010" s="158" t="s">
        <v>59</v>
      </c>
      <c r="D2010" s="158" t="s">
        <v>60</v>
      </c>
      <c r="E2010" s="157">
        <v>0.65</v>
      </c>
      <c r="F2010" s="158" t="s">
        <v>525</v>
      </c>
      <c r="G2010" s="159">
        <v>2778.54</v>
      </c>
      <c r="H2010" s="159">
        <v>0</v>
      </c>
      <c r="I2010" s="159">
        <v>1253.3499999999999</v>
      </c>
      <c r="J2010" s="159">
        <v>45.1</v>
      </c>
      <c r="K2010" t="str">
        <f>VLOOKUP($C2010,Lists!$C$3:$M$118,7,FALSE)</f>
        <v>COKE_RGB</v>
      </c>
    </row>
    <row r="2011" spans="1:11" x14ac:dyDescent="0.25">
      <c r="A2011" s="158" t="s">
        <v>761</v>
      </c>
      <c r="B2011" s="158" t="s">
        <v>762</v>
      </c>
      <c r="C2011" s="158" t="s">
        <v>22</v>
      </c>
      <c r="D2011" s="158" t="s">
        <v>23</v>
      </c>
      <c r="E2011" s="157">
        <v>3.45</v>
      </c>
      <c r="F2011" s="158" t="s">
        <v>525</v>
      </c>
      <c r="G2011" s="159">
        <v>14747.64</v>
      </c>
      <c r="H2011" s="159">
        <v>0</v>
      </c>
      <c r="I2011" s="159">
        <v>6593.67</v>
      </c>
      <c r="J2011" s="159">
        <v>44.7</v>
      </c>
      <c r="K2011" t="str">
        <f>VLOOKUP($C2011,Lists!$C$3:$M$118,7,FALSE)</f>
        <v>COKE_RGB</v>
      </c>
    </row>
    <row r="2012" spans="1:11" x14ac:dyDescent="0.25">
      <c r="A2012" s="158" t="s">
        <v>761</v>
      </c>
      <c r="B2012" s="158" t="s">
        <v>762</v>
      </c>
      <c r="C2012" s="158" t="s">
        <v>24</v>
      </c>
      <c r="D2012" s="158" t="s">
        <v>25</v>
      </c>
      <c r="E2012" s="157">
        <v>1.8</v>
      </c>
      <c r="F2012" s="158" t="s">
        <v>525</v>
      </c>
      <c r="G2012" s="159">
        <v>12515.03</v>
      </c>
      <c r="H2012" s="159">
        <v>0</v>
      </c>
      <c r="I2012" s="159">
        <v>6506.4</v>
      </c>
      <c r="J2012" s="159">
        <v>52</v>
      </c>
      <c r="K2012" t="str">
        <f>VLOOKUP($C2012,Lists!$C$3:$M$118,7,FALSE)</f>
        <v>Beers</v>
      </c>
    </row>
    <row r="2013" spans="1:11" x14ac:dyDescent="0.25">
      <c r="A2013" s="158" t="s">
        <v>761</v>
      </c>
      <c r="B2013" s="158" t="s">
        <v>762</v>
      </c>
      <c r="C2013" s="158" t="s">
        <v>37</v>
      </c>
      <c r="D2013" s="158" t="s">
        <v>38</v>
      </c>
      <c r="E2013" s="157">
        <v>6.5</v>
      </c>
      <c r="F2013" s="158" t="s">
        <v>525</v>
      </c>
      <c r="G2013" s="159">
        <v>23154.5</v>
      </c>
      <c r="H2013" s="159">
        <v>0</v>
      </c>
      <c r="I2013" s="159">
        <v>11758.76</v>
      </c>
      <c r="J2013" s="159">
        <v>50.8</v>
      </c>
      <c r="K2013" t="str">
        <f>VLOOKUP($C2013,Lists!$C$3:$M$118,7,FALSE)</f>
        <v>SOBO_RGB</v>
      </c>
    </row>
    <row r="2014" spans="1:11" x14ac:dyDescent="0.25">
      <c r="A2014" s="158" t="s">
        <v>761</v>
      </c>
      <c r="B2014" s="158" t="s">
        <v>762</v>
      </c>
      <c r="C2014" s="158" t="s">
        <v>39</v>
      </c>
      <c r="D2014" s="158" t="s">
        <v>40</v>
      </c>
      <c r="E2014" s="157">
        <v>3.3</v>
      </c>
      <c r="F2014" s="158" t="s">
        <v>525</v>
      </c>
      <c r="G2014" s="159">
        <v>11755.36</v>
      </c>
      <c r="H2014" s="159">
        <v>0</v>
      </c>
      <c r="I2014" s="159">
        <v>5924.75</v>
      </c>
      <c r="J2014" s="159">
        <v>50.4</v>
      </c>
      <c r="K2014" t="str">
        <f>VLOOKUP($C2014,Lists!$C$3:$M$118,7,FALSE)</f>
        <v>SOBO_RGB</v>
      </c>
    </row>
    <row r="2015" spans="1:11" x14ac:dyDescent="0.25">
      <c r="A2015" s="158" t="s">
        <v>761</v>
      </c>
      <c r="B2015" s="158" t="s">
        <v>762</v>
      </c>
      <c r="C2015" s="158" t="s">
        <v>88</v>
      </c>
      <c r="D2015" s="158" t="s">
        <v>527</v>
      </c>
      <c r="E2015" s="157">
        <v>0.16667000000000001</v>
      </c>
      <c r="F2015" s="158" t="s">
        <v>525</v>
      </c>
      <c r="G2015" s="159">
        <v>498.72</v>
      </c>
      <c r="H2015" s="159">
        <v>0</v>
      </c>
      <c r="I2015" s="159">
        <v>304.27</v>
      </c>
      <c r="J2015" s="159">
        <v>61</v>
      </c>
      <c r="K2015" t="str">
        <f>VLOOKUP($C2015,Lists!$C$3:$M$118,7,FALSE)</f>
        <v>SOBO_PET</v>
      </c>
    </row>
    <row r="2016" spans="1:11" x14ac:dyDescent="0.25">
      <c r="A2016" s="158" t="s">
        <v>761</v>
      </c>
      <c r="B2016" s="158" t="s">
        <v>762</v>
      </c>
      <c r="C2016" s="158" t="s">
        <v>45</v>
      </c>
      <c r="D2016" s="158" t="s">
        <v>46</v>
      </c>
      <c r="E2016" s="157">
        <v>0.95</v>
      </c>
      <c r="F2016" s="158" t="s">
        <v>525</v>
      </c>
      <c r="G2016" s="159">
        <v>4060.94</v>
      </c>
      <c r="H2016" s="159">
        <v>0</v>
      </c>
      <c r="I2016" s="159">
        <v>2152.81</v>
      </c>
      <c r="J2016" s="159">
        <v>53</v>
      </c>
      <c r="K2016" t="str">
        <f>VLOOKUP($C2016,Lists!$C$3:$M$118,7,FALSE)</f>
        <v>SOBO_RGB</v>
      </c>
    </row>
    <row r="2017" spans="1:11" x14ac:dyDescent="0.25">
      <c r="A2017" s="158" t="s">
        <v>761</v>
      </c>
      <c r="B2017" s="158" t="s">
        <v>762</v>
      </c>
      <c r="C2017" s="158" t="s">
        <v>47</v>
      </c>
      <c r="D2017" s="158" t="s">
        <v>48</v>
      </c>
      <c r="E2017" s="157">
        <v>1.1499999999999999</v>
      </c>
      <c r="F2017" s="158" t="s">
        <v>525</v>
      </c>
      <c r="G2017" s="159">
        <v>4915.88</v>
      </c>
      <c r="H2017" s="159">
        <v>0</v>
      </c>
      <c r="I2017" s="159">
        <v>2350.5700000000002</v>
      </c>
      <c r="J2017" s="159">
        <v>47.8</v>
      </c>
      <c r="K2017" t="str">
        <f>VLOOKUP($C2017,Lists!$C$3:$M$118,7,FALSE)</f>
        <v>COKE_RGB</v>
      </c>
    </row>
    <row r="2018" spans="1:11" x14ac:dyDescent="0.25">
      <c r="A2018" s="158" t="s">
        <v>761</v>
      </c>
      <c r="B2018" s="158" t="s">
        <v>762</v>
      </c>
      <c r="C2018" s="158" t="s">
        <v>49</v>
      </c>
      <c r="D2018" s="158" t="s">
        <v>50</v>
      </c>
      <c r="E2018" s="157">
        <v>1</v>
      </c>
      <c r="F2018" s="158" t="s">
        <v>525</v>
      </c>
      <c r="G2018" s="159">
        <v>10729.3</v>
      </c>
      <c r="H2018" s="159">
        <v>0</v>
      </c>
      <c r="I2018" s="159">
        <v>3895.64</v>
      </c>
      <c r="J2018" s="159">
        <v>36.299999999999997</v>
      </c>
      <c r="K2018" t="str">
        <f>VLOOKUP($C2018,Lists!$C$3:$M$118,7,FALSE)</f>
        <v>Squash</v>
      </c>
    </row>
    <row r="2019" spans="1:11" x14ac:dyDescent="0.25">
      <c r="A2019" s="158" t="s">
        <v>761</v>
      </c>
      <c r="B2019" s="158" t="s">
        <v>762</v>
      </c>
      <c r="C2019" s="158" t="s">
        <v>51</v>
      </c>
      <c r="D2019" s="158" t="s">
        <v>52</v>
      </c>
      <c r="E2019" s="157">
        <v>2</v>
      </c>
      <c r="F2019" s="158" t="s">
        <v>525</v>
      </c>
      <c r="G2019" s="159">
        <v>21458.6</v>
      </c>
      <c r="H2019" s="159">
        <v>0</v>
      </c>
      <c r="I2019" s="159">
        <v>7737.9</v>
      </c>
      <c r="J2019" s="159">
        <v>36.1</v>
      </c>
      <c r="K2019" t="str">
        <f>VLOOKUP($C2019,Lists!$C$3:$M$118,7,FALSE)</f>
        <v>Squash</v>
      </c>
    </row>
    <row r="2020" spans="1:11" x14ac:dyDescent="0.25">
      <c r="A2020" s="158" t="s">
        <v>763</v>
      </c>
      <c r="B2020" s="158" t="s">
        <v>764</v>
      </c>
      <c r="C2020" s="158" t="s">
        <v>12</v>
      </c>
      <c r="D2020" s="158" t="s">
        <v>13</v>
      </c>
      <c r="E2020" s="157">
        <v>0.5</v>
      </c>
      <c r="F2020" s="158" t="s">
        <v>525</v>
      </c>
      <c r="G2020" s="159">
        <v>3476.4</v>
      </c>
      <c r="H2020" s="159">
        <v>0</v>
      </c>
      <c r="I2020" s="159">
        <v>1664.27</v>
      </c>
      <c r="J2020" s="159">
        <v>47.9</v>
      </c>
      <c r="K2020" t="str">
        <f>VLOOKUP($C2020,Lists!$C$3:$M$118,7,FALSE)</f>
        <v>Beers</v>
      </c>
    </row>
    <row r="2021" spans="1:11" x14ac:dyDescent="0.25">
      <c r="A2021" s="158" t="s">
        <v>763</v>
      </c>
      <c r="B2021" s="158" t="s">
        <v>764</v>
      </c>
      <c r="C2021" s="158" t="s">
        <v>16</v>
      </c>
      <c r="D2021" s="158" t="s">
        <v>17</v>
      </c>
      <c r="E2021" s="157">
        <v>2.1</v>
      </c>
      <c r="F2021" s="158" t="s">
        <v>525</v>
      </c>
      <c r="G2021" s="159">
        <v>17521.04</v>
      </c>
      <c r="H2021" s="159">
        <v>0</v>
      </c>
      <c r="I2021" s="159">
        <v>9309.24</v>
      </c>
      <c r="J2021" s="159">
        <v>53.1</v>
      </c>
      <c r="K2021" t="str">
        <f>VLOOKUP($C2021,Lists!$C$3:$M$118,7,FALSE)</f>
        <v>Beers</v>
      </c>
    </row>
    <row r="2022" spans="1:11" x14ac:dyDescent="0.25">
      <c r="A2022" s="158" t="s">
        <v>765</v>
      </c>
      <c r="B2022" s="158" t="s">
        <v>766</v>
      </c>
      <c r="C2022" s="158" t="s">
        <v>12</v>
      </c>
      <c r="D2022" s="158" t="s">
        <v>13</v>
      </c>
      <c r="E2022" s="157">
        <v>1</v>
      </c>
      <c r="F2022" s="158" t="s">
        <v>525</v>
      </c>
      <c r="G2022" s="159">
        <v>6952.79</v>
      </c>
      <c r="H2022" s="159">
        <v>0</v>
      </c>
      <c r="I2022" s="159">
        <v>3328.54</v>
      </c>
      <c r="J2022" s="159">
        <v>47.9</v>
      </c>
      <c r="K2022" t="str">
        <f>VLOOKUP($C2022,Lists!$C$3:$M$118,7,FALSE)</f>
        <v>Beers</v>
      </c>
    </row>
    <row r="2023" spans="1:11" x14ac:dyDescent="0.25">
      <c r="A2023" s="158" t="s">
        <v>765</v>
      </c>
      <c r="B2023" s="158" t="s">
        <v>766</v>
      </c>
      <c r="C2023" s="158" t="s">
        <v>16</v>
      </c>
      <c r="D2023" s="158" t="s">
        <v>17</v>
      </c>
      <c r="E2023" s="157">
        <v>1.65</v>
      </c>
      <c r="F2023" s="158" t="s">
        <v>525</v>
      </c>
      <c r="G2023" s="159">
        <v>13766.53</v>
      </c>
      <c r="H2023" s="159">
        <v>0</v>
      </c>
      <c r="I2023" s="159">
        <v>7314.4</v>
      </c>
      <c r="J2023" s="159">
        <v>53.1</v>
      </c>
      <c r="K2023" t="str">
        <f>VLOOKUP($C2023,Lists!$C$3:$M$118,7,FALSE)</f>
        <v>Beers</v>
      </c>
    </row>
    <row r="2024" spans="1:11" x14ac:dyDescent="0.25">
      <c r="A2024" s="158" t="s">
        <v>765</v>
      </c>
      <c r="B2024" s="158" t="s">
        <v>766</v>
      </c>
      <c r="C2024" s="158" t="s">
        <v>24</v>
      </c>
      <c r="D2024" s="158" t="s">
        <v>25</v>
      </c>
      <c r="E2024" s="157">
        <v>1.9</v>
      </c>
      <c r="F2024" s="158" t="s">
        <v>525</v>
      </c>
      <c r="G2024" s="159">
        <v>13210.3</v>
      </c>
      <c r="H2024" s="159">
        <v>0</v>
      </c>
      <c r="I2024" s="159">
        <v>6867.85</v>
      </c>
      <c r="J2024" s="159">
        <v>52</v>
      </c>
      <c r="K2024" t="str">
        <f>VLOOKUP($C2024,Lists!$C$3:$M$118,7,FALSE)</f>
        <v>Beers</v>
      </c>
    </row>
    <row r="2025" spans="1:11" x14ac:dyDescent="0.25">
      <c r="A2025" s="158" t="s">
        <v>765</v>
      </c>
      <c r="B2025" s="158" t="s">
        <v>766</v>
      </c>
      <c r="C2025" s="158" t="s">
        <v>45</v>
      </c>
      <c r="D2025" s="158" t="s">
        <v>46</v>
      </c>
      <c r="E2025" s="157">
        <v>1.9</v>
      </c>
      <c r="F2025" s="158" t="s">
        <v>525</v>
      </c>
      <c r="G2025" s="159">
        <v>8121.89</v>
      </c>
      <c r="H2025" s="159">
        <v>0</v>
      </c>
      <c r="I2025" s="159">
        <v>4305.63</v>
      </c>
      <c r="J2025" s="159">
        <v>53</v>
      </c>
      <c r="K2025" t="str">
        <f>VLOOKUP($C2025,Lists!$C$3:$M$118,7,FALSE)</f>
        <v>SOBO_RGB</v>
      </c>
    </row>
    <row r="2026" spans="1:11" x14ac:dyDescent="0.25">
      <c r="A2026" s="158" t="s">
        <v>767</v>
      </c>
      <c r="B2026" s="158" t="s">
        <v>768</v>
      </c>
      <c r="C2026" s="158" t="s">
        <v>12</v>
      </c>
      <c r="D2026" s="158" t="s">
        <v>13</v>
      </c>
      <c r="E2026" s="157">
        <v>0.55000000000000004</v>
      </c>
      <c r="F2026" s="158" t="s">
        <v>525</v>
      </c>
      <c r="G2026" s="159">
        <v>3824.04</v>
      </c>
      <c r="H2026" s="159">
        <v>0</v>
      </c>
      <c r="I2026" s="159">
        <v>1830.7</v>
      </c>
      <c r="J2026" s="159">
        <v>47.9</v>
      </c>
      <c r="K2026" t="str">
        <f>VLOOKUP($C2026,Lists!$C$3:$M$118,7,FALSE)</f>
        <v>Beers</v>
      </c>
    </row>
    <row r="2027" spans="1:11" x14ac:dyDescent="0.25">
      <c r="A2027" s="158" t="s">
        <v>767</v>
      </c>
      <c r="B2027" s="158" t="s">
        <v>768</v>
      </c>
      <c r="C2027" s="158" t="s">
        <v>14</v>
      </c>
      <c r="D2027" s="158" t="s">
        <v>15</v>
      </c>
      <c r="E2027" s="157">
        <v>0.2</v>
      </c>
      <c r="F2027" s="158" t="s">
        <v>525</v>
      </c>
      <c r="G2027" s="159">
        <v>1668.67</v>
      </c>
      <c r="H2027" s="159">
        <v>0</v>
      </c>
      <c r="I2027" s="159">
        <v>886.59</v>
      </c>
      <c r="J2027" s="159">
        <v>53.1</v>
      </c>
      <c r="K2027" t="str">
        <f>VLOOKUP($C2027,Lists!$C$3:$M$118,7,FALSE)</f>
        <v>Beers</v>
      </c>
    </row>
    <row r="2028" spans="1:11" x14ac:dyDescent="0.25">
      <c r="A2028" s="158" t="s">
        <v>767</v>
      </c>
      <c r="B2028" s="158" t="s">
        <v>768</v>
      </c>
      <c r="C2028" s="158" t="s">
        <v>16</v>
      </c>
      <c r="D2028" s="158" t="s">
        <v>17</v>
      </c>
      <c r="E2028" s="157">
        <v>0.25</v>
      </c>
      <c r="F2028" s="158" t="s">
        <v>525</v>
      </c>
      <c r="G2028" s="159">
        <v>2085.84</v>
      </c>
      <c r="H2028" s="159">
        <v>0</v>
      </c>
      <c r="I2028" s="159">
        <v>1108.24</v>
      </c>
      <c r="J2028" s="159">
        <v>53.1</v>
      </c>
      <c r="K2028" t="str">
        <f>VLOOKUP($C2028,Lists!$C$3:$M$118,7,FALSE)</f>
        <v>Beers</v>
      </c>
    </row>
    <row r="2029" spans="1:11" x14ac:dyDescent="0.25">
      <c r="A2029" s="158" t="s">
        <v>767</v>
      </c>
      <c r="B2029" s="158" t="s">
        <v>768</v>
      </c>
      <c r="C2029" s="158" t="s">
        <v>20</v>
      </c>
      <c r="D2029" s="158" t="s">
        <v>21</v>
      </c>
      <c r="E2029" s="157">
        <v>0.35</v>
      </c>
      <c r="F2029" s="158" t="s">
        <v>525</v>
      </c>
      <c r="G2029" s="159">
        <v>1496.14</v>
      </c>
      <c r="H2029" s="159">
        <v>0</v>
      </c>
      <c r="I2029" s="159">
        <v>692.99</v>
      </c>
      <c r="J2029" s="159">
        <v>46.3</v>
      </c>
      <c r="K2029" t="str">
        <f>VLOOKUP($C2029,Lists!$C$3:$M$118,7,FALSE)</f>
        <v>COKE_RGB</v>
      </c>
    </row>
    <row r="2030" spans="1:11" x14ac:dyDescent="0.25">
      <c r="A2030" s="158" t="s">
        <v>767</v>
      </c>
      <c r="B2030" s="158" t="s">
        <v>768</v>
      </c>
      <c r="C2030" s="158" t="s">
        <v>22</v>
      </c>
      <c r="D2030" s="158" t="s">
        <v>23</v>
      </c>
      <c r="E2030" s="157">
        <v>0.15</v>
      </c>
      <c r="F2030" s="158" t="s">
        <v>525</v>
      </c>
      <c r="G2030" s="159">
        <v>641.20000000000005</v>
      </c>
      <c r="H2030" s="159">
        <v>0</v>
      </c>
      <c r="I2030" s="159">
        <v>286.68</v>
      </c>
      <c r="J2030" s="159">
        <v>44.7</v>
      </c>
      <c r="K2030" t="str">
        <f>VLOOKUP($C2030,Lists!$C$3:$M$118,7,FALSE)</f>
        <v>COKE_RGB</v>
      </c>
    </row>
    <row r="2031" spans="1:11" x14ac:dyDescent="0.25">
      <c r="A2031" s="158" t="s">
        <v>767</v>
      </c>
      <c r="B2031" s="158" t="s">
        <v>768</v>
      </c>
      <c r="C2031" s="158" t="s">
        <v>261</v>
      </c>
      <c r="D2031" s="158" t="s">
        <v>538</v>
      </c>
      <c r="E2031" s="157">
        <v>0.05</v>
      </c>
      <c r="F2031" s="158" t="s">
        <v>525</v>
      </c>
      <c r="G2031" s="159">
        <v>213.73</v>
      </c>
      <c r="H2031" s="159">
        <v>0</v>
      </c>
      <c r="I2031" s="159">
        <v>95.56</v>
      </c>
      <c r="J2031" s="159">
        <v>44.7</v>
      </c>
      <c r="K2031" t="str">
        <f>VLOOKUP($C2031,Lists!$C$3:$M$118,7,FALSE)</f>
        <v>COKE_RGB</v>
      </c>
    </row>
    <row r="2032" spans="1:11" x14ac:dyDescent="0.25">
      <c r="A2032" s="158" t="s">
        <v>767</v>
      </c>
      <c r="B2032" s="158" t="s">
        <v>768</v>
      </c>
      <c r="C2032" s="158" t="s">
        <v>24</v>
      </c>
      <c r="D2032" s="158" t="s">
        <v>25</v>
      </c>
      <c r="E2032" s="157">
        <v>0.05</v>
      </c>
      <c r="F2032" s="158" t="s">
        <v>525</v>
      </c>
      <c r="G2032" s="159">
        <v>347.64</v>
      </c>
      <c r="H2032" s="159">
        <v>0</v>
      </c>
      <c r="I2032" s="159">
        <v>180.73</v>
      </c>
      <c r="J2032" s="159">
        <v>52</v>
      </c>
      <c r="K2032" t="str">
        <f>VLOOKUP($C2032,Lists!$C$3:$M$118,7,FALSE)</f>
        <v>Beers</v>
      </c>
    </row>
    <row r="2033" spans="1:11" x14ac:dyDescent="0.25">
      <c r="A2033" s="158" t="s">
        <v>767</v>
      </c>
      <c r="B2033" s="158" t="s">
        <v>768</v>
      </c>
      <c r="C2033" s="158" t="s">
        <v>37</v>
      </c>
      <c r="D2033" s="158" t="s">
        <v>38</v>
      </c>
      <c r="E2033" s="157">
        <v>0.3</v>
      </c>
      <c r="F2033" s="158" t="s">
        <v>525</v>
      </c>
      <c r="G2033" s="159">
        <v>1068.67</v>
      </c>
      <c r="H2033" s="159">
        <v>0</v>
      </c>
      <c r="I2033" s="159">
        <v>542.71</v>
      </c>
      <c r="J2033" s="159">
        <v>50.8</v>
      </c>
      <c r="K2033" t="str">
        <f>VLOOKUP($C2033,Lists!$C$3:$M$118,7,FALSE)</f>
        <v>SOBO_RGB</v>
      </c>
    </row>
    <row r="2034" spans="1:11" x14ac:dyDescent="0.25">
      <c r="A2034" s="158" t="s">
        <v>767</v>
      </c>
      <c r="B2034" s="158" t="s">
        <v>768</v>
      </c>
      <c r="C2034" s="158" t="s">
        <v>39</v>
      </c>
      <c r="D2034" s="158" t="s">
        <v>40</v>
      </c>
      <c r="E2034" s="157">
        <v>0.15</v>
      </c>
      <c r="F2034" s="158" t="s">
        <v>525</v>
      </c>
      <c r="G2034" s="159">
        <v>534.33000000000004</v>
      </c>
      <c r="H2034" s="159">
        <v>0</v>
      </c>
      <c r="I2034" s="159">
        <v>269.3</v>
      </c>
      <c r="J2034" s="159">
        <v>50.4</v>
      </c>
      <c r="K2034" t="str">
        <f>VLOOKUP($C2034,Lists!$C$3:$M$118,7,FALSE)</f>
        <v>SOBO_RGB</v>
      </c>
    </row>
    <row r="2035" spans="1:11" x14ac:dyDescent="0.25">
      <c r="A2035" s="158" t="s">
        <v>767</v>
      </c>
      <c r="B2035" s="158" t="s">
        <v>768</v>
      </c>
      <c r="C2035" s="158" t="s">
        <v>47</v>
      </c>
      <c r="D2035" s="158" t="s">
        <v>48</v>
      </c>
      <c r="E2035" s="157">
        <v>0.1</v>
      </c>
      <c r="F2035" s="158" t="s">
        <v>525</v>
      </c>
      <c r="G2035" s="159">
        <v>427.47</v>
      </c>
      <c r="H2035" s="159">
        <v>0</v>
      </c>
      <c r="I2035" s="159">
        <v>204.4</v>
      </c>
      <c r="J2035" s="159">
        <v>47.8</v>
      </c>
      <c r="K2035" t="str">
        <f>VLOOKUP($C2035,Lists!$C$3:$M$118,7,FALSE)</f>
        <v>COKE_RGB</v>
      </c>
    </row>
    <row r="2036" spans="1:11" x14ac:dyDescent="0.25">
      <c r="A2036" s="158" t="s">
        <v>769</v>
      </c>
      <c r="B2036" s="158" t="s">
        <v>770</v>
      </c>
      <c r="C2036" s="158" t="s">
        <v>56</v>
      </c>
      <c r="D2036" s="158" t="s">
        <v>57</v>
      </c>
      <c r="E2036" s="157">
        <v>0.16667000000000001</v>
      </c>
      <c r="F2036" s="158" t="s">
        <v>525</v>
      </c>
      <c r="G2036" s="159">
        <v>1390.59</v>
      </c>
      <c r="H2036" s="159">
        <v>0</v>
      </c>
      <c r="I2036" s="159">
        <v>778.95</v>
      </c>
      <c r="J2036" s="159">
        <v>56</v>
      </c>
      <c r="K2036" t="str">
        <f>VLOOKUP($C2036,Lists!$C$3:$M$118,7,FALSE)</f>
        <v>Beers</v>
      </c>
    </row>
    <row r="2037" spans="1:11" x14ac:dyDescent="0.25">
      <c r="A2037" s="158" t="s">
        <v>771</v>
      </c>
      <c r="B2037" s="158" t="s">
        <v>772</v>
      </c>
      <c r="C2037" s="158" t="s">
        <v>12</v>
      </c>
      <c r="D2037" s="158" t="s">
        <v>13</v>
      </c>
      <c r="E2037" s="157">
        <v>0.45</v>
      </c>
      <c r="F2037" s="158" t="s">
        <v>525</v>
      </c>
      <c r="G2037" s="159">
        <v>3128.76</v>
      </c>
      <c r="H2037" s="159">
        <v>0</v>
      </c>
      <c r="I2037" s="159">
        <v>1497.85</v>
      </c>
      <c r="J2037" s="159">
        <v>47.9</v>
      </c>
      <c r="K2037" t="str">
        <f>VLOOKUP($C2037,Lists!$C$3:$M$118,7,FALSE)</f>
        <v>Beers</v>
      </c>
    </row>
    <row r="2038" spans="1:11" x14ac:dyDescent="0.25">
      <c r="A2038" s="158" t="s">
        <v>771</v>
      </c>
      <c r="B2038" s="158" t="s">
        <v>772</v>
      </c>
      <c r="C2038" s="158" t="s">
        <v>22</v>
      </c>
      <c r="D2038" s="158" t="s">
        <v>23</v>
      </c>
      <c r="E2038" s="157">
        <v>0.15</v>
      </c>
      <c r="F2038" s="158" t="s">
        <v>525</v>
      </c>
      <c r="G2038" s="159">
        <v>641.20000000000005</v>
      </c>
      <c r="H2038" s="159">
        <v>0</v>
      </c>
      <c r="I2038" s="159">
        <v>286.68</v>
      </c>
      <c r="J2038" s="159">
        <v>44.7</v>
      </c>
      <c r="K2038" t="str">
        <f>VLOOKUP($C2038,Lists!$C$3:$M$118,7,FALSE)</f>
        <v>COKE_RGB</v>
      </c>
    </row>
    <row r="2039" spans="1:11" x14ac:dyDescent="0.25">
      <c r="A2039" s="158" t="s">
        <v>773</v>
      </c>
      <c r="B2039" s="158" t="s">
        <v>774</v>
      </c>
      <c r="C2039" s="158" t="s">
        <v>12</v>
      </c>
      <c r="D2039" s="158" t="s">
        <v>13</v>
      </c>
      <c r="E2039" s="157">
        <v>0.4</v>
      </c>
      <c r="F2039" s="158" t="s">
        <v>525</v>
      </c>
      <c r="G2039" s="159">
        <v>2781.12</v>
      </c>
      <c r="H2039" s="159">
        <v>0</v>
      </c>
      <c r="I2039" s="159">
        <v>1331.42</v>
      </c>
      <c r="J2039" s="159">
        <v>47.9</v>
      </c>
      <c r="K2039" t="str">
        <f>VLOOKUP($C2039,Lists!$C$3:$M$118,7,FALSE)</f>
        <v>Beers</v>
      </c>
    </row>
    <row r="2040" spans="1:11" x14ac:dyDescent="0.25">
      <c r="A2040" s="158" t="s">
        <v>773</v>
      </c>
      <c r="B2040" s="158" t="s">
        <v>774</v>
      </c>
      <c r="C2040" s="158" t="s">
        <v>16</v>
      </c>
      <c r="D2040" s="158" t="s">
        <v>17</v>
      </c>
      <c r="E2040" s="157">
        <v>0.3</v>
      </c>
      <c r="F2040" s="158" t="s">
        <v>525</v>
      </c>
      <c r="G2040" s="159">
        <v>2503.0100000000002</v>
      </c>
      <c r="H2040" s="159">
        <v>0</v>
      </c>
      <c r="I2040" s="159">
        <v>1329.89</v>
      </c>
      <c r="J2040" s="159">
        <v>53.1</v>
      </c>
      <c r="K2040" t="str">
        <f>VLOOKUP($C2040,Lists!$C$3:$M$118,7,FALSE)</f>
        <v>Beers</v>
      </c>
    </row>
    <row r="2041" spans="1:11" x14ac:dyDescent="0.25">
      <c r="A2041" s="158" t="s">
        <v>773</v>
      </c>
      <c r="B2041" s="158" t="s">
        <v>774</v>
      </c>
      <c r="C2041" s="158" t="s">
        <v>20</v>
      </c>
      <c r="D2041" s="158" t="s">
        <v>21</v>
      </c>
      <c r="E2041" s="157">
        <v>0.25</v>
      </c>
      <c r="F2041" s="158" t="s">
        <v>525</v>
      </c>
      <c r="G2041" s="159">
        <v>1068.67</v>
      </c>
      <c r="H2041" s="159">
        <v>0</v>
      </c>
      <c r="I2041" s="159">
        <v>494.99</v>
      </c>
      <c r="J2041" s="159">
        <v>46.3</v>
      </c>
      <c r="K2041" t="str">
        <f>VLOOKUP($C2041,Lists!$C$3:$M$118,7,FALSE)</f>
        <v>COKE_RGB</v>
      </c>
    </row>
    <row r="2042" spans="1:11" x14ac:dyDescent="0.25">
      <c r="A2042" s="158" t="s">
        <v>773</v>
      </c>
      <c r="B2042" s="158" t="s">
        <v>774</v>
      </c>
      <c r="C2042" s="158" t="s">
        <v>59</v>
      </c>
      <c r="D2042" s="158" t="s">
        <v>60</v>
      </c>
      <c r="E2042" s="157">
        <v>0.35</v>
      </c>
      <c r="F2042" s="158" t="s">
        <v>525</v>
      </c>
      <c r="G2042" s="159">
        <v>1496.14</v>
      </c>
      <c r="H2042" s="159">
        <v>0</v>
      </c>
      <c r="I2042" s="159">
        <v>674.88</v>
      </c>
      <c r="J2042" s="159">
        <v>45.1</v>
      </c>
      <c r="K2042" t="str">
        <f>VLOOKUP($C2042,Lists!$C$3:$M$118,7,FALSE)</f>
        <v>COKE_RGB</v>
      </c>
    </row>
    <row r="2043" spans="1:11" x14ac:dyDescent="0.25">
      <c r="A2043" s="158" t="s">
        <v>773</v>
      </c>
      <c r="B2043" s="158" t="s">
        <v>774</v>
      </c>
      <c r="C2043" s="158" t="s">
        <v>22</v>
      </c>
      <c r="D2043" s="158" t="s">
        <v>23</v>
      </c>
      <c r="E2043" s="157">
        <v>0.95</v>
      </c>
      <c r="F2043" s="158" t="s">
        <v>525</v>
      </c>
      <c r="G2043" s="159">
        <v>4060.94</v>
      </c>
      <c r="H2043" s="159">
        <v>0</v>
      </c>
      <c r="I2043" s="159">
        <v>1815.64</v>
      </c>
      <c r="J2043" s="159">
        <v>44.7</v>
      </c>
      <c r="K2043" t="str">
        <f>VLOOKUP($C2043,Lists!$C$3:$M$118,7,FALSE)</f>
        <v>COKE_RGB</v>
      </c>
    </row>
    <row r="2044" spans="1:11" x14ac:dyDescent="0.25">
      <c r="A2044" s="158" t="s">
        <v>773</v>
      </c>
      <c r="B2044" s="158" t="s">
        <v>774</v>
      </c>
      <c r="C2044" s="158" t="s">
        <v>24</v>
      </c>
      <c r="D2044" s="158" t="s">
        <v>25</v>
      </c>
      <c r="E2044" s="157">
        <v>0.3</v>
      </c>
      <c r="F2044" s="158" t="s">
        <v>525</v>
      </c>
      <c r="G2044" s="159">
        <v>2085.84</v>
      </c>
      <c r="H2044" s="159">
        <v>0</v>
      </c>
      <c r="I2044" s="159">
        <v>1084.4000000000001</v>
      </c>
      <c r="J2044" s="159">
        <v>52</v>
      </c>
      <c r="K2044" t="str">
        <f>VLOOKUP($C2044,Lists!$C$3:$M$118,7,FALSE)</f>
        <v>Beers</v>
      </c>
    </row>
    <row r="2045" spans="1:11" x14ac:dyDescent="0.25">
      <c r="A2045" s="158" t="s">
        <v>773</v>
      </c>
      <c r="B2045" s="158" t="s">
        <v>774</v>
      </c>
      <c r="C2045" s="158" t="s">
        <v>37</v>
      </c>
      <c r="D2045" s="158" t="s">
        <v>38</v>
      </c>
      <c r="E2045" s="157">
        <v>0.25</v>
      </c>
      <c r="F2045" s="158" t="s">
        <v>525</v>
      </c>
      <c r="G2045" s="159">
        <v>890.56</v>
      </c>
      <c r="H2045" s="159">
        <v>0</v>
      </c>
      <c r="I2045" s="159">
        <v>452.26</v>
      </c>
      <c r="J2045" s="159">
        <v>50.8</v>
      </c>
      <c r="K2045" t="str">
        <f>VLOOKUP($C2045,Lists!$C$3:$M$118,7,FALSE)</f>
        <v>SOBO_RGB</v>
      </c>
    </row>
    <row r="2046" spans="1:11" x14ac:dyDescent="0.25">
      <c r="A2046" s="158" t="s">
        <v>773</v>
      </c>
      <c r="B2046" s="158" t="s">
        <v>774</v>
      </c>
      <c r="C2046" s="158" t="s">
        <v>39</v>
      </c>
      <c r="D2046" s="158" t="s">
        <v>40</v>
      </c>
      <c r="E2046" s="157">
        <v>0.25</v>
      </c>
      <c r="F2046" s="158" t="s">
        <v>525</v>
      </c>
      <c r="G2046" s="159">
        <v>890.56</v>
      </c>
      <c r="H2046" s="159">
        <v>0</v>
      </c>
      <c r="I2046" s="159">
        <v>448.85</v>
      </c>
      <c r="J2046" s="159">
        <v>50.4</v>
      </c>
      <c r="K2046" t="str">
        <f>VLOOKUP($C2046,Lists!$C$3:$M$118,7,FALSE)</f>
        <v>SOBO_RGB</v>
      </c>
    </row>
    <row r="2047" spans="1:11" x14ac:dyDescent="0.25">
      <c r="A2047" s="158" t="s">
        <v>773</v>
      </c>
      <c r="B2047" s="158" t="s">
        <v>774</v>
      </c>
      <c r="C2047" s="158" t="s">
        <v>45</v>
      </c>
      <c r="D2047" s="158" t="s">
        <v>46</v>
      </c>
      <c r="E2047" s="157">
        <v>0.1</v>
      </c>
      <c r="F2047" s="158" t="s">
        <v>525</v>
      </c>
      <c r="G2047" s="159">
        <v>427.47</v>
      </c>
      <c r="H2047" s="159">
        <v>0</v>
      </c>
      <c r="I2047" s="159">
        <v>226.61</v>
      </c>
      <c r="J2047" s="159">
        <v>53</v>
      </c>
      <c r="K2047" t="str">
        <f>VLOOKUP($C2047,Lists!$C$3:$M$118,7,FALSE)</f>
        <v>SOBO_RGB</v>
      </c>
    </row>
    <row r="2048" spans="1:11" x14ac:dyDescent="0.25">
      <c r="A2048" s="158" t="s">
        <v>773</v>
      </c>
      <c r="B2048" s="158" t="s">
        <v>774</v>
      </c>
      <c r="C2048" s="158" t="s">
        <v>47</v>
      </c>
      <c r="D2048" s="158" t="s">
        <v>48</v>
      </c>
      <c r="E2048" s="157">
        <v>0.2</v>
      </c>
      <c r="F2048" s="158" t="s">
        <v>525</v>
      </c>
      <c r="G2048" s="159">
        <v>854.94</v>
      </c>
      <c r="H2048" s="159">
        <v>0</v>
      </c>
      <c r="I2048" s="159">
        <v>408.8</v>
      </c>
      <c r="J2048" s="159">
        <v>47.8</v>
      </c>
      <c r="K2048" t="str">
        <f>VLOOKUP($C2048,Lists!$C$3:$M$118,7,FALSE)</f>
        <v>COKE_RGB</v>
      </c>
    </row>
    <row r="2049" spans="1:11" x14ac:dyDescent="0.25">
      <c r="A2049" s="158" t="s">
        <v>773</v>
      </c>
      <c r="B2049" s="158" t="s">
        <v>774</v>
      </c>
      <c r="C2049" s="158" t="s">
        <v>362</v>
      </c>
      <c r="D2049" s="158" t="s">
        <v>363</v>
      </c>
      <c r="E2049" s="157">
        <v>143</v>
      </c>
      <c r="F2049" s="158" t="s">
        <v>525</v>
      </c>
      <c r="G2049" s="159">
        <v>383558.89</v>
      </c>
      <c r="H2049" s="159">
        <v>386241.12</v>
      </c>
      <c r="I2049" s="159">
        <v>-193454.69</v>
      </c>
      <c r="J2049" s="159">
        <v>-50.4</v>
      </c>
      <c r="K2049" t="str">
        <f>VLOOKUP($C2049,Lists!$C$3:$M$118,7,FALSE)</f>
        <v>Squash</v>
      </c>
    </row>
    <row r="2050" spans="1:11" x14ac:dyDescent="0.25">
      <c r="A2050" s="158" t="s">
        <v>773</v>
      </c>
      <c r="B2050" s="158" t="s">
        <v>774</v>
      </c>
      <c r="C2050" s="158" t="s">
        <v>282</v>
      </c>
      <c r="D2050" s="158" t="s">
        <v>775</v>
      </c>
      <c r="E2050" s="157">
        <v>1277</v>
      </c>
      <c r="F2050" s="158" t="s">
        <v>525</v>
      </c>
      <c r="G2050" s="159">
        <v>1637624.8</v>
      </c>
      <c r="H2050" s="159">
        <v>0</v>
      </c>
      <c r="I2050" s="159">
        <v>219197.05</v>
      </c>
      <c r="J2050" s="159">
        <v>13.4</v>
      </c>
      <c r="K2050" t="str">
        <f>VLOOKUP($C2050,Lists!$C$3:$M$118,7,FALSE)</f>
        <v>SOBO_PET</v>
      </c>
    </row>
    <row r="2051" spans="1:11" x14ac:dyDescent="0.25">
      <c r="A2051" s="158" t="s">
        <v>776</v>
      </c>
      <c r="B2051" s="158" t="s">
        <v>777</v>
      </c>
      <c r="C2051" s="158" t="s">
        <v>12</v>
      </c>
      <c r="D2051" s="158" t="s">
        <v>13</v>
      </c>
      <c r="E2051" s="157">
        <v>0.1</v>
      </c>
      <c r="F2051" s="158" t="s">
        <v>525</v>
      </c>
      <c r="G2051" s="159">
        <v>695.28</v>
      </c>
      <c r="H2051" s="159">
        <v>0</v>
      </c>
      <c r="I2051" s="159">
        <v>332.86</v>
      </c>
      <c r="J2051" s="159">
        <v>47.9</v>
      </c>
      <c r="K2051" t="str">
        <f>VLOOKUP($C2051,Lists!$C$3:$M$118,7,FALSE)</f>
        <v>Beers</v>
      </c>
    </row>
    <row r="2052" spans="1:11" x14ac:dyDescent="0.25">
      <c r="A2052" s="158" t="s">
        <v>776</v>
      </c>
      <c r="B2052" s="158" t="s">
        <v>777</v>
      </c>
      <c r="C2052" s="158" t="s">
        <v>16</v>
      </c>
      <c r="D2052" s="158" t="s">
        <v>17</v>
      </c>
      <c r="E2052" s="157">
        <v>0.2</v>
      </c>
      <c r="F2052" s="158" t="s">
        <v>525</v>
      </c>
      <c r="G2052" s="159">
        <v>1668.67</v>
      </c>
      <c r="H2052" s="159">
        <v>0</v>
      </c>
      <c r="I2052" s="159">
        <v>886.59</v>
      </c>
      <c r="J2052" s="159">
        <v>53.1</v>
      </c>
      <c r="K2052" t="str">
        <f>VLOOKUP($C2052,Lists!$C$3:$M$118,7,FALSE)</f>
        <v>Beers</v>
      </c>
    </row>
    <row r="2053" spans="1:11" x14ac:dyDescent="0.25">
      <c r="A2053" s="158" t="s">
        <v>776</v>
      </c>
      <c r="B2053" s="158" t="s">
        <v>777</v>
      </c>
      <c r="C2053" s="158" t="s">
        <v>56</v>
      </c>
      <c r="D2053" s="158" t="s">
        <v>57</v>
      </c>
      <c r="E2053" s="157">
        <v>8.3330000000000001E-2</v>
      </c>
      <c r="F2053" s="158" t="s">
        <v>525</v>
      </c>
      <c r="G2053" s="159">
        <v>695.25</v>
      </c>
      <c r="H2053" s="159">
        <v>0</v>
      </c>
      <c r="I2053" s="159">
        <v>389.45</v>
      </c>
      <c r="J2053" s="159">
        <v>56</v>
      </c>
      <c r="K2053" t="str">
        <f>VLOOKUP($C2053,Lists!$C$3:$M$118,7,FALSE)</f>
        <v>Beers</v>
      </c>
    </row>
    <row r="2054" spans="1:11" x14ac:dyDescent="0.25">
      <c r="A2054" s="158" t="s">
        <v>776</v>
      </c>
      <c r="B2054" s="158" t="s">
        <v>777</v>
      </c>
      <c r="C2054" s="158" t="s">
        <v>20</v>
      </c>
      <c r="D2054" s="158" t="s">
        <v>21</v>
      </c>
      <c r="E2054" s="157">
        <v>0.2</v>
      </c>
      <c r="F2054" s="158" t="s">
        <v>525</v>
      </c>
      <c r="G2054" s="159">
        <v>854.93</v>
      </c>
      <c r="H2054" s="159">
        <v>0</v>
      </c>
      <c r="I2054" s="159">
        <v>395.98</v>
      </c>
      <c r="J2054" s="159">
        <v>46.3</v>
      </c>
      <c r="K2054" t="str">
        <f>VLOOKUP($C2054,Lists!$C$3:$M$118,7,FALSE)</f>
        <v>COKE_RGB</v>
      </c>
    </row>
    <row r="2055" spans="1:11" x14ac:dyDescent="0.25">
      <c r="A2055" s="158" t="s">
        <v>776</v>
      </c>
      <c r="B2055" s="158" t="s">
        <v>777</v>
      </c>
      <c r="C2055" s="158" t="s">
        <v>59</v>
      </c>
      <c r="D2055" s="158" t="s">
        <v>60</v>
      </c>
      <c r="E2055" s="157">
        <v>0.3</v>
      </c>
      <c r="F2055" s="158" t="s">
        <v>525</v>
      </c>
      <c r="G2055" s="159">
        <v>1282.4000000000001</v>
      </c>
      <c r="H2055" s="159">
        <v>0</v>
      </c>
      <c r="I2055" s="159">
        <v>578.46</v>
      </c>
      <c r="J2055" s="159">
        <v>45.1</v>
      </c>
      <c r="K2055" t="str">
        <f>VLOOKUP($C2055,Lists!$C$3:$M$118,7,FALSE)</f>
        <v>COKE_RGB</v>
      </c>
    </row>
    <row r="2056" spans="1:11" x14ac:dyDescent="0.25">
      <c r="A2056" s="158" t="s">
        <v>776</v>
      </c>
      <c r="B2056" s="158" t="s">
        <v>777</v>
      </c>
      <c r="C2056" s="158" t="s">
        <v>261</v>
      </c>
      <c r="D2056" s="158" t="s">
        <v>538</v>
      </c>
      <c r="E2056" s="157">
        <v>0.1</v>
      </c>
      <c r="F2056" s="158" t="s">
        <v>525</v>
      </c>
      <c r="G2056" s="159">
        <v>427.47</v>
      </c>
      <c r="H2056" s="159">
        <v>0</v>
      </c>
      <c r="I2056" s="159">
        <v>191.12</v>
      </c>
      <c r="J2056" s="159">
        <v>44.7</v>
      </c>
      <c r="K2056" t="str">
        <f>VLOOKUP($C2056,Lists!$C$3:$M$118,7,FALSE)</f>
        <v>COKE_RGB</v>
      </c>
    </row>
    <row r="2057" spans="1:11" x14ac:dyDescent="0.25">
      <c r="A2057" s="158" t="s">
        <v>776</v>
      </c>
      <c r="B2057" s="158" t="s">
        <v>777</v>
      </c>
      <c r="C2057" s="158" t="s">
        <v>37</v>
      </c>
      <c r="D2057" s="158" t="s">
        <v>38</v>
      </c>
      <c r="E2057" s="157">
        <v>0.05</v>
      </c>
      <c r="F2057" s="158" t="s">
        <v>525</v>
      </c>
      <c r="G2057" s="159">
        <v>178.11</v>
      </c>
      <c r="H2057" s="159">
        <v>0</v>
      </c>
      <c r="I2057" s="159">
        <v>90.45</v>
      </c>
      <c r="J2057" s="159">
        <v>50.8</v>
      </c>
      <c r="K2057" t="str">
        <f>VLOOKUP($C2057,Lists!$C$3:$M$118,7,FALSE)</f>
        <v>SOBO_RGB</v>
      </c>
    </row>
    <row r="2058" spans="1:11" x14ac:dyDescent="0.25">
      <c r="A2058" s="158" t="s">
        <v>776</v>
      </c>
      <c r="B2058" s="158" t="s">
        <v>777</v>
      </c>
      <c r="C2058" s="158" t="s">
        <v>39</v>
      </c>
      <c r="D2058" s="158" t="s">
        <v>40</v>
      </c>
      <c r="E2058" s="157">
        <v>0.05</v>
      </c>
      <c r="F2058" s="158" t="s">
        <v>525</v>
      </c>
      <c r="G2058" s="159">
        <v>178.11</v>
      </c>
      <c r="H2058" s="159">
        <v>0</v>
      </c>
      <c r="I2058" s="159">
        <v>89.77</v>
      </c>
      <c r="J2058" s="159">
        <v>50.4</v>
      </c>
      <c r="K2058" t="str">
        <f>VLOOKUP($C2058,Lists!$C$3:$M$118,7,FALSE)</f>
        <v>SOBO_RGB</v>
      </c>
    </row>
    <row r="2059" spans="1:11" x14ac:dyDescent="0.25">
      <c r="A2059" s="158" t="s">
        <v>776</v>
      </c>
      <c r="B2059" s="158" t="s">
        <v>777</v>
      </c>
      <c r="C2059" s="158" t="s">
        <v>45</v>
      </c>
      <c r="D2059" s="158" t="s">
        <v>46</v>
      </c>
      <c r="E2059" s="157">
        <v>0.05</v>
      </c>
      <c r="F2059" s="158" t="s">
        <v>525</v>
      </c>
      <c r="G2059" s="159">
        <v>213.73</v>
      </c>
      <c r="H2059" s="159">
        <v>0</v>
      </c>
      <c r="I2059" s="159">
        <v>113.3</v>
      </c>
      <c r="J2059" s="159">
        <v>53</v>
      </c>
      <c r="K2059" t="str">
        <f>VLOOKUP($C2059,Lists!$C$3:$M$118,7,FALSE)</f>
        <v>SOBO_RGB</v>
      </c>
    </row>
    <row r="2060" spans="1:11" x14ac:dyDescent="0.25">
      <c r="A2060" s="158" t="s">
        <v>776</v>
      </c>
      <c r="B2060" s="158" t="s">
        <v>777</v>
      </c>
      <c r="C2060" s="158" t="s">
        <v>47</v>
      </c>
      <c r="D2060" s="158" t="s">
        <v>48</v>
      </c>
      <c r="E2060" s="157">
        <v>0.2</v>
      </c>
      <c r="F2060" s="158" t="s">
        <v>525</v>
      </c>
      <c r="G2060" s="159">
        <v>854.94</v>
      </c>
      <c r="H2060" s="159">
        <v>0</v>
      </c>
      <c r="I2060" s="159">
        <v>408.8</v>
      </c>
      <c r="J2060" s="159">
        <v>47.8</v>
      </c>
      <c r="K2060" t="str">
        <f>VLOOKUP($C2060,Lists!$C$3:$M$118,7,FALSE)</f>
        <v>COKE_RGB</v>
      </c>
    </row>
    <row r="2061" spans="1:11" x14ac:dyDescent="0.25">
      <c r="A2061" s="158" t="s">
        <v>778</v>
      </c>
      <c r="B2061" s="158" t="s">
        <v>779</v>
      </c>
      <c r="C2061" s="158" t="s">
        <v>12</v>
      </c>
      <c r="D2061" s="158" t="s">
        <v>13</v>
      </c>
      <c r="E2061" s="157">
        <v>0.95</v>
      </c>
      <c r="F2061" s="158" t="s">
        <v>525</v>
      </c>
      <c r="G2061" s="159">
        <v>6605.15</v>
      </c>
      <c r="H2061" s="159">
        <v>0</v>
      </c>
      <c r="I2061" s="159">
        <v>3162.11</v>
      </c>
      <c r="J2061" s="159">
        <v>47.9</v>
      </c>
      <c r="K2061" t="str">
        <f>VLOOKUP($C2061,Lists!$C$3:$M$118,7,FALSE)</f>
        <v>Beers</v>
      </c>
    </row>
    <row r="2062" spans="1:11" x14ac:dyDescent="0.25">
      <c r="A2062" s="158" t="s">
        <v>778</v>
      </c>
      <c r="B2062" s="158" t="s">
        <v>779</v>
      </c>
      <c r="C2062" s="158" t="s">
        <v>14</v>
      </c>
      <c r="D2062" s="158" t="s">
        <v>15</v>
      </c>
      <c r="E2062" s="157">
        <v>0.1</v>
      </c>
      <c r="F2062" s="158" t="s">
        <v>525</v>
      </c>
      <c r="G2062" s="159">
        <v>834.34</v>
      </c>
      <c r="H2062" s="159">
        <v>0</v>
      </c>
      <c r="I2062" s="159">
        <v>443.3</v>
      </c>
      <c r="J2062" s="159">
        <v>53.1</v>
      </c>
      <c r="K2062" t="str">
        <f>VLOOKUP($C2062,Lists!$C$3:$M$118,7,FALSE)</f>
        <v>Beers</v>
      </c>
    </row>
    <row r="2063" spans="1:11" x14ac:dyDescent="0.25">
      <c r="A2063" s="158" t="s">
        <v>778</v>
      </c>
      <c r="B2063" s="158" t="s">
        <v>779</v>
      </c>
      <c r="C2063" s="158" t="s">
        <v>20</v>
      </c>
      <c r="D2063" s="158" t="s">
        <v>21</v>
      </c>
      <c r="E2063" s="157">
        <v>0.2</v>
      </c>
      <c r="F2063" s="158" t="s">
        <v>525</v>
      </c>
      <c r="G2063" s="159">
        <v>854.94</v>
      </c>
      <c r="H2063" s="159">
        <v>0</v>
      </c>
      <c r="I2063" s="159">
        <v>396</v>
      </c>
      <c r="J2063" s="159">
        <v>46.3</v>
      </c>
      <c r="K2063" t="str">
        <f>VLOOKUP($C2063,Lists!$C$3:$M$118,7,FALSE)</f>
        <v>COKE_RGB</v>
      </c>
    </row>
    <row r="2064" spans="1:11" x14ac:dyDescent="0.25">
      <c r="A2064" s="158" t="s">
        <v>778</v>
      </c>
      <c r="B2064" s="158" t="s">
        <v>779</v>
      </c>
      <c r="C2064" s="158" t="s">
        <v>37</v>
      </c>
      <c r="D2064" s="158" t="s">
        <v>38</v>
      </c>
      <c r="E2064" s="157">
        <v>0.05</v>
      </c>
      <c r="F2064" s="158" t="s">
        <v>525</v>
      </c>
      <c r="G2064" s="159">
        <v>178.11</v>
      </c>
      <c r="H2064" s="159">
        <v>0</v>
      </c>
      <c r="I2064" s="159">
        <v>90.45</v>
      </c>
      <c r="J2064" s="159">
        <v>50.8</v>
      </c>
      <c r="K2064" t="str">
        <f>VLOOKUP($C2064,Lists!$C$3:$M$118,7,FALSE)</f>
        <v>SOBO_RGB</v>
      </c>
    </row>
    <row r="2065" spans="1:11" x14ac:dyDescent="0.25">
      <c r="A2065" s="158" t="s">
        <v>778</v>
      </c>
      <c r="B2065" s="158" t="s">
        <v>779</v>
      </c>
      <c r="C2065" s="158" t="s">
        <v>39</v>
      </c>
      <c r="D2065" s="158" t="s">
        <v>40</v>
      </c>
      <c r="E2065" s="157">
        <v>0.25</v>
      </c>
      <c r="F2065" s="158" t="s">
        <v>525</v>
      </c>
      <c r="G2065" s="159">
        <v>890.56</v>
      </c>
      <c r="H2065" s="159">
        <v>0</v>
      </c>
      <c r="I2065" s="159">
        <v>448.85</v>
      </c>
      <c r="J2065" s="159">
        <v>50.4</v>
      </c>
      <c r="K2065" t="str">
        <f>VLOOKUP($C2065,Lists!$C$3:$M$118,7,FALSE)</f>
        <v>SOBO_RGB</v>
      </c>
    </row>
    <row r="2066" spans="1:11" x14ac:dyDescent="0.25">
      <c r="A2066" s="158" t="s">
        <v>780</v>
      </c>
      <c r="B2066" s="158" t="s">
        <v>781</v>
      </c>
      <c r="C2066" s="158" t="s">
        <v>12</v>
      </c>
      <c r="D2066" s="158" t="s">
        <v>13</v>
      </c>
      <c r="E2066" s="157">
        <v>3.2</v>
      </c>
      <c r="F2066" s="158" t="s">
        <v>525</v>
      </c>
      <c r="G2066" s="159">
        <v>22248.93</v>
      </c>
      <c r="H2066" s="159">
        <v>0</v>
      </c>
      <c r="I2066" s="159">
        <v>10651.33</v>
      </c>
      <c r="J2066" s="159">
        <v>47.9</v>
      </c>
      <c r="K2066" t="str">
        <f>VLOOKUP($C2066,Lists!$C$3:$M$118,7,FALSE)</f>
        <v>Beers</v>
      </c>
    </row>
    <row r="2067" spans="1:11" x14ac:dyDescent="0.25">
      <c r="A2067" s="158" t="s">
        <v>780</v>
      </c>
      <c r="B2067" s="158" t="s">
        <v>781</v>
      </c>
      <c r="C2067" s="158" t="s">
        <v>18</v>
      </c>
      <c r="D2067" s="158" t="s">
        <v>19</v>
      </c>
      <c r="E2067" s="157">
        <v>2.0499999999999998</v>
      </c>
      <c r="F2067" s="158" t="s">
        <v>525</v>
      </c>
      <c r="G2067" s="159">
        <v>22805.15</v>
      </c>
      <c r="H2067" s="159">
        <v>0</v>
      </c>
      <c r="I2067" s="159">
        <v>12638.17</v>
      </c>
      <c r="J2067" s="159">
        <v>55.4</v>
      </c>
      <c r="K2067" t="str">
        <f>VLOOKUP($C2067,Lists!$C$3:$M$118,7,FALSE)</f>
        <v>Beers</v>
      </c>
    </row>
    <row r="2068" spans="1:11" x14ac:dyDescent="0.25">
      <c r="A2068" s="158" t="s">
        <v>780</v>
      </c>
      <c r="B2068" s="158" t="s">
        <v>781</v>
      </c>
      <c r="C2068" s="158" t="s">
        <v>22</v>
      </c>
      <c r="D2068" s="158" t="s">
        <v>23</v>
      </c>
      <c r="E2068" s="157">
        <v>0.55000000000000004</v>
      </c>
      <c r="F2068" s="158" t="s">
        <v>525</v>
      </c>
      <c r="G2068" s="159">
        <v>2351.0700000000002</v>
      </c>
      <c r="H2068" s="159">
        <v>0</v>
      </c>
      <c r="I2068" s="159">
        <v>1051.1600000000001</v>
      </c>
      <c r="J2068" s="159">
        <v>44.7</v>
      </c>
      <c r="K2068" t="str">
        <f>VLOOKUP($C2068,Lists!$C$3:$M$118,7,FALSE)</f>
        <v>COKE_RGB</v>
      </c>
    </row>
    <row r="2069" spans="1:11" x14ac:dyDescent="0.25">
      <c r="A2069" s="158" t="s">
        <v>780</v>
      </c>
      <c r="B2069" s="158" t="s">
        <v>781</v>
      </c>
      <c r="C2069" s="158" t="s">
        <v>45</v>
      </c>
      <c r="D2069" s="158" t="s">
        <v>46</v>
      </c>
      <c r="E2069" s="157">
        <v>0.55000000000000004</v>
      </c>
      <c r="F2069" s="158" t="s">
        <v>525</v>
      </c>
      <c r="G2069" s="159">
        <v>2351.0700000000002</v>
      </c>
      <c r="H2069" s="159">
        <v>0</v>
      </c>
      <c r="I2069" s="159">
        <v>1246.3599999999999</v>
      </c>
      <c r="J2069" s="159">
        <v>53</v>
      </c>
      <c r="K2069" t="str">
        <f>VLOOKUP($C2069,Lists!$C$3:$M$118,7,FALSE)</f>
        <v>SOBO_RGB</v>
      </c>
    </row>
    <row r="2070" spans="1:11" x14ac:dyDescent="0.25">
      <c r="A2070" s="158" t="s">
        <v>782</v>
      </c>
      <c r="B2070" s="158" t="s">
        <v>783</v>
      </c>
      <c r="C2070" s="158" t="s">
        <v>22</v>
      </c>
      <c r="D2070" s="158" t="s">
        <v>23</v>
      </c>
      <c r="E2070" s="157">
        <v>0.1</v>
      </c>
      <c r="F2070" s="158" t="s">
        <v>525</v>
      </c>
      <c r="G2070" s="159">
        <v>427.47</v>
      </c>
      <c r="H2070" s="159">
        <v>0</v>
      </c>
      <c r="I2070" s="159">
        <v>191.12</v>
      </c>
      <c r="J2070" s="159">
        <v>44.7</v>
      </c>
      <c r="K2070" t="str">
        <f>VLOOKUP($C2070,Lists!$C$3:$M$118,7,FALSE)</f>
        <v>COKE_RGB</v>
      </c>
    </row>
    <row r="2071" spans="1:11" x14ac:dyDescent="0.25">
      <c r="A2071" s="158" t="s">
        <v>782</v>
      </c>
      <c r="B2071" s="158" t="s">
        <v>783</v>
      </c>
      <c r="C2071" s="158" t="s">
        <v>24</v>
      </c>
      <c r="D2071" s="158" t="s">
        <v>25</v>
      </c>
      <c r="E2071" s="157">
        <v>0.05</v>
      </c>
      <c r="F2071" s="158" t="s">
        <v>525</v>
      </c>
      <c r="G2071" s="159">
        <v>347.64</v>
      </c>
      <c r="H2071" s="159">
        <v>0</v>
      </c>
      <c r="I2071" s="159">
        <v>180.73</v>
      </c>
      <c r="J2071" s="159">
        <v>52</v>
      </c>
      <c r="K2071" t="str">
        <f>VLOOKUP($C2071,Lists!$C$3:$M$118,7,FALSE)</f>
        <v>Beers</v>
      </c>
    </row>
    <row r="2072" spans="1:11" x14ac:dyDescent="0.25">
      <c r="A2072" s="158" t="s">
        <v>782</v>
      </c>
      <c r="B2072" s="158" t="s">
        <v>783</v>
      </c>
      <c r="C2072" s="158" t="s">
        <v>362</v>
      </c>
      <c r="D2072" s="158" t="s">
        <v>363</v>
      </c>
      <c r="E2072" s="157">
        <v>1139</v>
      </c>
      <c r="F2072" s="158" t="s">
        <v>525</v>
      </c>
      <c r="G2072" s="159">
        <v>3055059.97</v>
      </c>
      <c r="H2072" s="159">
        <v>3055059.97</v>
      </c>
      <c r="I2072" s="159">
        <v>-1540873.38</v>
      </c>
      <c r="J2072" s="159">
        <v>-50.4</v>
      </c>
      <c r="K2072" t="str">
        <f>VLOOKUP($C2072,Lists!$C$3:$M$118,7,FALSE)</f>
        <v>Squash</v>
      </c>
    </row>
    <row r="2073" spans="1:11" x14ac:dyDescent="0.25">
      <c r="A2073" s="158" t="s">
        <v>782</v>
      </c>
      <c r="B2073" s="158" t="s">
        <v>783</v>
      </c>
      <c r="C2073" s="158" t="s">
        <v>282</v>
      </c>
      <c r="D2073" s="158" t="s">
        <v>775</v>
      </c>
      <c r="E2073" s="157">
        <v>2050</v>
      </c>
      <c r="F2073" s="158" t="s">
        <v>525</v>
      </c>
      <c r="G2073" s="159">
        <v>2628920</v>
      </c>
      <c r="H2073" s="159">
        <v>0</v>
      </c>
      <c r="I2073" s="159">
        <v>351882.49</v>
      </c>
      <c r="J2073" s="159">
        <v>13.4</v>
      </c>
      <c r="K2073" t="str">
        <f>VLOOKUP($C2073,Lists!$C$3:$M$118,7,FALSE)</f>
        <v>SOBO_PET</v>
      </c>
    </row>
    <row r="2074" spans="1:11" x14ac:dyDescent="0.25">
      <c r="A2074" s="158" t="s">
        <v>784</v>
      </c>
      <c r="B2074" s="158" t="s">
        <v>785</v>
      </c>
      <c r="C2074" s="158" t="s">
        <v>12</v>
      </c>
      <c r="D2074" s="158" t="s">
        <v>13</v>
      </c>
      <c r="E2074" s="157">
        <v>0.45</v>
      </c>
      <c r="F2074" s="158" t="s">
        <v>525</v>
      </c>
      <c r="G2074" s="159">
        <v>3128.76</v>
      </c>
      <c r="H2074" s="159">
        <v>0</v>
      </c>
      <c r="I2074" s="159">
        <v>1497.85</v>
      </c>
      <c r="J2074" s="159">
        <v>47.9</v>
      </c>
      <c r="K2074" t="str">
        <f>VLOOKUP($C2074,Lists!$C$3:$M$118,7,FALSE)</f>
        <v>Beers</v>
      </c>
    </row>
    <row r="2075" spans="1:11" x14ac:dyDescent="0.25">
      <c r="A2075" s="158" t="s">
        <v>784</v>
      </c>
      <c r="B2075" s="158" t="s">
        <v>785</v>
      </c>
      <c r="C2075" s="158" t="s">
        <v>16</v>
      </c>
      <c r="D2075" s="158" t="s">
        <v>17</v>
      </c>
      <c r="E2075" s="157">
        <v>1.35</v>
      </c>
      <c r="F2075" s="158" t="s">
        <v>525</v>
      </c>
      <c r="G2075" s="159">
        <v>11263.52</v>
      </c>
      <c r="H2075" s="159">
        <v>0</v>
      </c>
      <c r="I2075" s="159">
        <v>5984.51</v>
      </c>
      <c r="J2075" s="159">
        <v>53.1</v>
      </c>
      <c r="K2075" t="str">
        <f>VLOOKUP($C2075,Lists!$C$3:$M$118,7,FALSE)</f>
        <v>Beers</v>
      </c>
    </row>
    <row r="2076" spans="1:11" x14ac:dyDescent="0.25">
      <c r="A2076" s="158" t="s">
        <v>784</v>
      </c>
      <c r="B2076" s="158" t="s">
        <v>785</v>
      </c>
      <c r="C2076" s="158" t="s">
        <v>43</v>
      </c>
      <c r="D2076" s="158" t="s">
        <v>44</v>
      </c>
      <c r="E2076" s="157">
        <v>0.45</v>
      </c>
      <c r="F2076" s="158" t="s">
        <v>525</v>
      </c>
      <c r="G2076" s="159">
        <v>3754.51</v>
      </c>
      <c r="H2076" s="159">
        <v>0</v>
      </c>
      <c r="I2076" s="159">
        <v>1994.84</v>
      </c>
      <c r="J2076" s="159">
        <v>53.1</v>
      </c>
      <c r="K2076" t="str">
        <f>VLOOKUP($C2076,Lists!$C$3:$M$118,7,FALSE)</f>
        <v>Beers</v>
      </c>
    </row>
    <row r="2077" spans="1:11" x14ac:dyDescent="0.25">
      <c r="A2077" s="158" t="s">
        <v>786</v>
      </c>
      <c r="B2077" s="158" t="s">
        <v>787</v>
      </c>
      <c r="C2077" s="158" t="s">
        <v>20</v>
      </c>
      <c r="D2077" s="158" t="s">
        <v>21</v>
      </c>
      <c r="E2077" s="157">
        <v>0.25</v>
      </c>
      <c r="F2077" s="158" t="s">
        <v>525</v>
      </c>
      <c r="G2077" s="159">
        <v>1068.67</v>
      </c>
      <c r="H2077" s="159">
        <v>0</v>
      </c>
      <c r="I2077" s="159">
        <v>494.99</v>
      </c>
      <c r="J2077" s="159">
        <v>46.3</v>
      </c>
      <c r="K2077" t="str">
        <f>VLOOKUP($C2077,Lists!$C$3:$M$118,7,FALSE)</f>
        <v>COKE_RGB</v>
      </c>
    </row>
    <row r="2078" spans="1:11" x14ac:dyDescent="0.25">
      <c r="A2078" s="158" t="s">
        <v>788</v>
      </c>
      <c r="B2078" s="158" t="s">
        <v>789</v>
      </c>
      <c r="C2078" s="158" t="s">
        <v>37</v>
      </c>
      <c r="D2078" s="158" t="s">
        <v>38</v>
      </c>
      <c r="E2078" s="157">
        <v>2.9</v>
      </c>
      <c r="F2078" s="158" t="s">
        <v>525</v>
      </c>
      <c r="G2078" s="159">
        <v>10330.469999999999</v>
      </c>
      <c r="H2078" s="159">
        <v>0</v>
      </c>
      <c r="I2078" s="159">
        <v>5246.22</v>
      </c>
      <c r="J2078" s="159">
        <v>50.8</v>
      </c>
      <c r="K2078" t="str">
        <f>VLOOKUP($C2078,Lists!$C$3:$M$118,7,FALSE)</f>
        <v>SOBO_RGB</v>
      </c>
    </row>
    <row r="2079" spans="1:11" x14ac:dyDescent="0.25">
      <c r="A2079" s="158" t="s">
        <v>790</v>
      </c>
      <c r="B2079" s="158" t="s">
        <v>791</v>
      </c>
      <c r="C2079" s="158" t="s">
        <v>58</v>
      </c>
      <c r="D2079" s="158" t="s">
        <v>537</v>
      </c>
      <c r="E2079" s="157">
        <v>8</v>
      </c>
      <c r="F2079" s="158" t="s">
        <v>525</v>
      </c>
      <c r="G2079" s="159">
        <v>20518.48</v>
      </c>
      <c r="H2079" s="159">
        <v>0</v>
      </c>
      <c r="I2079" s="159">
        <v>11886</v>
      </c>
      <c r="J2079" s="159">
        <v>57.9</v>
      </c>
      <c r="K2079" t="str">
        <f>VLOOKUP($C2079,Lists!$C$3:$M$118,7,FALSE)</f>
        <v>SOBO_PET</v>
      </c>
    </row>
    <row r="2080" spans="1:11" x14ac:dyDescent="0.25">
      <c r="A2080" s="158" t="s">
        <v>790</v>
      </c>
      <c r="B2080" s="158" t="s">
        <v>791</v>
      </c>
      <c r="C2080" s="158" t="s">
        <v>67</v>
      </c>
      <c r="D2080" s="158" t="s">
        <v>533</v>
      </c>
      <c r="E2080" s="157">
        <v>12</v>
      </c>
      <c r="F2080" s="158" t="s">
        <v>525</v>
      </c>
      <c r="G2080" s="159">
        <v>35907.24</v>
      </c>
      <c r="H2080" s="159">
        <v>0</v>
      </c>
      <c r="I2080" s="159">
        <v>18695.88</v>
      </c>
      <c r="J2080" s="159">
        <v>52.1</v>
      </c>
      <c r="K2080" t="str">
        <f>VLOOKUP($C2080,Lists!$C$3:$M$118,7,FALSE)</f>
        <v>COKE_PET</v>
      </c>
    </row>
    <row r="2081" spans="1:11" x14ac:dyDescent="0.25">
      <c r="A2081" s="158" t="s">
        <v>790</v>
      </c>
      <c r="B2081" s="158" t="s">
        <v>791</v>
      </c>
      <c r="C2081" s="158" t="s">
        <v>88</v>
      </c>
      <c r="D2081" s="158" t="s">
        <v>527</v>
      </c>
      <c r="E2081" s="157">
        <v>3</v>
      </c>
      <c r="F2081" s="158" t="s">
        <v>525</v>
      </c>
      <c r="G2081" s="159">
        <v>8976.81</v>
      </c>
      <c r="H2081" s="159">
        <v>0</v>
      </c>
      <c r="I2081" s="159">
        <v>5476.71</v>
      </c>
      <c r="J2081" s="159">
        <v>61</v>
      </c>
      <c r="K2081" t="str">
        <f>VLOOKUP($C2081,Lists!$C$3:$M$118,7,FALSE)</f>
        <v>SOBO_PET</v>
      </c>
    </row>
    <row r="2082" spans="1:11" x14ac:dyDescent="0.25">
      <c r="A2082" s="158" t="s">
        <v>790</v>
      </c>
      <c r="B2082" s="158" t="s">
        <v>791</v>
      </c>
      <c r="C2082" s="158" t="s">
        <v>68</v>
      </c>
      <c r="D2082" s="158" t="s">
        <v>534</v>
      </c>
      <c r="E2082" s="157">
        <v>10</v>
      </c>
      <c r="F2082" s="158" t="s">
        <v>525</v>
      </c>
      <c r="G2082" s="159">
        <v>29922.7</v>
      </c>
      <c r="H2082" s="159">
        <v>0</v>
      </c>
      <c r="I2082" s="159">
        <v>15449.3</v>
      </c>
      <c r="J2082" s="159">
        <v>51.6</v>
      </c>
      <c r="K2082" t="str">
        <f>VLOOKUP($C2082,Lists!$C$3:$M$118,7,FALSE)</f>
        <v>COKE_PET</v>
      </c>
    </row>
    <row r="2083" spans="1:11" x14ac:dyDescent="0.25">
      <c r="A2083" s="158" t="s">
        <v>792</v>
      </c>
      <c r="B2083" s="158" t="s">
        <v>793</v>
      </c>
      <c r="C2083" s="158" t="s">
        <v>18</v>
      </c>
      <c r="D2083" s="158" t="s">
        <v>19</v>
      </c>
      <c r="E2083" s="157">
        <v>0.6</v>
      </c>
      <c r="F2083" s="158" t="s">
        <v>525</v>
      </c>
      <c r="G2083" s="159">
        <v>6674.68</v>
      </c>
      <c r="H2083" s="159">
        <v>0</v>
      </c>
      <c r="I2083" s="159">
        <v>3698.98</v>
      </c>
      <c r="J2083" s="159">
        <v>55.4</v>
      </c>
      <c r="K2083" t="str">
        <f>VLOOKUP($C2083,Lists!$C$3:$M$118,7,FALSE)</f>
        <v>Beers</v>
      </c>
    </row>
    <row r="2084" spans="1:11" x14ac:dyDescent="0.25">
      <c r="A2084" s="158" t="s">
        <v>792</v>
      </c>
      <c r="B2084" s="158" t="s">
        <v>793</v>
      </c>
      <c r="C2084" s="158" t="s">
        <v>20</v>
      </c>
      <c r="D2084" s="158" t="s">
        <v>21</v>
      </c>
      <c r="E2084" s="157">
        <v>0.75</v>
      </c>
      <c r="F2084" s="158" t="s">
        <v>525</v>
      </c>
      <c r="G2084" s="159">
        <v>3206.01</v>
      </c>
      <c r="H2084" s="159">
        <v>0</v>
      </c>
      <c r="I2084" s="159">
        <v>1484.98</v>
      </c>
      <c r="J2084" s="159">
        <v>46.3</v>
      </c>
      <c r="K2084" t="str">
        <f>VLOOKUP($C2084,Lists!$C$3:$M$118,7,FALSE)</f>
        <v>COKE_RGB</v>
      </c>
    </row>
    <row r="2085" spans="1:11" x14ac:dyDescent="0.25">
      <c r="A2085" s="158" t="s">
        <v>792</v>
      </c>
      <c r="B2085" s="158" t="s">
        <v>793</v>
      </c>
      <c r="C2085" s="158" t="s">
        <v>22</v>
      </c>
      <c r="D2085" s="158" t="s">
        <v>23</v>
      </c>
      <c r="E2085" s="157">
        <v>0.2</v>
      </c>
      <c r="F2085" s="158" t="s">
        <v>525</v>
      </c>
      <c r="G2085" s="159">
        <v>854.94</v>
      </c>
      <c r="H2085" s="159">
        <v>0</v>
      </c>
      <c r="I2085" s="159">
        <v>382.25</v>
      </c>
      <c r="J2085" s="159">
        <v>44.7</v>
      </c>
      <c r="K2085" t="str">
        <f>VLOOKUP($C2085,Lists!$C$3:$M$118,7,FALSE)</f>
        <v>COKE_RGB</v>
      </c>
    </row>
    <row r="2086" spans="1:11" x14ac:dyDescent="0.25">
      <c r="A2086" s="158" t="s">
        <v>792</v>
      </c>
      <c r="B2086" s="158" t="s">
        <v>793</v>
      </c>
      <c r="C2086" s="158" t="s">
        <v>261</v>
      </c>
      <c r="D2086" s="158" t="s">
        <v>538</v>
      </c>
      <c r="E2086" s="157">
        <v>0.2</v>
      </c>
      <c r="F2086" s="158" t="s">
        <v>525</v>
      </c>
      <c r="G2086" s="159">
        <v>854.94</v>
      </c>
      <c r="H2086" s="159">
        <v>0</v>
      </c>
      <c r="I2086" s="159">
        <v>382.25</v>
      </c>
      <c r="J2086" s="159">
        <v>44.7</v>
      </c>
      <c r="K2086" t="str">
        <f>VLOOKUP($C2086,Lists!$C$3:$M$118,7,FALSE)</f>
        <v>COKE_RGB</v>
      </c>
    </row>
    <row r="2087" spans="1:11" x14ac:dyDescent="0.25">
      <c r="A2087" s="158" t="s">
        <v>792</v>
      </c>
      <c r="B2087" s="158" t="s">
        <v>793</v>
      </c>
      <c r="C2087" s="158" t="s">
        <v>39</v>
      </c>
      <c r="D2087" s="158" t="s">
        <v>40</v>
      </c>
      <c r="E2087" s="157">
        <v>0.15</v>
      </c>
      <c r="F2087" s="158" t="s">
        <v>525</v>
      </c>
      <c r="G2087" s="159">
        <v>534.33000000000004</v>
      </c>
      <c r="H2087" s="159">
        <v>0</v>
      </c>
      <c r="I2087" s="159">
        <v>269.3</v>
      </c>
      <c r="J2087" s="159">
        <v>50.4</v>
      </c>
      <c r="K2087" t="str">
        <f>VLOOKUP($C2087,Lists!$C$3:$M$118,7,FALSE)</f>
        <v>SOBO_RGB</v>
      </c>
    </row>
    <row r="2088" spans="1:11" x14ac:dyDescent="0.25">
      <c r="A2088" s="158" t="s">
        <v>792</v>
      </c>
      <c r="B2088" s="158" t="s">
        <v>793</v>
      </c>
      <c r="C2088" s="158" t="s">
        <v>51</v>
      </c>
      <c r="D2088" s="158" t="s">
        <v>52</v>
      </c>
      <c r="E2088" s="157">
        <v>0.16667000000000001</v>
      </c>
      <c r="F2088" s="158" t="s">
        <v>525</v>
      </c>
      <c r="G2088" s="159">
        <v>1788.25</v>
      </c>
      <c r="H2088" s="159">
        <v>0</v>
      </c>
      <c r="I2088" s="159">
        <v>644.84</v>
      </c>
      <c r="J2088" s="159">
        <v>36.1</v>
      </c>
      <c r="K2088" t="str">
        <f>VLOOKUP($C2088,Lists!$C$3:$M$118,7,FALSE)</f>
        <v>Squash</v>
      </c>
    </row>
    <row r="2089" spans="1:11" x14ac:dyDescent="0.25">
      <c r="A2089" s="158" t="s">
        <v>792</v>
      </c>
      <c r="B2089" s="158" t="s">
        <v>793</v>
      </c>
      <c r="C2089" s="158" t="s">
        <v>282</v>
      </c>
      <c r="D2089" s="158" t="s">
        <v>775</v>
      </c>
      <c r="E2089" s="157">
        <v>-8</v>
      </c>
      <c r="F2089" s="158" t="s">
        <v>525</v>
      </c>
      <c r="G2089" s="159">
        <v>-10259.200000000001</v>
      </c>
      <c r="H2089" s="159">
        <v>0</v>
      </c>
      <c r="I2089" s="159">
        <v>-1373.2</v>
      </c>
      <c r="J2089" s="159">
        <v>13.4</v>
      </c>
      <c r="K2089" t="str">
        <f>VLOOKUP($C2089,Lists!$C$3:$M$118,7,FALSE)</f>
        <v>SOBO_PET</v>
      </c>
    </row>
    <row r="2090" spans="1:11" x14ac:dyDescent="0.25">
      <c r="A2090" s="158" t="s">
        <v>794</v>
      </c>
      <c r="B2090" s="158" t="s">
        <v>795</v>
      </c>
      <c r="C2090" s="158" t="s">
        <v>12</v>
      </c>
      <c r="D2090" s="158" t="s">
        <v>13</v>
      </c>
      <c r="E2090" s="157">
        <v>4.5999999999999996</v>
      </c>
      <c r="F2090" s="158" t="s">
        <v>525</v>
      </c>
      <c r="G2090" s="159">
        <v>31982.84</v>
      </c>
      <c r="H2090" s="159">
        <v>0</v>
      </c>
      <c r="I2090" s="159">
        <v>15311.29</v>
      </c>
      <c r="J2090" s="159">
        <v>47.9</v>
      </c>
      <c r="K2090" t="str">
        <f>VLOOKUP($C2090,Lists!$C$3:$M$118,7,FALSE)</f>
        <v>Beers</v>
      </c>
    </row>
    <row r="2091" spans="1:11" x14ac:dyDescent="0.25">
      <c r="A2091" s="158" t="s">
        <v>794</v>
      </c>
      <c r="B2091" s="158" t="s">
        <v>795</v>
      </c>
      <c r="C2091" s="158" t="s">
        <v>16</v>
      </c>
      <c r="D2091" s="158" t="s">
        <v>17</v>
      </c>
      <c r="E2091" s="157">
        <v>2.1</v>
      </c>
      <c r="F2091" s="158" t="s">
        <v>525</v>
      </c>
      <c r="G2091" s="159">
        <v>17521.04</v>
      </c>
      <c r="H2091" s="159">
        <v>0</v>
      </c>
      <c r="I2091" s="159">
        <v>9309.24</v>
      </c>
      <c r="J2091" s="159">
        <v>53.1</v>
      </c>
      <c r="K2091" t="str">
        <f>VLOOKUP($C2091,Lists!$C$3:$M$118,7,FALSE)</f>
        <v>Beers</v>
      </c>
    </row>
    <row r="2092" spans="1:11" x14ac:dyDescent="0.25">
      <c r="A2092" s="158" t="s">
        <v>794</v>
      </c>
      <c r="B2092" s="158" t="s">
        <v>795</v>
      </c>
      <c r="C2092" s="158" t="s">
        <v>20</v>
      </c>
      <c r="D2092" s="158" t="s">
        <v>21</v>
      </c>
      <c r="E2092" s="157">
        <v>0.55000000000000004</v>
      </c>
      <c r="F2092" s="158" t="s">
        <v>525</v>
      </c>
      <c r="G2092" s="159">
        <v>2351.0700000000002</v>
      </c>
      <c r="H2092" s="159">
        <v>0</v>
      </c>
      <c r="I2092" s="159">
        <v>1088.98</v>
      </c>
      <c r="J2092" s="159">
        <v>46.3</v>
      </c>
      <c r="K2092" t="str">
        <f>VLOOKUP($C2092,Lists!$C$3:$M$118,7,FALSE)</f>
        <v>COKE_RGB</v>
      </c>
    </row>
    <row r="2093" spans="1:11" x14ac:dyDescent="0.25">
      <c r="A2093" s="158" t="s">
        <v>796</v>
      </c>
      <c r="B2093" s="158" t="s">
        <v>797</v>
      </c>
      <c r="C2093" s="158" t="s">
        <v>12</v>
      </c>
      <c r="D2093" s="158" t="s">
        <v>13</v>
      </c>
      <c r="E2093" s="157">
        <v>1.9</v>
      </c>
      <c r="F2093" s="158" t="s">
        <v>525</v>
      </c>
      <c r="G2093" s="159">
        <v>13210.3</v>
      </c>
      <c r="H2093" s="159">
        <v>0</v>
      </c>
      <c r="I2093" s="159">
        <v>6324.22</v>
      </c>
      <c r="J2093" s="159">
        <v>47.9</v>
      </c>
      <c r="K2093" t="str">
        <f>VLOOKUP($C2093,Lists!$C$3:$M$118,7,FALSE)</f>
        <v>Beers</v>
      </c>
    </row>
    <row r="2094" spans="1:11" x14ac:dyDescent="0.25">
      <c r="A2094" s="158" t="s">
        <v>796</v>
      </c>
      <c r="B2094" s="158" t="s">
        <v>797</v>
      </c>
      <c r="C2094" s="158" t="s">
        <v>14</v>
      </c>
      <c r="D2094" s="158" t="s">
        <v>15</v>
      </c>
      <c r="E2094" s="157">
        <v>1</v>
      </c>
      <c r="F2094" s="158" t="s">
        <v>525</v>
      </c>
      <c r="G2094" s="159">
        <v>8343.35</v>
      </c>
      <c r="H2094" s="159">
        <v>0</v>
      </c>
      <c r="I2094" s="159">
        <v>4432.97</v>
      </c>
      <c r="J2094" s="159">
        <v>53.1</v>
      </c>
      <c r="K2094" t="str">
        <f>VLOOKUP($C2094,Lists!$C$3:$M$118,7,FALSE)</f>
        <v>Beers</v>
      </c>
    </row>
    <row r="2095" spans="1:11" x14ac:dyDescent="0.25">
      <c r="A2095" s="158" t="s">
        <v>796</v>
      </c>
      <c r="B2095" s="158" t="s">
        <v>797</v>
      </c>
      <c r="C2095" s="158" t="s">
        <v>54</v>
      </c>
      <c r="D2095" s="158" t="s">
        <v>55</v>
      </c>
      <c r="E2095" s="157">
        <v>0</v>
      </c>
      <c r="F2095" s="158" t="s">
        <v>525</v>
      </c>
      <c r="G2095" s="159">
        <v>0</v>
      </c>
      <c r="H2095" s="159">
        <v>0</v>
      </c>
      <c r="I2095" s="159">
        <v>0</v>
      </c>
      <c r="J2095" s="159">
        <v>0</v>
      </c>
      <c r="K2095" t="str">
        <f>VLOOKUP($C2095,Lists!$C$3:$M$118,7,FALSE)</f>
        <v>Beers</v>
      </c>
    </row>
    <row r="2096" spans="1:11" x14ac:dyDescent="0.25">
      <c r="A2096" s="158" t="s">
        <v>796</v>
      </c>
      <c r="B2096" s="158" t="s">
        <v>797</v>
      </c>
      <c r="C2096" s="158" t="s">
        <v>16</v>
      </c>
      <c r="D2096" s="158" t="s">
        <v>17</v>
      </c>
      <c r="E2096" s="157">
        <v>1.2</v>
      </c>
      <c r="F2096" s="158" t="s">
        <v>525</v>
      </c>
      <c r="G2096" s="159">
        <v>10012.02</v>
      </c>
      <c r="H2096" s="159">
        <v>0</v>
      </c>
      <c r="I2096" s="159">
        <v>5319.56</v>
      </c>
      <c r="J2096" s="159">
        <v>53.1</v>
      </c>
      <c r="K2096" t="str">
        <f>VLOOKUP($C2096,Lists!$C$3:$M$118,7,FALSE)</f>
        <v>Beers</v>
      </c>
    </row>
    <row r="2097" spans="1:11" x14ac:dyDescent="0.25">
      <c r="A2097" s="158" t="s">
        <v>796</v>
      </c>
      <c r="B2097" s="158" t="s">
        <v>797</v>
      </c>
      <c r="C2097" s="158" t="s">
        <v>18</v>
      </c>
      <c r="D2097" s="158" t="s">
        <v>19</v>
      </c>
      <c r="E2097" s="157">
        <v>0.8</v>
      </c>
      <c r="F2097" s="158" t="s">
        <v>525</v>
      </c>
      <c r="G2097" s="159">
        <v>8899.57</v>
      </c>
      <c r="H2097" s="159">
        <v>0</v>
      </c>
      <c r="I2097" s="159">
        <v>4931.97</v>
      </c>
      <c r="J2097" s="159">
        <v>55.4</v>
      </c>
      <c r="K2097" t="str">
        <f>VLOOKUP($C2097,Lists!$C$3:$M$118,7,FALSE)</f>
        <v>Beers</v>
      </c>
    </row>
    <row r="2098" spans="1:11" x14ac:dyDescent="0.25">
      <c r="A2098" s="158" t="s">
        <v>798</v>
      </c>
      <c r="B2098" s="158" t="s">
        <v>799</v>
      </c>
      <c r="C2098" s="158" t="s">
        <v>12</v>
      </c>
      <c r="D2098" s="158" t="s">
        <v>13</v>
      </c>
      <c r="E2098" s="157">
        <v>0.05</v>
      </c>
      <c r="F2098" s="158" t="s">
        <v>525</v>
      </c>
      <c r="G2098" s="159">
        <v>347.64</v>
      </c>
      <c r="H2098" s="159">
        <v>0</v>
      </c>
      <c r="I2098" s="159">
        <v>166.43</v>
      </c>
      <c r="J2098" s="159">
        <v>47.9</v>
      </c>
      <c r="K2098" t="str">
        <f>VLOOKUP($C2098,Lists!$C$3:$M$118,7,FALSE)</f>
        <v>Beers</v>
      </c>
    </row>
    <row r="2099" spans="1:11" x14ac:dyDescent="0.25">
      <c r="A2099" s="158" t="s">
        <v>798</v>
      </c>
      <c r="B2099" s="158" t="s">
        <v>799</v>
      </c>
      <c r="C2099" s="158" t="s">
        <v>20</v>
      </c>
      <c r="D2099" s="158" t="s">
        <v>21</v>
      </c>
      <c r="E2099" s="157">
        <v>0.1</v>
      </c>
      <c r="F2099" s="158" t="s">
        <v>525</v>
      </c>
      <c r="G2099" s="159">
        <v>427.47</v>
      </c>
      <c r="H2099" s="159">
        <v>0</v>
      </c>
      <c r="I2099" s="159">
        <v>198</v>
      </c>
      <c r="J2099" s="159">
        <v>46.3</v>
      </c>
      <c r="K2099" t="str">
        <f>VLOOKUP($C2099,Lists!$C$3:$M$118,7,FALSE)</f>
        <v>COKE_RGB</v>
      </c>
    </row>
    <row r="2100" spans="1:11" x14ac:dyDescent="0.25">
      <c r="A2100" s="158" t="s">
        <v>798</v>
      </c>
      <c r="B2100" s="158" t="s">
        <v>799</v>
      </c>
      <c r="C2100" s="158" t="s">
        <v>37</v>
      </c>
      <c r="D2100" s="158" t="s">
        <v>38</v>
      </c>
      <c r="E2100" s="157">
        <v>0.1</v>
      </c>
      <c r="F2100" s="158" t="s">
        <v>525</v>
      </c>
      <c r="G2100" s="159">
        <v>356.22</v>
      </c>
      <c r="H2100" s="159">
        <v>0</v>
      </c>
      <c r="I2100" s="159">
        <v>180.9</v>
      </c>
      <c r="J2100" s="159">
        <v>50.8</v>
      </c>
      <c r="K2100" t="str">
        <f>VLOOKUP($C2100,Lists!$C$3:$M$118,7,FALSE)</f>
        <v>SOBO_RGB</v>
      </c>
    </row>
    <row r="2101" spans="1:11" x14ac:dyDescent="0.25">
      <c r="A2101" s="158" t="s">
        <v>800</v>
      </c>
      <c r="B2101" s="158" t="s">
        <v>801</v>
      </c>
      <c r="C2101" s="158" t="s">
        <v>12</v>
      </c>
      <c r="D2101" s="158" t="s">
        <v>13</v>
      </c>
      <c r="E2101" s="157">
        <v>1</v>
      </c>
      <c r="F2101" s="158" t="s">
        <v>525</v>
      </c>
      <c r="G2101" s="159">
        <v>6952.79</v>
      </c>
      <c r="H2101" s="159">
        <v>0</v>
      </c>
      <c r="I2101" s="159">
        <v>3328.54</v>
      </c>
      <c r="J2101" s="159">
        <v>47.9</v>
      </c>
      <c r="K2101" t="str">
        <f>VLOOKUP($C2101,Lists!$C$3:$M$118,7,FALSE)</f>
        <v>Beers</v>
      </c>
    </row>
    <row r="2102" spans="1:11" x14ac:dyDescent="0.25">
      <c r="A2102" s="158" t="s">
        <v>800</v>
      </c>
      <c r="B2102" s="158" t="s">
        <v>801</v>
      </c>
      <c r="C2102" s="158" t="s">
        <v>16</v>
      </c>
      <c r="D2102" s="158" t="s">
        <v>17</v>
      </c>
      <c r="E2102" s="157">
        <v>4</v>
      </c>
      <c r="F2102" s="158" t="s">
        <v>525</v>
      </c>
      <c r="G2102" s="159">
        <v>33373.4</v>
      </c>
      <c r="H2102" s="159">
        <v>0</v>
      </c>
      <c r="I2102" s="159">
        <v>17731.88</v>
      </c>
      <c r="J2102" s="159">
        <v>53.1</v>
      </c>
      <c r="K2102" t="str">
        <f>VLOOKUP($C2102,Lists!$C$3:$M$118,7,FALSE)</f>
        <v>Beers</v>
      </c>
    </row>
    <row r="2103" spans="1:11" x14ac:dyDescent="0.25">
      <c r="A2103" s="158" t="s">
        <v>802</v>
      </c>
      <c r="B2103" s="158" t="s">
        <v>803</v>
      </c>
      <c r="C2103" s="158" t="s">
        <v>41</v>
      </c>
      <c r="D2103" s="158" t="s">
        <v>42</v>
      </c>
      <c r="E2103" s="157">
        <v>0.1</v>
      </c>
      <c r="F2103" s="158" t="s">
        <v>525</v>
      </c>
      <c r="G2103" s="159">
        <v>834.34</v>
      </c>
      <c r="H2103" s="159">
        <v>0</v>
      </c>
      <c r="I2103" s="159">
        <v>385.84</v>
      </c>
      <c r="J2103" s="159">
        <v>46.2</v>
      </c>
      <c r="K2103" t="str">
        <f>VLOOKUP($C2103,Lists!$C$3:$M$118,7,FALSE)</f>
        <v>Alcomix</v>
      </c>
    </row>
    <row r="2104" spans="1:11" x14ac:dyDescent="0.25">
      <c r="A2104" s="158" t="s">
        <v>802</v>
      </c>
      <c r="B2104" s="158" t="s">
        <v>803</v>
      </c>
      <c r="C2104" s="158" t="s">
        <v>10</v>
      </c>
      <c r="D2104" s="158" t="s">
        <v>11</v>
      </c>
      <c r="E2104" s="157">
        <v>0.1</v>
      </c>
      <c r="F2104" s="158" t="s">
        <v>525</v>
      </c>
      <c r="G2104" s="159">
        <v>834.34</v>
      </c>
      <c r="H2104" s="159">
        <v>0</v>
      </c>
      <c r="I2104" s="159">
        <v>385.84</v>
      </c>
      <c r="J2104" s="159">
        <v>46.2</v>
      </c>
      <c r="K2104" t="str">
        <f>VLOOKUP($C2104,Lists!$C$3:$M$118,7,FALSE)</f>
        <v>Alcomix</v>
      </c>
    </row>
    <row r="2105" spans="1:11" x14ac:dyDescent="0.25">
      <c r="A2105" s="158" t="s">
        <v>802</v>
      </c>
      <c r="B2105" s="158" t="s">
        <v>803</v>
      </c>
      <c r="C2105" s="158" t="s">
        <v>12</v>
      </c>
      <c r="D2105" s="158" t="s">
        <v>13</v>
      </c>
      <c r="E2105" s="157">
        <v>0.65</v>
      </c>
      <c r="F2105" s="158" t="s">
        <v>525</v>
      </c>
      <c r="G2105" s="159">
        <v>4519.32</v>
      </c>
      <c r="H2105" s="159">
        <v>0</v>
      </c>
      <c r="I2105" s="159">
        <v>2163.56</v>
      </c>
      <c r="J2105" s="159">
        <v>47.9</v>
      </c>
      <c r="K2105" t="str">
        <f>VLOOKUP($C2105,Lists!$C$3:$M$118,7,FALSE)</f>
        <v>Beers</v>
      </c>
    </row>
    <row r="2106" spans="1:11" x14ac:dyDescent="0.25">
      <c r="A2106" s="158" t="s">
        <v>802</v>
      </c>
      <c r="B2106" s="158" t="s">
        <v>803</v>
      </c>
      <c r="C2106" s="158" t="s">
        <v>14</v>
      </c>
      <c r="D2106" s="158" t="s">
        <v>15</v>
      </c>
      <c r="E2106" s="157">
        <v>0.1</v>
      </c>
      <c r="F2106" s="158" t="s">
        <v>525</v>
      </c>
      <c r="G2106" s="159">
        <v>834.34</v>
      </c>
      <c r="H2106" s="159">
        <v>0</v>
      </c>
      <c r="I2106" s="159">
        <v>443.3</v>
      </c>
      <c r="J2106" s="159">
        <v>53.1</v>
      </c>
      <c r="K2106" t="str">
        <f>VLOOKUP($C2106,Lists!$C$3:$M$118,7,FALSE)</f>
        <v>Beers</v>
      </c>
    </row>
    <row r="2107" spans="1:11" x14ac:dyDescent="0.25">
      <c r="A2107" s="158" t="s">
        <v>802</v>
      </c>
      <c r="B2107" s="158" t="s">
        <v>803</v>
      </c>
      <c r="C2107" s="158" t="s">
        <v>54</v>
      </c>
      <c r="D2107" s="158" t="s">
        <v>55</v>
      </c>
      <c r="E2107" s="157">
        <v>8.3330000000000001E-2</v>
      </c>
      <c r="F2107" s="158" t="s">
        <v>525</v>
      </c>
      <c r="G2107" s="159">
        <v>695.25</v>
      </c>
      <c r="H2107" s="159">
        <v>0</v>
      </c>
      <c r="I2107" s="159">
        <v>389.45</v>
      </c>
      <c r="J2107" s="159">
        <v>56</v>
      </c>
      <c r="K2107" t="str">
        <f>VLOOKUP($C2107,Lists!$C$3:$M$118,7,FALSE)</f>
        <v>Beers</v>
      </c>
    </row>
    <row r="2108" spans="1:11" x14ac:dyDescent="0.25">
      <c r="A2108" s="158" t="s">
        <v>802</v>
      </c>
      <c r="B2108" s="158" t="s">
        <v>803</v>
      </c>
      <c r="C2108" s="158" t="s">
        <v>16</v>
      </c>
      <c r="D2108" s="158" t="s">
        <v>17</v>
      </c>
      <c r="E2108" s="157">
        <v>0.6</v>
      </c>
      <c r="F2108" s="158" t="s">
        <v>525</v>
      </c>
      <c r="G2108" s="159">
        <v>5006.01</v>
      </c>
      <c r="H2108" s="159">
        <v>0</v>
      </c>
      <c r="I2108" s="159">
        <v>2659.77</v>
      </c>
      <c r="J2108" s="159">
        <v>53.1</v>
      </c>
      <c r="K2108" t="str">
        <f>VLOOKUP($C2108,Lists!$C$3:$M$118,7,FALSE)</f>
        <v>Beers</v>
      </c>
    </row>
    <row r="2109" spans="1:11" x14ac:dyDescent="0.25">
      <c r="A2109" s="158" t="s">
        <v>802</v>
      </c>
      <c r="B2109" s="158" t="s">
        <v>803</v>
      </c>
      <c r="C2109" s="158" t="s">
        <v>18</v>
      </c>
      <c r="D2109" s="158" t="s">
        <v>19</v>
      </c>
      <c r="E2109" s="157">
        <v>0.05</v>
      </c>
      <c r="F2109" s="158" t="s">
        <v>525</v>
      </c>
      <c r="G2109" s="159">
        <v>556.22</v>
      </c>
      <c r="H2109" s="159">
        <v>0</v>
      </c>
      <c r="I2109" s="159">
        <v>308.24</v>
      </c>
      <c r="J2109" s="159">
        <v>55.4</v>
      </c>
      <c r="K2109" t="str">
        <f>VLOOKUP($C2109,Lists!$C$3:$M$118,7,FALSE)</f>
        <v>Beers</v>
      </c>
    </row>
    <row r="2110" spans="1:11" x14ac:dyDescent="0.25">
      <c r="A2110" s="158" t="s">
        <v>802</v>
      </c>
      <c r="B2110" s="158" t="s">
        <v>803</v>
      </c>
      <c r="C2110" s="158" t="s">
        <v>20</v>
      </c>
      <c r="D2110" s="158" t="s">
        <v>21</v>
      </c>
      <c r="E2110" s="157">
        <v>0.8</v>
      </c>
      <c r="F2110" s="158" t="s">
        <v>525</v>
      </c>
      <c r="G2110" s="159">
        <v>3419.74</v>
      </c>
      <c r="H2110" s="159">
        <v>0</v>
      </c>
      <c r="I2110" s="159">
        <v>1583.97</v>
      </c>
      <c r="J2110" s="159">
        <v>46.3</v>
      </c>
      <c r="K2110" t="str">
        <f>VLOOKUP($C2110,Lists!$C$3:$M$118,7,FALSE)</f>
        <v>COKE_RGB</v>
      </c>
    </row>
    <row r="2111" spans="1:11" x14ac:dyDescent="0.25">
      <c r="A2111" s="158" t="s">
        <v>802</v>
      </c>
      <c r="B2111" s="158" t="s">
        <v>803</v>
      </c>
      <c r="C2111" s="158" t="s">
        <v>261</v>
      </c>
      <c r="D2111" s="158" t="s">
        <v>538</v>
      </c>
      <c r="E2111" s="157">
        <v>0.2</v>
      </c>
      <c r="F2111" s="158" t="s">
        <v>525</v>
      </c>
      <c r="G2111" s="159">
        <v>854.94</v>
      </c>
      <c r="H2111" s="159">
        <v>0</v>
      </c>
      <c r="I2111" s="159">
        <v>382.25</v>
      </c>
      <c r="J2111" s="159">
        <v>44.7</v>
      </c>
      <c r="K2111" t="str">
        <f>VLOOKUP($C2111,Lists!$C$3:$M$118,7,FALSE)</f>
        <v>COKE_RGB</v>
      </c>
    </row>
    <row r="2112" spans="1:11" x14ac:dyDescent="0.25">
      <c r="A2112" s="158" t="s">
        <v>802</v>
      </c>
      <c r="B2112" s="158" t="s">
        <v>803</v>
      </c>
      <c r="C2112" s="158" t="s">
        <v>37</v>
      </c>
      <c r="D2112" s="158" t="s">
        <v>38</v>
      </c>
      <c r="E2112" s="157">
        <v>0.2</v>
      </c>
      <c r="F2112" s="158" t="s">
        <v>525</v>
      </c>
      <c r="G2112" s="159">
        <v>712.45</v>
      </c>
      <c r="H2112" s="159">
        <v>0</v>
      </c>
      <c r="I2112" s="159">
        <v>361.81</v>
      </c>
      <c r="J2112" s="159">
        <v>50.8</v>
      </c>
      <c r="K2112" t="str">
        <f>VLOOKUP($C2112,Lists!$C$3:$M$118,7,FALSE)</f>
        <v>SOBO_RGB</v>
      </c>
    </row>
    <row r="2113" spans="1:11" x14ac:dyDescent="0.25">
      <c r="A2113" s="158" t="s">
        <v>802</v>
      </c>
      <c r="B2113" s="158" t="s">
        <v>803</v>
      </c>
      <c r="C2113" s="158" t="s">
        <v>39</v>
      </c>
      <c r="D2113" s="158" t="s">
        <v>40</v>
      </c>
      <c r="E2113" s="157">
        <v>0.3</v>
      </c>
      <c r="F2113" s="158" t="s">
        <v>525</v>
      </c>
      <c r="G2113" s="159">
        <v>1068.67</v>
      </c>
      <c r="H2113" s="159">
        <v>0</v>
      </c>
      <c r="I2113" s="159">
        <v>538.62</v>
      </c>
      <c r="J2113" s="159">
        <v>50.4</v>
      </c>
      <c r="K2113" t="str">
        <f>VLOOKUP($C2113,Lists!$C$3:$M$118,7,FALSE)</f>
        <v>SOBO_RGB</v>
      </c>
    </row>
    <row r="2114" spans="1:11" x14ac:dyDescent="0.25">
      <c r="A2114" s="158" t="s">
        <v>804</v>
      </c>
      <c r="B2114" s="158" t="s">
        <v>805</v>
      </c>
      <c r="C2114" s="158" t="s">
        <v>12</v>
      </c>
      <c r="D2114" s="158" t="s">
        <v>13</v>
      </c>
      <c r="E2114" s="157">
        <v>0.4</v>
      </c>
      <c r="F2114" s="158" t="s">
        <v>525</v>
      </c>
      <c r="G2114" s="159">
        <v>2781.12</v>
      </c>
      <c r="H2114" s="159">
        <v>0</v>
      </c>
      <c r="I2114" s="159">
        <v>1331.42</v>
      </c>
      <c r="J2114" s="159">
        <v>47.9</v>
      </c>
      <c r="K2114" t="str">
        <f>VLOOKUP($C2114,Lists!$C$3:$M$118,7,FALSE)</f>
        <v>Beers</v>
      </c>
    </row>
    <row r="2115" spans="1:11" x14ac:dyDescent="0.25">
      <c r="A2115" s="158" t="s">
        <v>804</v>
      </c>
      <c r="B2115" s="158" t="s">
        <v>805</v>
      </c>
      <c r="C2115" s="158" t="s">
        <v>16</v>
      </c>
      <c r="D2115" s="158" t="s">
        <v>17</v>
      </c>
      <c r="E2115" s="157">
        <v>0.85</v>
      </c>
      <c r="F2115" s="158" t="s">
        <v>525</v>
      </c>
      <c r="G2115" s="159">
        <v>7091.85</v>
      </c>
      <c r="H2115" s="159">
        <v>0</v>
      </c>
      <c r="I2115" s="159">
        <v>3768.03</v>
      </c>
      <c r="J2115" s="159">
        <v>53.1</v>
      </c>
      <c r="K2115" t="str">
        <f>VLOOKUP($C2115,Lists!$C$3:$M$118,7,FALSE)</f>
        <v>Beers</v>
      </c>
    </row>
    <row r="2116" spans="1:11" x14ac:dyDescent="0.25">
      <c r="A2116" s="158" t="s">
        <v>804</v>
      </c>
      <c r="B2116" s="158" t="s">
        <v>805</v>
      </c>
      <c r="C2116" s="158" t="s">
        <v>20</v>
      </c>
      <c r="D2116" s="158" t="s">
        <v>21</v>
      </c>
      <c r="E2116" s="157">
        <v>1.05</v>
      </c>
      <c r="F2116" s="158" t="s">
        <v>525</v>
      </c>
      <c r="G2116" s="159">
        <v>4488.3999999999996</v>
      </c>
      <c r="H2116" s="159">
        <v>0</v>
      </c>
      <c r="I2116" s="159">
        <v>2078.94</v>
      </c>
      <c r="J2116" s="159">
        <v>46.3</v>
      </c>
      <c r="K2116" t="str">
        <f>VLOOKUP($C2116,Lists!$C$3:$M$118,7,FALSE)</f>
        <v>COKE_RGB</v>
      </c>
    </row>
    <row r="2117" spans="1:11" x14ac:dyDescent="0.25">
      <c r="A2117" s="158" t="s">
        <v>804</v>
      </c>
      <c r="B2117" s="158" t="s">
        <v>805</v>
      </c>
      <c r="C2117" s="158" t="s">
        <v>58</v>
      </c>
      <c r="D2117" s="158" t="s">
        <v>537</v>
      </c>
      <c r="E2117" s="157">
        <v>0.25</v>
      </c>
      <c r="F2117" s="158" t="s">
        <v>525</v>
      </c>
      <c r="G2117" s="159">
        <v>641.20000000000005</v>
      </c>
      <c r="H2117" s="159">
        <v>0</v>
      </c>
      <c r="I2117" s="159">
        <v>371.43</v>
      </c>
      <c r="J2117" s="159">
        <v>57.9</v>
      </c>
      <c r="K2117" t="str">
        <f>VLOOKUP($C2117,Lists!$C$3:$M$118,7,FALSE)</f>
        <v>SOBO_PET</v>
      </c>
    </row>
    <row r="2118" spans="1:11" x14ac:dyDescent="0.25">
      <c r="A2118" s="158" t="s">
        <v>804</v>
      </c>
      <c r="B2118" s="158" t="s">
        <v>805</v>
      </c>
      <c r="C2118" s="158" t="s">
        <v>22</v>
      </c>
      <c r="D2118" s="158" t="s">
        <v>23</v>
      </c>
      <c r="E2118" s="157">
        <v>0.1</v>
      </c>
      <c r="F2118" s="158" t="s">
        <v>525</v>
      </c>
      <c r="G2118" s="159">
        <v>427.47</v>
      </c>
      <c r="H2118" s="159">
        <v>0</v>
      </c>
      <c r="I2118" s="159">
        <v>191.12</v>
      </c>
      <c r="J2118" s="159">
        <v>44.7</v>
      </c>
      <c r="K2118" t="str">
        <f>VLOOKUP($C2118,Lists!$C$3:$M$118,7,FALSE)</f>
        <v>COKE_RGB</v>
      </c>
    </row>
    <row r="2119" spans="1:11" x14ac:dyDescent="0.25">
      <c r="A2119" s="158" t="s">
        <v>804</v>
      </c>
      <c r="B2119" s="158" t="s">
        <v>805</v>
      </c>
      <c r="C2119" s="158" t="s">
        <v>37</v>
      </c>
      <c r="D2119" s="158" t="s">
        <v>38</v>
      </c>
      <c r="E2119" s="157">
        <v>0.6</v>
      </c>
      <c r="F2119" s="158" t="s">
        <v>525</v>
      </c>
      <c r="G2119" s="159">
        <v>2137.34</v>
      </c>
      <c r="H2119" s="159">
        <v>0</v>
      </c>
      <c r="I2119" s="159">
        <v>1085.43</v>
      </c>
      <c r="J2119" s="159">
        <v>50.8</v>
      </c>
      <c r="K2119" t="str">
        <f>VLOOKUP($C2119,Lists!$C$3:$M$118,7,FALSE)</f>
        <v>SOBO_RGB</v>
      </c>
    </row>
    <row r="2120" spans="1:11" x14ac:dyDescent="0.25">
      <c r="A2120" s="158" t="s">
        <v>804</v>
      </c>
      <c r="B2120" s="158" t="s">
        <v>805</v>
      </c>
      <c r="C2120" s="158" t="s">
        <v>39</v>
      </c>
      <c r="D2120" s="158" t="s">
        <v>40</v>
      </c>
      <c r="E2120" s="157">
        <v>0.25</v>
      </c>
      <c r="F2120" s="158" t="s">
        <v>525</v>
      </c>
      <c r="G2120" s="159">
        <v>890.56</v>
      </c>
      <c r="H2120" s="159">
        <v>0</v>
      </c>
      <c r="I2120" s="159">
        <v>448.85</v>
      </c>
      <c r="J2120" s="159">
        <v>50.4</v>
      </c>
      <c r="K2120" t="str">
        <f>VLOOKUP($C2120,Lists!$C$3:$M$118,7,FALSE)</f>
        <v>SOBO_RGB</v>
      </c>
    </row>
    <row r="2121" spans="1:11" x14ac:dyDescent="0.25">
      <c r="A2121" s="158" t="s">
        <v>804</v>
      </c>
      <c r="B2121" s="158" t="s">
        <v>805</v>
      </c>
      <c r="C2121" s="158" t="s">
        <v>47</v>
      </c>
      <c r="D2121" s="158" t="s">
        <v>48</v>
      </c>
      <c r="E2121" s="157">
        <v>0.35</v>
      </c>
      <c r="F2121" s="158" t="s">
        <v>525</v>
      </c>
      <c r="G2121" s="159">
        <v>1496.14</v>
      </c>
      <c r="H2121" s="159">
        <v>0</v>
      </c>
      <c r="I2121" s="159">
        <v>715.39</v>
      </c>
      <c r="J2121" s="159">
        <v>47.8</v>
      </c>
      <c r="K2121" t="str">
        <f>VLOOKUP($C2121,Lists!$C$3:$M$118,7,FALSE)</f>
        <v>COKE_RGB</v>
      </c>
    </row>
    <row r="2122" spans="1:11" x14ac:dyDescent="0.25">
      <c r="A2122" s="158" t="s">
        <v>806</v>
      </c>
      <c r="B2122" s="158" t="s">
        <v>807</v>
      </c>
      <c r="C2122" s="158" t="s">
        <v>12</v>
      </c>
      <c r="D2122" s="158" t="s">
        <v>13</v>
      </c>
      <c r="E2122" s="157">
        <v>1.95</v>
      </c>
      <c r="F2122" s="158" t="s">
        <v>525</v>
      </c>
      <c r="G2122" s="159">
        <v>13557.94</v>
      </c>
      <c r="H2122" s="159">
        <v>0</v>
      </c>
      <c r="I2122" s="159">
        <v>6490.65</v>
      </c>
      <c r="J2122" s="159">
        <v>47.9</v>
      </c>
      <c r="K2122" t="str">
        <f>VLOOKUP($C2122,Lists!$C$3:$M$118,7,FALSE)</f>
        <v>Beers</v>
      </c>
    </row>
    <row r="2123" spans="1:11" x14ac:dyDescent="0.25">
      <c r="A2123" s="158" t="s">
        <v>808</v>
      </c>
      <c r="B2123" s="158" t="s">
        <v>809</v>
      </c>
      <c r="C2123" s="158" t="s">
        <v>362</v>
      </c>
      <c r="D2123" s="158" t="s">
        <v>363</v>
      </c>
      <c r="E2123" s="157">
        <v>-119</v>
      </c>
      <c r="F2123" s="158" t="s">
        <v>525</v>
      </c>
      <c r="G2123" s="159">
        <v>-638370.74</v>
      </c>
      <c r="H2123" s="159">
        <v>0</v>
      </c>
      <c r="I2123" s="159">
        <v>-158198.6</v>
      </c>
      <c r="J2123" s="159">
        <v>24.8</v>
      </c>
      <c r="K2123" t="str">
        <f>VLOOKUP($C2123,Lists!$C$3:$M$118,7,FALSE)</f>
        <v>Squash</v>
      </c>
    </row>
    <row r="2124" spans="1:11" x14ac:dyDescent="0.25">
      <c r="A2124" s="158" t="s">
        <v>810</v>
      </c>
      <c r="B2124" s="158" t="s">
        <v>811</v>
      </c>
      <c r="C2124" s="158" t="s">
        <v>12</v>
      </c>
      <c r="D2124" s="158" t="s">
        <v>13</v>
      </c>
      <c r="E2124" s="157">
        <v>0.35</v>
      </c>
      <c r="F2124" s="158" t="s">
        <v>525</v>
      </c>
      <c r="G2124" s="159">
        <v>2433.48</v>
      </c>
      <c r="H2124" s="159">
        <v>0</v>
      </c>
      <c r="I2124" s="159">
        <v>1164.99</v>
      </c>
      <c r="J2124" s="159">
        <v>47.9</v>
      </c>
      <c r="K2124" t="str">
        <f>VLOOKUP($C2124,Lists!$C$3:$M$118,7,FALSE)</f>
        <v>Beers</v>
      </c>
    </row>
    <row r="2125" spans="1:11" x14ac:dyDescent="0.25">
      <c r="A2125" s="158" t="s">
        <v>810</v>
      </c>
      <c r="B2125" s="158" t="s">
        <v>811</v>
      </c>
      <c r="C2125" s="158" t="s">
        <v>14</v>
      </c>
      <c r="D2125" s="158" t="s">
        <v>15</v>
      </c>
      <c r="E2125" s="157">
        <v>0.3</v>
      </c>
      <c r="F2125" s="158" t="s">
        <v>525</v>
      </c>
      <c r="G2125" s="159">
        <v>2503.0100000000002</v>
      </c>
      <c r="H2125" s="159">
        <v>0</v>
      </c>
      <c r="I2125" s="159">
        <v>1329.89</v>
      </c>
      <c r="J2125" s="159">
        <v>53.1</v>
      </c>
      <c r="K2125" t="str">
        <f>VLOOKUP($C2125,Lists!$C$3:$M$118,7,FALSE)</f>
        <v>Beers</v>
      </c>
    </row>
    <row r="2126" spans="1:11" x14ac:dyDescent="0.25">
      <c r="A2126" s="158" t="s">
        <v>810</v>
      </c>
      <c r="B2126" s="158" t="s">
        <v>811</v>
      </c>
      <c r="C2126" s="158" t="s">
        <v>16</v>
      </c>
      <c r="D2126" s="158" t="s">
        <v>17</v>
      </c>
      <c r="E2126" s="157">
        <v>1.05</v>
      </c>
      <c r="F2126" s="158" t="s">
        <v>525</v>
      </c>
      <c r="G2126" s="159">
        <v>8760.52</v>
      </c>
      <c r="H2126" s="159">
        <v>0</v>
      </c>
      <c r="I2126" s="159">
        <v>4654.62</v>
      </c>
      <c r="J2126" s="159">
        <v>53.1</v>
      </c>
      <c r="K2126" t="str">
        <f>VLOOKUP($C2126,Lists!$C$3:$M$118,7,FALSE)</f>
        <v>Beers</v>
      </c>
    </row>
    <row r="2127" spans="1:11" x14ac:dyDescent="0.25">
      <c r="A2127" s="158" t="s">
        <v>810</v>
      </c>
      <c r="B2127" s="158" t="s">
        <v>811</v>
      </c>
      <c r="C2127" s="158" t="s">
        <v>20</v>
      </c>
      <c r="D2127" s="158" t="s">
        <v>21</v>
      </c>
      <c r="E2127" s="157">
        <v>0.1</v>
      </c>
      <c r="F2127" s="158" t="s">
        <v>525</v>
      </c>
      <c r="G2127" s="159">
        <v>427.47</v>
      </c>
      <c r="H2127" s="159">
        <v>0</v>
      </c>
      <c r="I2127" s="159">
        <v>198</v>
      </c>
      <c r="J2127" s="159">
        <v>46.3</v>
      </c>
      <c r="K2127" t="str">
        <f>VLOOKUP($C2127,Lists!$C$3:$M$118,7,FALSE)</f>
        <v>COKE_RGB</v>
      </c>
    </row>
    <row r="2128" spans="1:11" x14ac:dyDescent="0.25">
      <c r="A2128" s="158" t="s">
        <v>810</v>
      </c>
      <c r="B2128" s="158" t="s">
        <v>811</v>
      </c>
      <c r="C2128" s="158" t="s">
        <v>43</v>
      </c>
      <c r="D2128" s="158" t="s">
        <v>44</v>
      </c>
      <c r="E2128" s="157">
        <v>0.35</v>
      </c>
      <c r="F2128" s="158" t="s">
        <v>525</v>
      </c>
      <c r="G2128" s="159">
        <v>2920.18</v>
      </c>
      <c r="H2128" s="159">
        <v>0</v>
      </c>
      <c r="I2128" s="159">
        <v>1551.54</v>
      </c>
      <c r="J2128" s="159">
        <v>53.1</v>
      </c>
      <c r="K2128" t="str">
        <f>VLOOKUP($C2128,Lists!$C$3:$M$118,7,FALSE)</f>
        <v>Beers</v>
      </c>
    </row>
    <row r="2129" spans="1:11" x14ac:dyDescent="0.25">
      <c r="A2129" s="158" t="s">
        <v>810</v>
      </c>
      <c r="B2129" s="158" t="s">
        <v>811</v>
      </c>
      <c r="C2129" s="158" t="s">
        <v>22</v>
      </c>
      <c r="D2129" s="158" t="s">
        <v>23</v>
      </c>
      <c r="E2129" s="157">
        <v>0.5</v>
      </c>
      <c r="F2129" s="158" t="s">
        <v>525</v>
      </c>
      <c r="G2129" s="159">
        <v>2137.34</v>
      </c>
      <c r="H2129" s="159">
        <v>0</v>
      </c>
      <c r="I2129" s="159">
        <v>955.6</v>
      </c>
      <c r="J2129" s="159">
        <v>44.7</v>
      </c>
      <c r="K2129" t="str">
        <f>VLOOKUP($C2129,Lists!$C$3:$M$118,7,FALSE)</f>
        <v>COKE_RGB</v>
      </c>
    </row>
    <row r="2130" spans="1:11" x14ac:dyDescent="0.25">
      <c r="A2130" s="158" t="s">
        <v>810</v>
      </c>
      <c r="B2130" s="158" t="s">
        <v>811</v>
      </c>
      <c r="C2130" s="158" t="s">
        <v>24</v>
      </c>
      <c r="D2130" s="158" t="s">
        <v>25</v>
      </c>
      <c r="E2130" s="157">
        <v>0.05</v>
      </c>
      <c r="F2130" s="158" t="s">
        <v>525</v>
      </c>
      <c r="G2130" s="159">
        <v>347.64</v>
      </c>
      <c r="H2130" s="159">
        <v>0</v>
      </c>
      <c r="I2130" s="159">
        <v>180.73</v>
      </c>
      <c r="J2130" s="159">
        <v>52</v>
      </c>
      <c r="K2130" t="str">
        <f>VLOOKUP($C2130,Lists!$C$3:$M$118,7,FALSE)</f>
        <v>Beers</v>
      </c>
    </row>
    <row r="2131" spans="1:11" x14ac:dyDescent="0.25">
      <c r="A2131" s="158" t="s">
        <v>810</v>
      </c>
      <c r="B2131" s="158" t="s">
        <v>811</v>
      </c>
      <c r="C2131" s="158" t="s">
        <v>37</v>
      </c>
      <c r="D2131" s="158" t="s">
        <v>38</v>
      </c>
      <c r="E2131" s="157">
        <v>0.9</v>
      </c>
      <c r="F2131" s="158" t="s">
        <v>525</v>
      </c>
      <c r="G2131" s="159">
        <v>3206.01</v>
      </c>
      <c r="H2131" s="159">
        <v>0</v>
      </c>
      <c r="I2131" s="159">
        <v>1628.14</v>
      </c>
      <c r="J2131" s="159">
        <v>50.8</v>
      </c>
      <c r="K2131" t="str">
        <f>VLOOKUP($C2131,Lists!$C$3:$M$118,7,FALSE)</f>
        <v>SOBO_RGB</v>
      </c>
    </row>
    <row r="2132" spans="1:11" x14ac:dyDescent="0.25">
      <c r="A2132" s="158" t="s">
        <v>810</v>
      </c>
      <c r="B2132" s="158" t="s">
        <v>811</v>
      </c>
      <c r="C2132" s="158" t="s">
        <v>47</v>
      </c>
      <c r="D2132" s="158" t="s">
        <v>48</v>
      </c>
      <c r="E2132" s="157">
        <v>0.2</v>
      </c>
      <c r="F2132" s="158" t="s">
        <v>525</v>
      </c>
      <c r="G2132" s="159">
        <v>854.94</v>
      </c>
      <c r="H2132" s="159">
        <v>0</v>
      </c>
      <c r="I2132" s="159">
        <v>408.8</v>
      </c>
      <c r="J2132" s="159">
        <v>47.8</v>
      </c>
      <c r="K2132" t="str">
        <f>VLOOKUP($C2132,Lists!$C$3:$M$118,7,FALSE)</f>
        <v>COKE_RGB</v>
      </c>
    </row>
    <row r="2133" spans="1:11" x14ac:dyDescent="0.25">
      <c r="A2133" s="158" t="s">
        <v>812</v>
      </c>
      <c r="B2133" s="158" t="s">
        <v>813</v>
      </c>
      <c r="C2133" s="158" t="s">
        <v>14</v>
      </c>
      <c r="D2133" s="158" t="s">
        <v>15</v>
      </c>
      <c r="E2133" s="157">
        <v>1</v>
      </c>
      <c r="F2133" s="158" t="s">
        <v>525</v>
      </c>
      <c r="G2133" s="159">
        <v>8343.35</v>
      </c>
      <c r="H2133" s="159">
        <v>0</v>
      </c>
      <c r="I2133" s="159">
        <v>4432.97</v>
      </c>
      <c r="J2133" s="159">
        <v>53.1</v>
      </c>
      <c r="K2133" t="str">
        <f>VLOOKUP($C2133,Lists!$C$3:$M$118,7,FALSE)</f>
        <v>Beers</v>
      </c>
    </row>
    <row r="2134" spans="1:11" x14ac:dyDescent="0.25">
      <c r="A2134" s="158" t="s">
        <v>814</v>
      </c>
      <c r="B2134" s="158" t="s">
        <v>815</v>
      </c>
      <c r="C2134" s="158" t="s">
        <v>14</v>
      </c>
      <c r="D2134" s="158" t="s">
        <v>15</v>
      </c>
      <c r="E2134" s="157">
        <v>0.05</v>
      </c>
      <c r="F2134" s="158" t="s">
        <v>525</v>
      </c>
      <c r="G2134" s="159">
        <v>417.17</v>
      </c>
      <c r="H2134" s="159">
        <v>0</v>
      </c>
      <c r="I2134" s="159">
        <v>221.65</v>
      </c>
      <c r="J2134" s="159">
        <v>53.1</v>
      </c>
      <c r="K2134" t="str">
        <f>VLOOKUP($C2134,Lists!$C$3:$M$118,7,FALSE)</f>
        <v>Beers</v>
      </c>
    </row>
    <row r="2135" spans="1:11" x14ac:dyDescent="0.25">
      <c r="A2135" s="158" t="s">
        <v>814</v>
      </c>
      <c r="B2135" s="158" t="s">
        <v>815</v>
      </c>
      <c r="C2135" s="158" t="s">
        <v>16</v>
      </c>
      <c r="D2135" s="158" t="s">
        <v>17</v>
      </c>
      <c r="E2135" s="157">
        <v>0.6</v>
      </c>
      <c r="F2135" s="158" t="s">
        <v>525</v>
      </c>
      <c r="G2135" s="159">
        <v>5006.01</v>
      </c>
      <c r="H2135" s="159">
        <v>0</v>
      </c>
      <c r="I2135" s="159">
        <v>2659.78</v>
      </c>
      <c r="J2135" s="159">
        <v>53.1</v>
      </c>
      <c r="K2135" t="str">
        <f>VLOOKUP($C2135,Lists!$C$3:$M$118,7,FALSE)</f>
        <v>Beers</v>
      </c>
    </row>
    <row r="2136" spans="1:11" x14ac:dyDescent="0.25">
      <c r="A2136" s="158" t="s">
        <v>814</v>
      </c>
      <c r="B2136" s="158" t="s">
        <v>815</v>
      </c>
      <c r="C2136" s="158" t="s">
        <v>18</v>
      </c>
      <c r="D2136" s="158" t="s">
        <v>19</v>
      </c>
      <c r="E2136" s="157">
        <v>0.05</v>
      </c>
      <c r="F2136" s="158" t="s">
        <v>525</v>
      </c>
      <c r="G2136" s="159">
        <v>556.22</v>
      </c>
      <c r="H2136" s="159">
        <v>0</v>
      </c>
      <c r="I2136" s="159">
        <v>308.24</v>
      </c>
      <c r="J2136" s="159">
        <v>55.4</v>
      </c>
      <c r="K2136" t="str">
        <f>VLOOKUP($C2136,Lists!$C$3:$M$118,7,FALSE)</f>
        <v>Beers</v>
      </c>
    </row>
    <row r="2137" spans="1:11" x14ac:dyDescent="0.25">
      <c r="A2137" s="158" t="s">
        <v>814</v>
      </c>
      <c r="B2137" s="158" t="s">
        <v>815</v>
      </c>
      <c r="C2137" s="158" t="s">
        <v>20</v>
      </c>
      <c r="D2137" s="158" t="s">
        <v>21</v>
      </c>
      <c r="E2137" s="157">
        <v>1</v>
      </c>
      <c r="F2137" s="158" t="s">
        <v>525</v>
      </c>
      <c r="G2137" s="159">
        <v>4274.68</v>
      </c>
      <c r="H2137" s="159">
        <v>0</v>
      </c>
      <c r="I2137" s="159">
        <v>1979.98</v>
      </c>
      <c r="J2137" s="159">
        <v>46.3</v>
      </c>
      <c r="K2137" t="str">
        <f>VLOOKUP($C2137,Lists!$C$3:$M$118,7,FALSE)</f>
        <v>COKE_RGB</v>
      </c>
    </row>
    <row r="2138" spans="1:11" x14ac:dyDescent="0.25">
      <c r="A2138" s="158" t="s">
        <v>814</v>
      </c>
      <c r="B2138" s="158" t="s">
        <v>815</v>
      </c>
      <c r="C2138" s="158" t="s">
        <v>59</v>
      </c>
      <c r="D2138" s="158" t="s">
        <v>60</v>
      </c>
      <c r="E2138" s="157">
        <v>1.05</v>
      </c>
      <c r="F2138" s="158" t="s">
        <v>525</v>
      </c>
      <c r="G2138" s="159">
        <v>4488.41</v>
      </c>
      <c r="H2138" s="159">
        <v>0</v>
      </c>
      <c r="I2138" s="159">
        <v>2024.64</v>
      </c>
      <c r="J2138" s="159">
        <v>45.1</v>
      </c>
      <c r="K2138" t="str">
        <f>VLOOKUP($C2138,Lists!$C$3:$M$118,7,FALSE)</f>
        <v>COKE_RGB</v>
      </c>
    </row>
    <row r="2139" spans="1:11" x14ac:dyDescent="0.25">
      <c r="A2139" s="158" t="s">
        <v>814</v>
      </c>
      <c r="B2139" s="158" t="s">
        <v>815</v>
      </c>
      <c r="C2139" s="158" t="s">
        <v>22</v>
      </c>
      <c r="D2139" s="158" t="s">
        <v>23</v>
      </c>
      <c r="E2139" s="157">
        <v>0.35</v>
      </c>
      <c r="F2139" s="158" t="s">
        <v>525</v>
      </c>
      <c r="G2139" s="159">
        <v>1496.14</v>
      </c>
      <c r="H2139" s="159">
        <v>0</v>
      </c>
      <c r="I2139" s="159">
        <v>668.93</v>
      </c>
      <c r="J2139" s="159">
        <v>44.7</v>
      </c>
      <c r="K2139" t="str">
        <f>VLOOKUP($C2139,Lists!$C$3:$M$118,7,FALSE)</f>
        <v>COKE_RGB</v>
      </c>
    </row>
    <row r="2140" spans="1:11" x14ac:dyDescent="0.25">
      <c r="A2140" s="158" t="s">
        <v>814</v>
      </c>
      <c r="B2140" s="158" t="s">
        <v>815</v>
      </c>
      <c r="C2140" s="158" t="s">
        <v>261</v>
      </c>
      <c r="D2140" s="158" t="s">
        <v>538</v>
      </c>
      <c r="E2140" s="157">
        <v>0.3</v>
      </c>
      <c r="F2140" s="158" t="s">
        <v>525</v>
      </c>
      <c r="G2140" s="159">
        <v>1282.4100000000001</v>
      </c>
      <c r="H2140" s="159">
        <v>0</v>
      </c>
      <c r="I2140" s="159">
        <v>573.37</v>
      </c>
      <c r="J2140" s="159">
        <v>44.7</v>
      </c>
      <c r="K2140" t="str">
        <f>VLOOKUP($C2140,Lists!$C$3:$M$118,7,FALSE)</f>
        <v>COKE_RGB</v>
      </c>
    </row>
    <row r="2141" spans="1:11" x14ac:dyDescent="0.25">
      <c r="A2141" s="158" t="s">
        <v>814</v>
      </c>
      <c r="B2141" s="158" t="s">
        <v>815</v>
      </c>
      <c r="C2141" s="158" t="s">
        <v>37</v>
      </c>
      <c r="D2141" s="158" t="s">
        <v>38</v>
      </c>
      <c r="E2141" s="157">
        <v>0.15</v>
      </c>
      <c r="F2141" s="158" t="s">
        <v>525</v>
      </c>
      <c r="G2141" s="159">
        <v>534.33000000000004</v>
      </c>
      <c r="H2141" s="159">
        <v>0</v>
      </c>
      <c r="I2141" s="159">
        <v>271.35000000000002</v>
      </c>
      <c r="J2141" s="159">
        <v>50.8</v>
      </c>
      <c r="K2141" t="str">
        <f>VLOOKUP($C2141,Lists!$C$3:$M$118,7,FALSE)</f>
        <v>SOBO_RGB</v>
      </c>
    </row>
    <row r="2142" spans="1:11" x14ac:dyDescent="0.25">
      <c r="A2142" s="158" t="s">
        <v>814</v>
      </c>
      <c r="B2142" s="158" t="s">
        <v>815</v>
      </c>
      <c r="C2142" s="158" t="s">
        <v>45</v>
      </c>
      <c r="D2142" s="158" t="s">
        <v>46</v>
      </c>
      <c r="E2142" s="157">
        <v>0.05</v>
      </c>
      <c r="F2142" s="158" t="s">
        <v>525</v>
      </c>
      <c r="G2142" s="159">
        <v>213.73</v>
      </c>
      <c r="H2142" s="159">
        <v>0</v>
      </c>
      <c r="I2142" s="159">
        <v>113.3</v>
      </c>
      <c r="J2142" s="159">
        <v>53</v>
      </c>
      <c r="K2142" t="str">
        <f>VLOOKUP($C2142,Lists!$C$3:$M$118,7,FALSE)</f>
        <v>SOBO_RGB</v>
      </c>
    </row>
    <row r="2143" spans="1:11" x14ac:dyDescent="0.25">
      <c r="A2143" s="158" t="s">
        <v>814</v>
      </c>
      <c r="B2143" s="158" t="s">
        <v>815</v>
      </c>
      <c r="C2143" s="158" t="s">
        <v>47</v>
      </c>
      <c r="D2143" s="158" t="s">
        <v>48</v>
      </c>
      <c r="E2143" s="157">
        <v>0.15</v>
      </c>
      <c r="F2143" s="158" t="s">
        <v>525</v>
      </c>
      <c r="G2143" s="159">
        <v>641.20000000000005</v>
      </c>
      <c r="H2143" s="159">
        <v>0</v>
      </c>
      <c r="I2143" s="159">
        <v>306.58999999999997</v>
      </c>
      <c r="J2143" s="159">
        <v>47.8</v>
      </c>
      <c r="K2143" t="str">
        <f>VLOOKUP($C2143,Lists!$C$3:$M$118,7,FALSE)</f>
        <v>COKE_RGB</v>
      </c>
    </row>
    <row r="2144" spans="1:11" x14ac:dyDescent="0.25">
      <c r="A2144" s="158" t="s">
        <v>814</v>
      </c>
      <c r="B2144" s="158" t="s">
        <v>815</v>
      </c>
      <c r="C2144" s="158" t="s">
        <v>26</v>
      </c>
      <c r="D2144" s="158" t="s">
        <v>27</v>
      </c>
      <c r="E2144" s="157">
        <v>0.05</v>
      </c>
      <c r="F2144" s="158" t="s">
        <v>525</v>
      </c>
      <c r="G2144" s="159">
        <v>116.76</v>
      </c>
      <c r="H2144" s="159">
        <v>0</v>
      </c>
      <c r="I2144" s="159">
        <v>55.75</v>
      </c>
      <c r="J2144" s="159">
        <v>47.7</v>
      </c>
      <c r="K2144" t="str">
        <f>VLOOKUP($C2144,Lists!$C$3:$M$118,7,FALSE)</f>
        <v>Water</v>
      </c>
    </row>
    <row r="2145" spans="1:11" x14ac:dyDescent="0.25">
      <c r="A2145" s="158" t="s">
        <v>816</v>
      </c>
      <c r="B2145" s="158" t="s">
        <v>817</v>
      </c>
      <c r="C2145" s="158" t="s">
        <v>14</v>
      </c>
      <c r="D2145" s="158" t="s">
        <v>15</v>
      </c>
      <c r="E2145" s="157">
        <v>0.8</v>
      </c>
      <c r="F2145" s="158" t="s">
        <v>525</v>
      </c>
      <c r="G2145" s="159">
        <v>6674.68</v>
      </c>
      <c r="H2145" s="159">
        <v>0</v>
      </c>
      <c r="I2145" s="159">
        <v>3546.37</v>
      </c>
      <c r="J2145" s="159">
        <v>53.1</v>
      </c>
      <c r="K2145" t="str">
        <f>VLOOKUP($C2145,Lists!$C$3:$M$118,7,FALSE)</f>
        <v>Beers</v>
      </c>
    </row>
    <row r="2146" spans="1:11" x14ac:dyDescent="0.25">
      <c r="A2146" s="158" t="s">
        <v>816</v>
      </c>
      <c r="B2146" s="158" t="s">
        <v>817</v>
      </c>
      <c r="C2146" s="158" t="s">
        <v>20</v>
      </c>
      <c r="D2146" s="158" t="s">
        <v>21</v>
      </c>
      <c r="E2146" s="157">
        <v>2</v>
      </c>
      <c r="F2146" s="158" t="s">
        <v>525</v>
      </c>
      <c r="G2146" s="159">
        <v>8549.36</v>
      </c>
      <c r="H2146" s="159">
        <v>0</v>
      </c>
      <c r="I2146" s="159">
        <v>3959.95</v>
      </c>
      <c r="J2146" s="159">
        <v>46.3</v>
      </c>
      <c r="K2146" t="str">
        <f>VLOOKUP($C2146,Lists!$C$3:$M$118,7,FALSE)</f>
        <v>COKE_RGB</v>
      </c>
    </row>
    <row r="2147" spans="1:11" x14ac:dyDescent="0.25">
      <c r="A2147" s="158" t="s">
        <v>816</v>
      </c>
      <c r="B2147" s="158" t="s">
        <v>817</v>
      </c>
      <c r="C2147" s="158" t="s">
        <v>24</v>
      </c>
      <c r="D2147" s="158" t="s">
        <v>25</v>
      </c>
      <c r="E2147" s="157">
        <v>0.1</v>
      </c>
      <c r="F2147" s="158" t="s">
        <v>525</v>
      </c>
      <c r="G2147" s="159">
        <v>695.28</v>
      </c>
      <c r="H2147" s="159">
        <v>0</v>
      </c>
      <c r="I2147" s="159">
        <v>361.47</v>
      </c>
      <c r="J2147" s="159">
        <v>52</v>
      </c>
      <c r="K2147" t="str">
        <f>VLOOKUP($C2147,Lists!$C$3:$M$118,7,FALSE)</f>
        <v>Beers</v>
      </c>
    </row>
    <row r="2148" spans="1:11" x14ac:dyDescent="0.25">
      <c r="A2148" s="158" t="s">
        <v>816</v>
      </c>
      <c r="B2148" s="158" t="s">
        <v>817</v>
      </c>
      <c r="C2148" s="158" t="s">
        <v>37</v>
      </c>
      <c r="D2148" s="158" t="s">
        <v>38</v>
      </c>
      <c r="E2148" s="157">
        <v>0.1</v>
      </c>
      <c r="F2148" s="158" t="s">
        <v>525</v>
      </c>
      <c r="G2148" s="159">
        <v>356.22</v>
      </c>
      <c r="H2148" s="159">
        <v>0</v>
      </c>
      <c r="I2148" s="159">
        <v>180.9</v>
      </c>
      <c r="J2148" s="159">
        <v>50.8</v>
      </c>
      <c r="K2148" t="str">
        <f>VLOOKUP($C2148,Lists!$C$3:$M$118,7,FALSE)</f>
        <v>SOBO_RGB</v>
      </c>
    </row>
    <row r="2149" spans="1:11" x14ac:dyDescent="0.25">
      <c r="A2149" s="158" t="s">
        <v>816</v>
      </c>
      <c r="B2149" s="158" t="s">
        <v>817</v>
      </c>
      <c r="C2149" s="158" t="s">
        <v>45</v>
      </c>
      <c r="D2149" s="158" t="s">
        <v>46</v>
      </c>
      <c r="E2149" s="157">
        <v>0.15</v>
      </c>
      <c r="F2149" s="158" t="s">
        <v>525</v>
      </c>
      <c r="G2149" s="159">
        <v>641.20000000000005</v>
      </c>
      <c r="H2149" s="159">
        <v>0</v>
      </c>
      <c r="I2149" s="159">
        <v>339.92</v>
      </c>
      <c r="J2149" s="159">
        <v>53</v>
      </c>
      <c r="K2149" t="str">
        <f>VLOOKUP($C2149,Lists!$C$3:$M$118,7,FALSE)</f>
        <v>SOBO_RGB</v>
      </c>
    </row>
    <row r="2150" spans="1:11" x14ac:dyDescent="0.25">
      <c r="A2150" s="158" t="s">
        <v>816</v>
      </c>
      <c r="B2150" s="158" t="s">
        <v>817</v>
      </c>
      <c r="C2150" s="158" t="s">
        <v>47</v>
      </c>
      <c r="D2150" s="158" t="s">
        <v>48</v>
      </c>
      <c r="E2150" s="157">
        <v>0.25</v>
      </c>
      <c r="F2150" s="158" t="s">
        <v>525</v>
      </c>
      <c r="G2150" s="159">
        <v>1068.67</v>
      </c>
      <c r="H2150" s="159">
        <v>0</v>
      </c>
      <c r="I2150" s="159">
        <v>510.99</v>
      </c>
      <c r="J2150" s="159">
        <v>47.8</v>
      </c>
      <c r="K2150" t="str">
        <f>VLOOKUP($C2150,Lists!$C$3:$M$118,7,FALSE)</f>
        <v>COKE_RGB</v>
      </c>
    </row>
    <row r="2151" spans="1:11" x14ac:dyDescent="0.25">
      <c r="A2151" s="158" t="s">
        <v>818</v>
      </c>
      <c r="B2151" s="158" t="s">
        <v>819</v>
      </c>
      <c r="C2151" s="158" t="s">
        <v>12</v>
      </c>
      <c r="D2151" s="158" t="s">
        <v>13</v>
      </c>
      <c r="E2151" s="157">
        <v>1</v>
      </c>
      <c r="F2151" s="158" t="s">
        <v>525</v>
      </c>
      <c r="G2151" s="159">
        <v>6952.79</v>
      </c>
      <c r="H2151" s="159">
        <v>0</v>
      </c>
      <c r="I2151" s="159">
        <v>3328.54</v>
      </c>
      <c r="J2151" s="159">
        <v>47.9</v>
      </c>
      <c r="K2151" t="str">
        <f>VLOOKUP($C2151,Lists!$C$3:$M$118,7,FALSE)</f>
        <v>Beers</v>
      </c>
    </row>
    <row r="2152" spans="1:11" x14ac:dyDescent="0.25">
      <c r="A2152" s="158" t="s">
        <v>818</v>
      </c>
      <c r="B2152" s="158" t="s">
        <v>819</v>
      </c>
      <c r="C2152" s="158" t="s">
        <v>14</v>
      </c>
      <c r="D2152" s="158" t="s">
        <v>15</v>
      </c>
      <c r="E2152" s="157">
        <v>1.35</v>
      </c>
      <c r="F2152" s="158" t="s">
        <v>525</v>
      </c>
      <c r="G2152" s="159">
        <v>11263.53</v>
      </c>
      <c r="H2152" s="159">
        <v>0</v>
      </c>
      <c r="I2152" s="159">
        <v>5984.51</v>
      </c>
      <c r="J2152" s="159">
        <v>53.1</v>
      </c>
      <c r="K2152" t="str">
        <f>VLOOKUP($C2152,Lists!$C$3:$M$118,7,FALSE)</f>
        <v>Beers</v>
      </c>
    </row>
    <row r="2153" spans="1:11" x14ac:dyDescent="0.25">
      <c r="A2153" s="158" t="s">
        <v>818</v>
      </c>
      <c r="B2153" s="158" t="s">
        <v>819</v>
      </c>
      <c r="C2153" s="158" t="s">
        <v>20</v>
      </c>
      <c r="D2153" s="158" t="s">
        <v>21</v>
      </c>
      <c r="E2153" s="157">
        <v>0.1</v>
      </c>
      <c r="F2153" s="158" t="s">
        <v>525</v>
      </c>
      <c r="G2153" s="159">
        <v>427.46</v>
      </c>
      <c r="H2153" s="159">
        <v>0</v>
      </c>
      <c r="I2153" s="159">
        <v>197.98</v>
      </c>
      <c r="J2153" s="159">
        <v>46.3</v>
      </c>
      <c r="K2153" t="str">
        <f>VLOOKUP($C2153,Lists!$C$3:$M$118,7,FALSE)</f>
        <v>COKE_RGB</v>
      </c>
    </row>
    <row r="2154" spans="1:11" x14ac:dyDescent="0.25">
      <c r="A2154" s="158" t="s">
        <v>818</v>
      </c>
      <c r="B2154" s="158" t="s">
        <v>819</v>
      </c>
      <c r="C2154" s="158" t="s">
        <v>59</v>
      </c>
      <c r="D2154" s="158" t="s">
        <v>60</v>
      </c>
      <c r="E2154" s="157">
        <v>0.35</v>
      </c>
      <c r="F2154" s="158" t="s">
        <v>525</v>
      </c>
      <c r="G2154" s="159">
        <v>1496.14</v>
      </c>
      <c r="H2154" s="159">
        <v>0</v>
      </c>
      <c r="I2154" s="159">
        <v>674.88</v>
      </c>
      <c r="J2154" s="159">
        <v>45.1</v>
      </c>
      <c r="K2154" t="str">
        <f>VLOOKUP($C2154,Lists!$C$3:$M$118,7,FALSE)</f>
        <v>COKE_RGB</v>
      </c>
    </row>
    <row r="2155" spans="1:11" x14ac:dyDescent="0.25">
      <c r="A2155" s="158" t="s">
        <v>818</v>
      </c>
      <c r="B2155" s="158" t="s">
        <v>819</v>
      </c>
      <c r="C2155" s="158" t="s">
        <v>22</v>
      </c>
      <c r="D2155" s="158" t="s">
        <v>23</v>
      </c>
      <c r="E2155" s="157">
        <v>0.3</v>
      </c>
      <c r="F2155" s="158" t="s">
        <v>525</v>
      </c>
      <c r="G2155" s="159">
        <v>1282.4000000000001</v>
      </c>
      <c r="H2155" s="159">
        <v>0</v>
      </c>
      <c r="I2155" s="159">
        <v>573.36</v>
      </c>
      <c r="J2155" s="159">
        <v>44.7</v>
      </c>
      <c r="K2155" t="str">
        <f>VLOOKUP($C2155,Lists!$C$3:$M$118,7,FALSE)</f>
        <v>COKE_RGB</v>
      </c>
    </row>
    <row r="2156" spans="1:11" x14ac:dyDescent="0.25">
      <c r="A2156" s="158" t="s">
        <v>818</v>
      </c>
      <c r="B2156" s="158" t="s">
        <v>819</v>
      </c>
      <c r="C2156" s="158" t="s">
        <v>261</v>
      </c>
      <c r="D2156" s="158" t="s">
        <v>538</v>
      </c>
      <c r="E2156" s="157">
        <v>0.25</v>
      </c>
      <c r="F2156" s="158" t="s">
        <v>525</v>
      </c>
      <c r="G2156" s="159">
        <v>1068.67</v>
      </c>
      <c r="H2156" s="159">
        <v>0</v>
      </c>
      <c r="I2156" s="159">
        <v>477.8</v>
      </c>
      <c r="J2156" s="159">
        <v>44.7</v>
      </c>
      <c r="K2156" t="str">
        <f>VLOOKUP($C2156,Lists!$C$3:$M$118,7,FALSE)</f>
        <v>COKE_RGB</v>
      </c>
    </row>
    <row r="2157" spans="1:11" x14ac:dyDescent="0.25">
      <c r="A2157" s="158" t="s">
        <v>818</v>
      </c>
      <c r="B2157" s="158" t="s">
        <v>819</v>
      </c>
      <c r="C2157" s="158" t="s">
        <v>37</v>
      </c>
      <c r="D2157" s="158" t="s">
        <v>38</v>
      </c>
      <c r="E2157" s="157">
        <v>0.05</v>
      </c>
      <c r="F2157" s="158" t="s">
        <v>525</v>
      </c>
      <c r="G2157" s="159">
        <v>178.11</v>
      </c>
      <c r="H2157" s="159">
        <v>0</v>
      </c>
      <c r="I2157" s="159">
        <v>90.45</v>
      </c>
      <c r="J2157" s="159">
        <v>50.8</v>
      </c>
      <c r="K2157" t="str">
        <f>VLOOKUP($C2157,Lists!$C$3:$M$118,7,FALSE)</f>
        <v>SOBO_RGB</v>
      </c>
    </row>
    <row r="2158" spans="1:11" x14ac:dyDescent="0.25">
      <c r="A2158" s="158" t="s">
        <v>818</v>
      </c>
      <c r="B2158" s="158" t="s">
        <v>819</v>
      </c>
      <c r="C2158" s="158" t="s">
        <v>39</v>
      </c>
      <c r="D2158" s="158" t="s">
        <v>40</v>
      </c>
      <c r="E2158" s="157">
        <v>0.05</v>
      </c>
      <c r="F2158" s="158" t="s">
        <v>525</v>
      </c>
      <c r="G2158" s="159">
        <v>178.11</v>
      </c>
      <c r="H2158" s="159">
        <v>0</v>
      </c>
      <c r="I2158" s="159">
        <v>89.77</v>
      </c>
      <c r="J2158" s="159">
        <v>50.4</v>
      </c>
      <c r="K2158" t="str">
        <f>VLOOKUP($C2158,Lists!$C$3:$M$118,7,FALSE)</f>
        <v>SOBO_RGB</v>
      </c>
    </row>
    <row r="2159" spans="1:11" x14ac:dyDescent="0.25">
      <c r="A2159" s="158" t="s">
        <v>818</v>
      </c>
      <c r="B2159" s="158" t="s">
        <v>819</v>
      </c>
      <c r="C2159" s="158" t="s">
        <v>45</v>
      </c>
      <c r="D2159" s="158" t="s">
        <v>46</v>
      </c>
      <c r="E2159" s="157">
        <v>0.1</v>
      </c>
      <c r="F2159" s="158" t="s">
        <v>525</v>
      </c>
      <c r="G2159" s="159">
        <v>427.47</v>
      </c>
      <c r="H2159" s="159">
        <v>0</v>
      </c>
      <c r="I2159" s="159">
        <v>226.61</v>
      </c>
      <c r="J2159" s="159">
        <v>53</v>
      </c>
      <c r="K2159" t="str">
        <f>VLOOKUP($C2159,Lists!$C$3:$M$118,7,FALSE)</f>
        <v>SOBO_RGB</v>
      </c>
    </row>
    <row r="2160" spans="1:11" x14ac:dyDescent="0.25">
      <c r="A2160" s="158" t="s">
        <v>818</v>
      </c>
      <c r="B2160" s="158" t="s">
        <v>819</v>
      </c>
      <c r="C2160" s="158" t="s">
        <v>47</v>
      </c>
      <c r="D2160" s="158" t="s">
        <v>48</v>
      </c>
      <c r="E2160" s="157">
        <v>0.65</v>
      </c>
      <c r="F2160" s="158" t="s">
        <v>525</v>
      </c>
      <c r="G2160" s="159">
        <v>2778.54</v>
      </c>
      <c r="H2160" s="159">
        <v>0</v>
      </c>
      <c r="I2160" s="159">
        <v>1328.58</v>
      </c>
      <c r="J2160" s="159">
        <v>47.8</v>
      </c>
      <c r="K2160" t="str">
        <f>VLOOKUP($C2160,Lists!$C$3:$M$118,7,FALSE)</f>
        <v>COKE_RGB</v>
      </c>
    </row>
    <row r="2161" spans="1:11" x14ac:dyDescent="0.25">
      <c r="A2161" s="158" t="s">
        <v>820</v>
      </c>
      <c r="B2161" s="158" t="s">
        <v>821</v>
      </c>
      <c r="C2161" s="158" t="s">
        <v>14</v>
      </c>
      <c r="D2161" s="158" t="s">
        <v>15</v>
      </c>
      <c r="E2161" s="157">
        <v>0.1</v>
      </c>
      <c r="F2161" s="158" t="s">
        <v>525</v>
      </c>
      <c r="G2161" s="159">
        <v>834.34</v>
      </c>
      <c r="H2161" s="159">
        <v>0</v>
      </c>
      <c r="I2161" s="159">
        <v>443.3</v>
      </c>
      <c r="J2161" s="159">
        <v>53.1</v>
      </c>
      <c r="K2161" t="str">
        <f>VLOOKUP($C2161,Lists!$C$3:$M$118,7,FALSE)</f>
        <v>Beers</v>
      </c>
    </row>
    <row r="2162" spans="1:11" x14ac:dyDescent="0.25">
      <c r="A2162" s="158" t="s">
        <v>820</v>
      </c>
      <c r="B2162" s="158" t="s">
        <v>821</v>
      </c>
      <c r="C2162" s="158" t="s">
        <v>16</v>
      </c>
      <c r="D2162" s="158" t="s">
        <v>17</v>
      </c>
      <c r="E2162" s="157">
        <v>0.05</v>
      </c>
      <c r="F2162" s="158" t="s">
        <v>525</v>
      </c>
      <c r="G2162" s="159">
        <v>417.17</v>
      </c>
      <c r="H2162" s="159">
        <v>0</v>
      </c>
      <c r="I2162" s="159">
        <v>221.65</v>
      </c>
      <c r="J2162" s="159">
        <v>53.1</v>
      </c>
      <c r="K2162" t="str">
        <f>VLOOKUP($C2162,Lists!$C$3:$M$118,7,FALSE)</f>
        <v>Beers</v>
      </c>
    </row>
    <row r="2163" spans="1:11" x14ac:dyDescent="0.25">
      <c r="A2163" s="158" t="s">
        <v>820</v>
      </c>
      <c r="B2163" s="158" t="s">
        <v>821</v>
      </c>
      <c r="C2163" s="158" t="s">
        <v>20</v>
      </c>
      <c r="D2163" s="158" t="s">
        <v>21</v>
      </c>
      <c r="E2163" s="157">
        <v>0.4</v>
      </c>
      <c r="F2163" s="158" t="s">
        <v>525</v>
      </c>
      <c r="G2163" s="159">
        <v>1709.88</v>
      </c>
      <c r="H2163" s="159">
        <v>0</v>
      </c>
      <c r="I2163" s="159">
        <v>792</v>
      </c>
      <c r="J2163" s="159">
        <v>46.3</v>
      </c>
      <c r="K2163" t="str">
        <f>VLOOKUP($C2163,Lists!$C$3:$M$118,7,FALSE)</f>
        <v>COKE_RGB</v>
      </c>
    </row>
    <row r="2164" spans="1:11" x14ac:dyDescent="0.25">
      <c r="A2164" s="158" t="s">
        <v>820</v>
      </c>
      <c r="B2164" s="158" t="s">
        <v>821</v>
      </c>
      <c r="C2164" s="158" t="s">
        <v>22</v>
      </c>
      <c r="D2164" s="158" t="s">
        <v>23</v>
      </c>
      <c r="E2164" s="157">
        <v>0.1</v>
      </c>
      <c r="F2164" s="158" t="s">
        <v>525</v>
      </c>
      <c r="G2164" s="159">
        <v>427.47</v>
      </c>
      <c r="H2164" s="159">
        <v>0</v>
      </c>
      <c r="I2164" s="159">
        <v>191.12</v>
      </c>
      <c r="J2164" s="159">
        <v>44.7</v>
      </c>
      <c r="K2164" t="str">
        <f>VLOOKUP($C2164,Lists!$C$3:$M$118,7,FALSE)</f>
        <v>COKE_RGB</v>
      </c>
    </row>
    <row r="2165" spans="1:11" x14ac:dyDescent="0.25">
      <c r="A2165" s="158" t="s">
        <v>820</v>
      </c>
      <c r="B2165" s="158" t="s">
        <v>821</v>
      </c>
      <c r="C2165" s="158" t="s">
        <v>39</v>
      </c>
      <c r="D2165" s="158" t="s">
        <v>40</v>
      </c>
      <c r="E2165" s="157">
        <v>0.2</v>
      </c>
      <c r="F2165" s="158" t="s">
        <v>525</v>
      </c>
      <c r="G2165" s="159">
        <v>712.45</v>
      </c>
      <c r="H2165" s="159">
        <v>0</v>
      </c>
      <c r="I2165" s="159">
        <v>359.08</v>
      </c>
      <c r="J2165" s="159">
        <v>50.4</v>
      </c>
      <c r="K2165" t="str">
        <f>VLOOKUP($C2165,Lists!$C$3:$M$118,7,FALSE)</f>
        <v>SOBO_RGB</v>
      </c>
    </row>
    <row r="2166" spans="1:11" x14ac:dyDescent="0.25">
      <c r="A2166" s="158" t="s">
        <v>820</v>
      </c>
      <c r="B2166" s="158" t="s">
        <v>821</v>
      </c>
      <c r="C2166" s="158" t="s">
        <v>88</v>
      </c>
      <c r="D2166" s="158" t="s">
        <v>527</v>
      </c>
      <c r="E2166" s="157">
        <v>2</v>
      </c>
      <c r="F2166" s="158" t="s">
        <v>525</v>
      </c>
      <c r="G2166" s="159">
        <v>5984.54</v>
      </c>
      <c r="H2166" s="159">
        <v>0</v>
      </c>
      <c r="I2166" s="159">
        <v>3651.14</v>
      </c>
      <c r="J2166" s="159">
        <v>61</v>
      </c>
      <c r="K2166" t="str">
        <f>VLOOKUP($C2166,Lists!$C$3:$M$118,7,FALSE)</f>
        <v>SOBO_PET</v>
      </c>
    </row>
    <row r="2167" spans="1:11" x14ac:dyDescent="0.25">
      <c r="A2167" s="158" t="s">
        <v>820</v>
      </c>
      <c r="B2167" s="158" t="s">
        <v>821</v>
      </c>
      <c r="C2167" s="158" t="s">
        <v>51</v>
      </c>
      <c r="D2167" s="158" t="s">
        <v>52</v>
      </c>
      <c r="E2167" s="157">
        <v>0.16667000000000001</v>
      </c>
      <c r="F2167" s="158" t="s">
        <v>525</v>
      </c>
      <c r="G2167" s="159">
        <v>1788.25</v>
      </c>
      <c r="H2167" s="159">
        <v>0</v>
      </c>
      <c r="I2167" s="159">
        <v>644.84</v>
      </c>
      <c r="J2167" s="159">
        <v>36.1</v>
      </c>
      <c r="K2167" t="str">
        <f>VLOOKUP($C2167,Lists!$C$3:$M$118,7,FALSE)</f>
        <v>Squash</v>
      </c>
    </row>
    <row r="2168" spans="1:11" x14ac:dyDescent="0.25">
      <c r="A2168" s="158" t="s">
        <v>822</v>
      </c>
      <c r="B2168" s="158" t="s">
        <v>823</v>
      </c>
      <c r="C2168" s="158" t="s">
        <v>16</v>
      </c>
      <c r="D2168" s="158" t="s">
        <v>17</v>
      </c>
      <c r="E2168" s="157">
        <v>1.05</v>
      </c>
      <c r="F2168" s="158" t="s">
        <v>525</v>
      </c>
      <c r="G2168" s="159">
        <v>8760.52</v>
      </c>
      <c r="H2168" s="159">
        <v>0</v>
      </c>
      <c r="I2168" s="159">
        <v>4654.62</v>
      </c>
      <c r="J2168" s="159">
        <v>53.1</v>
      </c>
      <c r="K2168" t="str">
        <f>VLOOKUP($C2168,Lists!$C$3:$M$118,7,FALSE)</f>
        <v>Beers</v>
      </c>
    </row>
    <row r="2169" spans="1:11" x14ac:dyDescent="0.25">
      <c r="A2169" s="158" t="s">
        <v>822</v>
      </c>
      <c r="B2169" s="158" t="s">
        <v>823</v>
      </c>
      <c r="C2169" s="158" t="s">
        <v>261</v>
      </c>
      <c r="D2169" s="158" t="s">
        <v>538</v>
      </c>
      <c r="E2169" s="157">
        <v>1</v>
      </c>
      <c r="F2169" s="158" t="s">
        <v>525</v>
      </c>
      <c r="G2169" s="159">
        <v>4274.68</v>
      </c>
      <c r="H2169" s="159">
        <v>0</v>
      </c>
      <c r="I2169" s="159">
        <v>1911.21</v>
      </c>
      <c r="J2169" s="159">
        <v>44.7</v>
      </c>
      <c r="K2169" t="str">
        <f>VLOOKUP($C2169,Lists!$C$3:$M$118,7,FALSE)</f>
        <v>COKE_RGB</v>
      </c>
    </row>
    <row r="2170" spans="1:11" x14ac:dyDescent="0.25">
      <c r="A2170" s="158" t="s">
        <v>824</v>
      </c>
      <c r="B2170" s="158" t="s">
        <v>825</v>
      </c>
      <c r="C2170" s="158" t="s">
        <v>10</v>
      </c>
      <c r="D2170" s="158" t="s">
        <v>11</v>
      </c>
      <c r="E2170" s="157">
        <v>0.75</v>
      </c>
      <c r="F2170" s="158" t="s">
        <v>525</v>
      </c>
      <c r="G2170" s="159">
        <v>6257.51</v>
      </c>
      <c r="H2170" s="159">
        <v>0</v>
      </c>
      <c r="I2170" s="159">
        <v>2893.76</v>
      </c>
      <c r="J2170" s="159">
        <v>46.2</v>
      </c>
      <c r="K2170" t="str">
        <f>VLOOKUP($C2170,Lists!$C$3:$M$118,7,FALSE)</f>
        <v>Alcomix</v>
      </c>
    </row>
    <row r="2171" spans="1:11" x14ac:dyDescent="0.25">
      <c r="A2171" s="158" t="s">
        <v>824</v>
      </c>
      <c r="B2171" s="158" t="s">
        <v>825</v>
      </c>
      <c r="C2171" s="158" t="s">
        <v>12</v>
      </c>
      <c r="D2171" s="158" t="s">
        <v>13</v>
      </c>
      <c r="E2171" s="157">
        <v>8.15</v>
      </c>
      <c r="F2171" s="158" t="s">
        <v>525</v>
      </c>
      <c r="G2171" s="159">
        <v>56665.24</v>
      </c>
      <c r="H2171" s="159">
        <v>0</v>
      </c>
      <c r="I2171" s="159">
        <v>27127.599999999999</v>
      </c>
      <c r="J2171" s="159">
        <v>47.9</v>
      </c>
      <c r="K2171" t="str">
        <f>VLOOKUP($C2171,Lists!$C$3:$M$118,7,FALSE)</f>
        <v>Beers</v>
      </c>
    </row>
    <row r="2172" spans="1:11" x14ac:dyDescent="0.25">
      <c r="A2172" s="158" t="s">
        <v>826</v>
      </c>
      <c r="B2172" s="158" t="s">
        <v>827</v>
      </c>
      <c r="C2172" s="158" t="s">
        <v>20</v>
      </c>
      <c r="D2172" s="158" t="s">
        <v>21</v>
      </c>
      <c r="E2172" s="157">
        <v>0.5</v>
      </c>
      <c r="F2172" s="158" t="s">
        <v>525</v>
      </c>
      <c r="G2172" s="159">
        <v>2137.34</v>
      </c>
      <c r="H2172" s="159">
        <v>0</v>
      </c>
      <c r="I2172" s="159">
        <v>989.99</v>
      </c>
      <c r="J2172" s="159">
        <v>46.3</v>
      </c>
      <c r="K2172" t="str">
        <f>VLOOKUP($C2172,Lists!$C$3:$M$118,7,FALSE)</f>
        <v>COKE_RGB</v>
      </c>
    </row>
    <row r="2173" spans="1:11" x14ac:dyDescent="0.25">
      <c r="A2173" s="158" t="s">
        <v>826</v>
      </c>
      <c r="B2173" s="158" t="s">
        <v>827</v>
      </c>
      <c r="C2173" s="158" t="s">
        <v>39</v>
      </c>
      <c r="D2173" s="158" t="s">
        <v>40</v>
      </c>
      <c r="E2173" s="157">
        <v>0.9</v>
      </c>
      <c r="F2173" s="158" t="s">
        <v>525</v>
      </c>
      <c r="G2173" s="159">
        <v>3206.01</v>
      </c>
      <c r="H2173" s="159">
        <v>0</v>
      </c>
      <c r="I2173" s="159">
        <v>1615.84</v>
      </c>
      <c r="J2173" s="159">
        <v>50.4</v>
      </c>
      <c r="K2173" t="str">
        <f>VLOOKUP($C2173,Lists!$C$3:$M$118,7,FALSE)</f>
        <v>SOBO_RGB</v>
      </c>
    </row>
    <row r="2174" spans="1:11" x14ac:dyDescent="0.25">
      <c r="A2174" s="158" t="s">
        <v>826</v>
      </c>
      <c r="B2174" s="158" t="s">
        <v>827</v>
      </c>
      <c r="C2174" s="158" t="s">
        <v>47</v>
      </c>
      <c r="D2174" s="158" t="s">
        <v>48</v>
      </c>
      <c r="E2174" s="157">
        <v>0.9</v>
      </c>
      <c r="F2174" s="158" t="s">
        <v>525</v>
      </c>
      <c r="G2174" s="159">
        <v>3847.21</v>
      </c>
      <c r="H2174" s="159">
        <v>0</v>
      </c>
      <c r="I2174" s="159">
        <v>1839.58</v>
      </c>
      <c r="J2174" s="159">
        <v>47.8</v>
      </c>
      <c r="K2174" t="str">
        <f>VLOOKUP($C2174,Lists!$C$3:$M$118,7,FALSE)</f>
        <v>COKE_RGB</v>
      </c>
    </row>
    <row r="2175" spans="1:11" x14ac:dyDescent="0.25">
      <c r="A2175" s="158" t="s">
        <v>828</v>
      </c>
      <c r="B2175" s="158" t="s">
        <v>829</v>
      </c>
      <c r="C2175" s="158" t="s">
        <v>16</v>
      </c>
      <c r="D2175" s="158" t="s">
        <v>17</v>
      </c>
      <c r="E2175" s="157">
        <v>0.4</v>
      </c>
      <c r="F2175" s="158" t="s">
        <v>525</v>
      </c>
      <c r="G2175" s="159">
        <v>3337.34</v>
      </c>
      <c r="H2175" s="159">
        <v>0</v>
      </c>
      <c r="I2175" s="159">
        <v>1773.19</v>
      </c>
      <c r="J2175" s="159">
        <v>53.1</v>
      </c>
      <c r="K2175" t="str">
        <f>VLOOKUP($C2175,Lists!$C$3:$M$118,7,FALSE)</f>
        <v>Beers</v>
      </c>
    </row>
    <row r="2176" spans="1:11" x14ac:dyDescent="0.25">
      <c r="A2176" s="158" t="s">
        <v>828</v>
      </c>
      <c r="B2176" s="158" t="s">
        <v>829</v>
      </c>
      <c r="C2176" s="158" t="s">
        <v>20</v>
      </c>
      <c r="D2176" s="158" t="s">
        <v>21</v>
      </c>
      <c r="E2176" s="157">
        <v>0.05</v>
      </c>
      <c r="F2176" s="158" t="s">
        <v>525</v>
      </c>
      <c r="G2176" s="159">
        <v>213.73</v>
      </c>
      <c r="H2176" s="159">
        <v>0</v>
      </c>
      <c r="I2176" s="159">
        <v>98.99</v>
      </c>
      <c r="J2176" s="159">
        <v>46.3</v>
      </c>
      <c r="K2176" t="str">
        <f>VLOOKUP($C2176,Lists!$C$3:$M$118,7,FALSE)</f>
        <v>COKE_RGB</v>
      </c>
    </row>
    <row r="2177" spans="1:11" x14ac:dyDescent="0.25">
      <c r="A2177" s="158" t="s">
        <v>828</v>
      </c>
      <c r="B2177" s="158" t="s">
        <v>829</v>
      </c>
      <c r="C2177" s="158" t="s">
        <v>261</v>
      </c>
      <c r="D2177" s="158" t="s">
        <v>538</v>
      </c>
      <c r="E2177" s="157">
        <v>0.7</v>
      </c>
      <c r="F2177" s="158" t="s">
        <v>525</v>
      </c>
      <c r="G2177" s="159">
        <v>2992.28</v>
      </c>
      <c r="H2177" s="159">
        <v>0</v>
      </c>
      <c r="I2177" s="159">
        <v>1337.85</v>
      </c>
      <c r="J2177" s="159">
        <v>44.7</v>
      </c>
      <c r="K2177" t="str">
        <f>VLOOKUP($C2177,Lists!$C$3:$M$118,7,FALSE)</f>
        <v>COKE_RGB</v>
      </c>
    </row>
    <row r="2178" spans="1:11" x14ac:dyDescent="0.25">
      <c r="A2178" s="158" t="s">
        <v>828</v>
      </c>
      <c r="B2178" s="158" t="s">
        <v>829</v>
      </c>
      <c r="C2178" s="158" t="s">
        <v>37</v>
      </c>
      <c r="D2178" s="158" t="s">
        <v>38</v>
      </c>
      <c r="E2178" s="157">
        <v>1</v>
      </c>
      <c r="F2178" s="158" t="s">
        <v>525</v>
      </c>
      <c r="G2178" s="159">
        <v>3562.22</v>
      </c>
      <c r="H2178" s="159">
        <v>0</v>
      </c>
      <c r="I2178" s="159">
        <v>1809.02</v>
      </c>
      <c r="J2178" s="159">
        <v>50.8</v>
      </c>
      <c r="K2178" t="str">
        <f>VLOOKUP($C2178,Lists!$C$3:$M$118,7,FALSE)</f>
        <v>SOBO_RGB</v>
      </c>
    </row>
    <row r="2179" spans="1:11" x14ac:dyDescent="0.25">
      <c r="A2179" s="158" t="s">
        <v>828</v>
      </c>
      <c r="B2179" s="158" t="s">
        <v>829</v>
      </c>
      <c r="C2179" s="158" t="s">
        <v>39</v>
      </c>
      <c r="D2179" s="158" t="s">
        <v>40</v>
      </c>
      <c r="E2179" s="157">
        <v>0.35</v>
      </c>
      <c r="F2179" s="158" t="s">
        <v>525</v>
      </c>
      <c r="G2179" s="159">
        <v>1246.78</v>
      </c>
      <c r="H2179" s="159">
        <v>0</v>
      </c>
      <c r="I2179" s="159">
        <v>628.38</v>
      </c>
      <c r="J2179" s="159">
        <v>50.4</v>
      </c>
      <c r="K2179" t="str">
        <f>VLOOKUP($C2179,Lists!$C$3:$M$118,7,FALSE)</f>
        <v>SOBO_RGB</v>
      </c>
    </row>
    <row r="2180" spans="1:11" x14ac:dyDescent="0.25">
      <c r="A2180" s="158" t="s">
        <v>830</v>
      </c>
      <c r="B2180" s="158" t="s">
        <v>831</v>
      </c>
      <c r="C2180" s="158" t="s">
        <v>12</v>
      </c>
      <c r="D2180" s="158" t="s">
        <v>13</v>
      </c>
      <c r="E2180" s="157">
        <v>0.05</v>
      </c>
      <c r="F2180" s="158" t="s">
        <v>525</v>
      </c>
      <c r="G2180" s="159">
        <v>347.64</v>
      </c>
      <c r="H2180" s="159">
        <v>0</v>
      </c>
      <c r="I2180" s="159">
        <v>166.43</v>
      </c>
      <c r="J2180" s="159">
        <v>47.9</v>
      </c>
      <c r="K2180" t="str">
        <f>VLOOKUP($C2180,Lists!$C$3:$M$118,7,FALSE)</f>
        <v>Beers</v>
      </c>
    </row>
    <row r="2181" spans="1:11" x14ac:dyDescent="0.25">
      <c r="A2181" s="158" t="s">
        <v>830</v>
      </c>
      <c r="B2181" s="158" t="s">
        <v>831</v>
      </c>
      <c r="C2181" s="158" t="s">
        <v>14</v>
      </c>
      <c r="D2181" s="158" t="s">
        <v>15</v>
      </c>
      <c r="E2181" s="157">
        <v>0.1</v>
      </c>
      <c r="F2181" s="158" t="s">
        <v>525</v>
      </c>
      <c r="G2181" s="159">
        <v>834.34</v>
      </c>
      <c r="H2181" s="159">
        <v>0</v>
      </c>
      <c r="I2181" s="159">
        <v>443.3</v>
      </c>
      <c r="J2181" s="159">
        <v>53.1</v>
      </c>
      <c r="K2181" t="str">
        <f>VLOOKUP($C2181,Lists!$C$3:$M$118,7,FALSE)</f>
        <v>Beers</v>
      </c>
    </row>
    <row r="2182" spans="1:11" x14ac:dyDescent="0.25">
      <c r="A2182" s="158" t="s">
        <v>830</v>
      </c>
      <c r="B2182" s="158" t="s">
        <v>831</v>
      </c>
      <c r="C2182" s="158" t="s">
        <v>16</v>
      </c>
      <c r="D2182" s="158" t="s">
        <v>17</v>
      </c>
      <c r="E2182" s="157">
        <v>1.9</v>
      </c>
      <c r="F2182" s="158" t="s">
        <v>525</v>
      </c>
      <c r="G2182" s="159">
        <v>15852.37</v>
      </c>
      <c r="H2182" s="159">
        <v>0</v>
      </c>
      <c r="I2182" s="159">
        <v>8422.65</v>
      </c>
      <c r="J2182" s="159">
        <v>53.1</v>
      </c>
      <c r="K2182" t="str">
        <f>VLOOKUP($C2182,Lists!$C$3:$M$118,7,FALSE)</f>
        <v>Beers</v>
      </c>
    </row>
    <row r="2183" spans="1:11" x14ac:dyDescent="0.25">
      <c r="A2183" s="158" t="s">
        <v>830</v>
      </c>
      <c r="B2183" s="158" t="s">
        <v>831</v>
      </c>
      <c r="C2183" s="158" t="s">
        <v>20</v>
      </c>
      <c r="D2183" s="158" t="s">
        <v>21</v>
      </c>
      <c r="E2183" s="157">
        <v>0.05</v>
      </c>
      <c r="F2183" s="158" t="s">
        <v>525</v>
      </c>
      <c r="G2183" s="159">
        <v>213.73</v>
      </c>
      <c r="H2183" s="159">
        <v>0</v>
      </c>
      <c r="I2183" s="159">
        <v>98.99</v>
      </c>
      <c r="J2183" s="159">
        <v>46.3</v>
      </c>
      <c r="K2183" t="str">
        <f>VLOOKUP($C2183,Lists!$C$3:$M$118,7,FALSE)</f>
        <v>COKE_RGB</v>
      </c>
    </row>
    <row r="2184" spans="1:11" x14ac:dyDescent="0.25">
      <c r="A2184" s="158" t="s">
        <v>830</v>
      </c>
      <c r="B2184" s="158" t="s">
        <v>831</v>
      </c>
      <c r="C2184" s="158" t="s">
        <v>22</v>
      </c>
      <c r="D2184" s="158" t="s">
        <v>23</v>
      </c>
      <c r="E2184" s="157">
        <v>0.1</v>
      </c>
      <c r="F2184" s="158" t="s">
        <v>525</v>
      </c>
      <c r="G2184" s="159">
        <v>427.47</v>
      </c>
      <c r="H2184" s="159">
        <v>0</v>
      </c>
      <c r="I2184" s="159">
        <v>191.12</v>
      </c>
      <c r="J2184" s="159">
        <v>44.7</v>
      </c>
      <c r="K2184" t="str">
        <f>VLOOKUP($C2184,Lists!$C$3:$M$118,7,FALSE)</f>
        <v>COKE_RGB</v>
      </c>
    </row>
    <row r="2185" spans="1:11" x14ac:dyDescent="0.25">
      <c r="A2185" s="158" t="s">
        <v>830</v>
      </c>
      <c r="B2185" s="158" t="s">
        <v>831</v>
      </c>
      <c r="C2185" s="158" t="s">
        <v>362</v>
      </c>
      <c r="D2185" s="158" t="s">
        <v>363</v>
      </c>
      <c r="E2185" s="157">
        <v>-128</v>
      </c>
      <c r="F2185" s="158" t="s">
        <v>525</v>
      </c>
      <c r="G2185" s="159">
        <v>-721519.87</v>
      </c>
      <c r="H2185" s="159">
        <v>34868.99</v>
      </c>
      <c r="I2185" s="159">
        <v>-205032.19</v>
      </c>
      <c r="J2185" s="159">
        <v>28.4</v>
      </c>
      <c r="K2185" t="str">
        <f>VLOOKUP($C2185,Lists!$C$3:$M$118,7,FALSE)</f>
        <v>Squash</v>
      </c>
    </row>
    <row r="2186" spans="1:11" x14ac:dyDescent="0.25">
      <c r="A2186" s="158" t="s">
        <v>830</v>
      </c>
      <c r="B2186" s="158" t="s">
        <v>831</v>
      </c>
      <c r="C2186" s="158" t="s">
        <v>282</v>
      </c>
      <c r="D2186" s="158" t="s">
        <v>775</v>
      </c>
      <c r="E2186" s="157">
        <v>642</v>
      </c>
      <c r="F2186" s="158" t="s">
        <v>525</v>
      </c>
      <c r="G2186" s="159">
        <v>823300.8</v>
      </c>
      <c r="H2186" s="159">
        <v>0</v>
      </c>
      <c r="I2186" s="159">
        <v>110199.3</v>
      </c>
      <c r="J2186" s="159">
        <v>13.4</v>
      </c>
      <c r="K2186" t="str">
        <f>VLOOKUP($C2186,Lists!$C$3:$M$118,7,FALSE)</f>
        <v>SOBO_PET</v>
      </c>
    </row>
    <row r="2187" spans="1:11" x14ac:dyDescent="0.25">
      <c r="A2187" s="158" t="s">
        <v>832</v>
      </c>
      <c r="B2187" s="158" t="s">
        <v>833</v>
      </c>
      <c r="C2187" s="158" t="s">
        <v>12</v>
      </c>
      <c r="D2187" s="158" t="s">
        <v>13</v>
      </c>
      <c r="E2187" s="157">
        <v>0.85</v>
      </c>
      <c r="F2187" s="158" t="s">
        <v>525</v>
      </c>
      <c r="G2187" s="159">
        <v>5909.87</v>
      </c>
      <c r="H2187" s="159">
        <v>0</v>
      </c>
      <c r="I2187" s="159">
        <v>2829.26</v>
      </c>
      <c r="J2187" s="159">
        <v>47.9</v>
      </c>
      <c r="K2187" t="str">
        <f>VLOOKUP($C2187,Lists!$C$3:$M$118,7,FALSE)</f>
        <v>Beers</v>
      </c>
    </row>
    <row r="2188" spans="1:11" x14ac:dyDescent="0.25">
      <c r="A2188" s="158" t="s">
        <v>834</v>
      </c>
      <c r="B2188" s="158" t="s">
        <v>835</v>
      </c>
      <c r="C2188" s="158" t="s">
        <v>12</v>
      </c>
      <c r="D2188" s="158" t="s">
        <v>13</v>
      </c>
      <c r="E2188" s="157">
        <v>0.25</v>
      </c>
      <c r="F2188" s="158" t="s">
        <v>525</v>
      </c>
      <c r="G2188" s="159">
        <v>1738.2</v>
      </c>
      <c r="H2188" s="159">
        <v>0</v>
      </c>
      <c r="I2188" s="159">
        <v>832.14</v>
      </c>
      <c r="J2188" s="159">
        <v>47.9</v>
      </c>
      <c r="K2188" t="str">
        <f>VLOOKUP($C2188,Lists!$C$3:$M$118,7,FALSE)</f>
        <v>Beers</v>
      </c>
    </row>
    <row r="2189" spans="1:11" x14ac:dyDescent="0.25">
      <c r="A2189" s="158" t="s">
        <v>834</v>
      </c>
      <c r="B2189" s="158" t="s">
        <v>835</v>
      </c>
      <c r="C2189" s="158" t="s">
        <v>20</v>
      </c>
      <c r="D2189" s="158" t="s">
        <v>21</v>
      </c>
      <c r="E2189" s="157">
        <v>1.45</v>
      </c>
      <c r="F2189" s="158" t="s">
        <v>525</v>
      </c>
      <c r="G2189" s="159">
        <v>6198.28</v>
      </c>
      <c r="H2189" s="159">
        <v>0</v>
      </c>
      <c r="I2189" s="159">
        <v>2870.96</v>
      </c>
      <c r="J2189" s="159">
        <v>46.3</v>
      </c>
      <c r="K2189" t="str">
        <f>VLOOKUP($C2189,Lists!$C$3:$M$118,7,FALSE)</f>
        <v>COKE_RGB</v>
      </c>
    </row>
    <row r="2190" spans="1:11" x14ac:dyDescent="0.25">
      <c r="A2190" s="158" t="s">
        <v>834</v>
      </c>
      <c r="B2190" s="158" t="s">
        <v>835</v>
      </c>
      <c r="C2190" s="158" t="s">
        <v>22</v>
      </c>
      <c r="D2190" s="158" t="s">
        <v>23</v>
      </c>
      <c r="E2190" s="157">
        <v>0.05</v>
      </c>
      <c r="F2190" s="158" t="s">
        <v>525</v>
      </c>
      <c r="G2190" s="159">
        <v>213.73</v>
      </c>
      <c r="H2190" s="159">
        <v>0</v>
      </c>
      <c r="I2190" s="159">
        <v>95.56</v>
      </c>
      <c r="J2190" s="159">
        <v>44.7</v>
      </c>
      <c r="K2190" t="str">
        <f>VLOOKUP($C2190,Lists!$C$3:$M$118,7,FALSE)</f>
        <v>COKE_RGB</v>
      </c>
    </row>
    <row r="2191" spans="1:11" x14ac:dyDescent="0.25">
      <c r="A2191" s="158" t="s">
        <v>834</v>
      </c>
      <c r="B2191" s="158" t="s">
        <v>835</v>
      </c>
      <c r="C2191" s="158" t="s">
        <v>37</v>
      </c>
      <c r="D2191" s="158" t="s">
        <v>38</v>
      </c>
      <c r="E2191" s="157">
        <v>0.1</v>
      </c>
      <c r="F2191" s="158" t="s">
        <v>525</v>
      </c>
      <c r="G2191" s="159">
        <v>356.22</v>
      </c>
      <c r="H2191" s="159">
        <v>0</v>
      </c>
      <c r="I2191" s="159">
        <v>180.9</v>
      </c>
      <c r="J2191" s="159">
        <v>50.8</v>
      </c>
      <c r="K2191" t="str">
        <f>VLOOKUP($C2191,Lists!$C$3:$M$118,7,FALSE)</f>
        <v>SOBO_RGB</v>
      </c>
    </row>
    <row r="2192" spans="1:11" x14ac:dyDescent="0.25">
      <c r="A2192" s="158" t="s">
        <v>834</v>
      </c>
      <c r="B2192" s="158" t="s">
        <v>835</v>
      </c>
      <c r="C2192" s="158" t="s">
        <v>47</v>
      </c>
      <c r="D2192" s="158" t="s">
        <v>48</v>
      </c>
      <c r="E2192" s="157">
        <v>0.5</v>
      </c>
      <c r="F2192" s="158" t="s">
        <v>525</v>
      </c>
      <c r="G2192" s="159">
        <v>2137.34</v>
      </c>
      <c r="H2192" s="159">
        <v>0</v>
      </c>
      <c r="I2192" s="159">
        <v>1021.99</v>
      </c>
      <c r="J2192" s="159">
        <v>47.8</v>
      </c>
      <c r="K2192" t="str">
        <f>VLOOKUP($C2192,Lists!$C$3:$M$118,7,FALSE)</f>
        <v>COKE_RGB</v>
      </c>
    </row>
    <row r="2193" spans="1:11" x14ac:dyDescent="0.25">
      <c r="A2193" s="158" t="s">
        <v>836</v>
      </c>
      <c r="B2193" s="158" t="s">
        <v>837</v>
      </c>
      <c r="C2193" s="158" t="s">
        <v>41</v>
      </c>
      <c r="D2193" s="158" t="s">
        <v>42</v>
      </c>
      <c r="E2193" s="157">
        <v>0.05</v>
      </c>
      <c r="F2193" s="158" t="s">
        <v>525</v>
      </c>
      <c r="G2193" s="159">
        <v>417.17</v>
      </c>
      <c r="H2193" s="159">
        <v>0</v>
      </c>
      <c r="I2193" s="159">
        <v>192.92</v>
      </c>
      <c r="J2193" s="159">
        <v>46.2</v>
      </c>
      <c r="K2193" t="str">
        <f>VLOOKUP($C2193,Lists!$C$3:$M$118,7,FALSE)</f>
        <v>Alcomix</v>
      </c>
    </row>
    <row r="2194" spans="1:11" x14ac:dyDescent="0.25">
      <c r="A2194" s="158" t="s">
        <v>836</v>
      </c>
      <c r="B2194" s="158" t="s">
        <v>837</v>
      </c>
      <c r="C2194" s="158" t="s">
        <v>88</v>
      </c>
      <c r="D2194" s="158" t="s">
        <v>527</v>
      </c>
      <c r="E2194" s="157">
        <v>1</v>
      </c>
      <c r="F2194" s="158" t="s">
        <v>525</v>
      </c>
      <c r="G2194" s="159">
        <v>2992.27</v>
      </c>
      <c r="H2194" s="159">
        <v>0</v>
      </c>
      <c r="I2194" s="159">
        <v>1825.57</v>
      </c>
      <c r="J2194" s="159">
        <v>61</v>
      </c>
      <c r="K2194" t="str">
        <f>VLOOKUP($C2194,Lists!$C$3:$M$118,7,FALSE)</f>
        <v>SOBO_PET</v>
      </c>
    </row>
    <row r="2195" spans="1:11" x14ac:dyDescent="0.25">
      <c r="A2195" s="158" t="s">
        <v>836</v>
      </c>
      <c r="B2195" s="158" t="s">
        <v>837</v>
      </c>
      <c r="C2195" s="158" t="s">
        <v>65</v>
      </c>
      <c r="D2195" s="158" t="s">
        <v>66</v>
      </c>
      <c r="E2195" s="157">
        <v>1</v>
      </c>
      <c r="F2195" s="158" t="s">
        <v>525</v>
      </c>
      <c r="G2195" s="159">
        <v>5364.46</v>
      </c>
      <c r="H2195" s="159">
        <v>0</v>
      </c>
      <c r="I2195" s="159">
        <v>1329.4</v>
      </c>
      <c r="J2195" s="159">
        <v>24.8</v>
      </c>
      <c r="K2195" t="str">
        <f>VLOOKUP($C2195,Lists!$C$3:$M$118,7,FALSE)</f>
        <v>Squash</v>
      </c>
    </row>
    <row r="2196" spans="1:11" x14ac:dyDescent="0.25">
      <c r="A2196" s="158" t="s">
        <v>836</v>
      </c>
      <c r="B2196" s="158" t="s">
        <v>837</v>
      </c>
      <c r="C2196" s="158" t="s">
        <v>362</v>
      </c>
      <c r="D2196" s="158" t="s">
        <v>363</v>
      </c>
      <c r="E2196" s="157">
        <v>15</v>
      </c>
      <c r="F2196" s="158" t="s">
        <v>525</v>
      </c>
      <c r="G2196" s="159">
        <v>40233.449999999997</v>
      </c>
      <c r="H2196" s="159">
        <v>0</v>
      </c>
      <c r="I2196" s="159">
        <v>-20292.46</v>
      </c>
      <c r="J2196" s="159">
        <v>-50.4</v>
      </c>
      <c r="K2196" t="str">
        <f>VLOOKUP($C2196,Lists!$C$3:$M$118,7,FALSE)</f>
        <v>Squash</v>
      </c>
    </row>
    <row r="2197" spans="1:11" x14ac:dyDescent="0.25">
      <c r="A2197" s="158" t="s">
        <v>838</v>
      </c>
      <c r="B2197" s="158" t="s">
        <v>839</v>
      </c>
      <c r="C2197" s="158" t="s">
        <v>282</v>
      </c>
      <c r="D2197" s="158" t="s">
        <v>775</v>
      </c>
      <c r="E2197" s="157">
        <v>144</v>
      </c>
      <c r="F2197" s="158" t="s">
        <v>525</v>
      </c>
      <c r="G2197" s="159">
        <v>184665.60000000001</v>
      </c>
      <c r="H2197" s="159">
        <v>0</v>
      </c>
      <c r="I2197" s="159">
        <v>24717.599999999999</v>
      </c>
      <c r="J2197" s="159">
        <v>13.4</v>
      </c>
      <c r="K2197" t="str">
        <f>VLOOKUP($C2197,Lists!$C$3:$M$118,7,FALSE)</f>
        <v>SOBO_PET</v>
      </c>
    </row>
    <row r="2198" spans="1:11" x14ac:dyDescent="0.25">
      <c r="A2198" s="158" t="s">
        <v>840</v>
      </c>
      <c r="B2198" s="158" t="s">
        <v>841</v>
      </c>
      <c r="C2198" s="158" t="s">
        <v>18</v>
      </c>
      <c r="D2198" s="158" t="s">
        <v>19</v>
      </c>
      <c r="E2198" s="157">
        <v>0.15</v>
      </c>
      <c r="F2198" s="158" t="s">
        <v>525</v>
      </c>
      <c r="G2198" s="159">
        <v>1668.67</v>
      </c>
      <c r="H2198" s="159">
        <v>0</v>
      </c>
      <c r="I2198" s="159">
        <v>924.74</v>
      </c>
      <c r="J2198" s="159">
        <v>55.4</v>
      </c>
      <c r="K2198" t="str">
        <f>VLOOKUP($C2198,Lists!$C$3:$M$118,7,FALSE)</f>
        <v>Beers</v>
      </c>
    </row>
    <row r="2199" spans="1:11" x14ac:dyDescent="0.25">
      <c r="A2199" s="158" t="s">
        <v>842</v>
      </c>
      <c r="B2199" s="158" t="s">
        <v>843</v>
      </c>
      <c r="C2199" s="158" t="s">
        <v>16</v>
      </c>
      <c r="D2199" s="158" t="s">
        <v>17</v>
      </c>
      <c r="E2199" s="157">
        <v>0.55000000000000004</v>
      </c>
      <c r="F2199" s="158" t="s">
        <v>525</v>
      </c>
      <c r="G2199" s="159">
        <v>4588.84</v>
      </c>
      <c r="H2199" s="159">
        <v>0</v>
      </c>
      <c r="I2199" s="159">
        <v>2438.13</v>
      </c>
      <c r="J2199" s="159">
        <v>53.1</v>
      </c>
      <c r="K2199" t="str">
        <f>VLOOKUP($C2199,Lists!$C$3:$M$118,7,FALSE)</f>
        <v>Beers</v>
      </c>
    </row>
    <row r="2200" spans="1:11" x14ac:dyDescent="0.25">
      <c r="A2200" s="158" t="s">
        <v>842</v>
      </c>
      <c r="B2200" s="158" t="s">
        <v>843</v>
      </c>
      <c r="C2200" s="158" t="s">
        <v>20</v>
      </c>
      <c r="D2200" s="158" t="s">
        <v>21</v>
      </c>
      <c r="E2200" s="157">
        <v>1.85</v>
      </c>
      <c r="F2200" s="158" t="s">
        <v>525</v>
      </c>
      <c r="G2200" s="159">
        <v>7908.16</v>
      </c>
      <c r="H2200" s="159">
        <v>0</v>
      </c>
      <c r="I2200" s="159">
        <v>3662.96</v>
      </c>
      <c r="J2200" s="159">
        <v>46.3</v>
      </c>
      <c r="K2200" t="str">
        <f>VLOOKUP($C2200,Lists!$C$3:$M$118,7,FALSE)</f>
        <v>COKE_RGB</v>
      </c>
    </row>
    <row r="2201" spans="1:11" x14ac:dyDescent="0.25">
      <c r="A2201" s="158" t="s">
        <v>844</v>
      </c>
      <c r="B2201" s="158" t="s">
        <v>845</v>
      </c>
      <c r="C2201" s="158" t="s">
        <v>59</v>
      </c>
      <c r="D2201" s="158" t="s">
        <v>60</v>
      </c>
      <c r="E2201" s="157">
        <v>1.35</v>
      </c>
      <c r="F2201" s="158" t="s">
        <v>525</v>
      </c>
      <c r="G2201" s="159">
        <v>5770.82</v>
      </c>
      <c r="H2201" s="159">
        <v>0</v>
      </c>
      <c r="I2201" s="159">
        <v>2603.11</v>
      </c>
      <c r="J2201" s="159">
        <v>45.1</v>
      </c>
      <c r="K2201" t="str">
        <f>VLOOKUP($C2201,Lists!$C$3:$M$118,7,FALSE)</f>
        <v>COKE_RGB</v>
      </c>
    </row>
    <row r="2202" spans="1:11" x14ac:dyDescent="0.25">
      <c r="A2202" s="158" t="s">
        <v>844</v>
      </c>
      <c r="B2202" s="158" t="s">
        <v>845</v>
      </c>
      <c r="C2202" s="158" t="s">
        <v>45</v>
      </c>
      <c r="D2202" s="158" t="s">
        <v>46</v>
      </c>
      <c r="E2202" s="157">
        <v>1.6</v>
      </c>
      <c r="F2202" s="158" t="s">
        <v>525</v>
      </c>
      <c r="G2202" s="159">
        <v>6839.49</v>
      </c>
      <c r="H2202" s="159">
        <v>0</v>
      </c>
      <c r="I2202" s="159">
        <v>3625.79</v>
      </c>
      <c r="J2202" s="159">
        <v>53</v>
      </c>
      <c r="K2202" t="str">
        <f>VLOOKUP($C2202,Lists!$C$3:$M$118,7,FALSE)</f>
        <v>SOBO_RGB</v>
      </c>
    </row>
    <row r="2203" spans="1:11" x14ac:dyDescent="0.25">
      <c r="A2203" s="158" t="s">
        <v>844</v>
      </c>
      <c r="B2203" s="158" t="s">
        <v>845</v>
      </c>
      <c r="C2203" s="158" t="s">
        <v>362</v>
      </c>
      <c r="D2203" s="158" t="s">
        <v>363</v>
      </c>
      <c r="E2203" s="157">
        <v>59</v>
      </c>
      <c r="F2203" s="158" t="s">
        <v>525</v>
      </c>
      <c r="G2203" s="159">
        <v>158251.56</v>
      </c>
      <c r="H2203" s="159">
        <v>1544964.49</v>
      </c>
      <c r="I2203" s="159">
        <v>-79816.97</v>
      </c>
      <c r="J2203" s="159">
        <v>-50.4</v>
      </c>
      <c r="K2203" t="str">
        <f>VLOOKUP($C2203,Lists!$C$3:$M$118,7,FALSE)</f>
        <v>Squash</v>
      </c>
    </row>
    <row r="2204" spans="1:11" x14ac:dyDescent="0.25">
      <c r="A2204" s="158" t="s">
        <v>846</v>
      </c>
      <c r="B2204" s="158" t="s">
        <v>847</v>
      </c>
      <c r="C2204" s="158" t="s">
        <v>12</v>
      </c>
      <c r="D2204" s="158" t="s">
        <v>13</v>
      </c>
      <c r="E2204" s="157">
        <v>1.8</v>
      </c>
      <c r="F2204" s="158" t="s">
        <v>525</v>
      </c>
      <c r="G2204" s="159">
        <v>12515.02</v>
      </c>
      <c r="H2204" s="159">
        <v>0</v>
      </c>
      <c r="I2204" s="159">
        <v>5991.37</v>
      </c>
      <c r="J2204" s="159">
        <v>47.9</v>
      </c>
      <c r="K2204" t="str">
        <f>VLOOKUP($C2204,Lists!$C$3:$M$118,7,FALSE)</f>
        <v>Beers</v>
      </c>
    </row>
    <row r="2205" spans="1:11" x14ac:dyDescent="0.25">
      <c r="A2205" s="158" t="s">
        <v>846</v>
      </c>
      <c r="B2205" s="158" t="s">
        <v>847</v>
      </c>
      <c r="C2205" s="158" t="s">
        <v>14</v>
      </c>
      <c r="D2205" s="158" t="s">
        <v>15</v>
      </c>
      <c r="E2205" s="157">
        <v>2.0499999999999998</v>
      </c>
      <c r="F2205" s="158" t="s">
        <v>525</v>
      </c>
      <c r="G2205" s="159">
        <v>17103.87</v>
      </c>
      <c r="H2205" s="159">
        <v>0</v>
      </c>
      <c r="I2205" s="159">
        <v>9087.59</v>
      </c>
      <c r="J2205" s="159">
        <v>53.1</v>
      </c>
      <c r="K2205" t="str">
        <f>VLOOKUP($C2205,Lists!$C$3:$M$118,7,FALSE)</f>
        <v>Beers</v>
      </c>
    </row>
    <row r="2206" spans="1:11" x14ac:dyDescent="0.25">
      <c r="A2206" s="158" t="s">
        <v>846</v>
      </c>
      <c r="B2206" s="158" t="s">
        <v>847</v>
      </c>
      <c r="C2206" s="158" t="s">
        <v>16</v>
      </c>
      <c r="D2206" s="158" t="s">
        <v>17</v>
      </c>
      <c r="E2206" s="157">
        <v>2.4500000000000002</v>
      </c>
      <c r="F2206" s="158" t="s">
        <v>525</v>
      </c>
      <c r="G2206" s="159">
        <v>20441.21</v>
      </c>
      <c r="H2206" s="159">
        <v>0</v>
      </c>
      <c r="I2206" s="159">
        <v>10860.78</v>
      </c>
      <c r="J2206" s="159">
        <v>53.1</v>
      </c>
      <c r="K2206" t="str">
        <f>VLOOKUP($C2206,Lists!$C$3:$M$118,7,FALSE)</f>
        <v>Beers</v>
      </c>
    </row>
    <row r="2207" spans="1:11" x14ac:dyDescent="0.25">
      <c r="A2207" s="158" t="s">
        <v>846</v>
      </c>
      <c r="B2207" s="158" t="s">
        <v>847</v>
      </c>
      <c r="C2207" s="158" t="s">
        <v>20</v>
      </c>
      <c r="D2207" s="158" t="s">
        <v>21</v>
      </c>
      <c r="E2207" s="157">
        <v>0.5</v>
      </c>
      <c r="F2207" s="158" t="s">
        <v>525</v>
      </c>
      <c r="G2207" s="159">
        <v>2137.34</v>
      </c>
      <c r="H2207" s="159">
        <v>0</v>
      </c>
      <c r="I2207" s="159">
        <v>989.99</v>
      </c>
      <c r="J2207" s="159">
        <v>46.3</v>
      </c>
      <c r="K2207" t="str">
        <f>VLOOKUP($C2207,Lists!$C$3:$M$118,7,FALSE)</f>
        <v>COKE_RGB</v>
      </c>
    </row>
    <row r="2208" spans="1:11" x14ac:dyDescent="0.25">
      <c r="A2208" s="158" t="s">
        <v>848</v>
      </c>
      <c r="B2208" s="158" t="s">
        <v>849</v>
      </c>
      <c r="C2208" s="158" t="s">
        <v>12</v>
      </c>
      <c r="D2208" s="158" t="s">
        <v>13</v>
      </c>
      <c r="E2208" s="157">
        <v>1.1499999999999999</v>
      </c>
      <c r="F2208" s="158" t="s">
        <v>525</v>
      </c>
      <c r="G2208" s="159">
        <v>7995.71</v>
      </c>
      <c r="H2208" s="159">
        <v>0</v>
      </c>
      <c r="I2208" s="159">
        <v>3827.82</v>
      </c>
      <c r="J2208" s="159">
        <v>47.9</v>
      </c>
      <c r="K2208" t="str">
        <f>VLOOKUP($C2208,Lists!$C$3:$M$118,7,FALSE)</f>
        <v>Beers</v>
      </c>
    </row>
    <row r="2209" spans="1:11" x14ac:dyDescent="0.25">
      <c r="A2209" s="158" t="s">
        <v>850</v>
      </c>
      <c r="B2209" s="158" t="s">
        <v>851</v>
      </c>
      <c r="C2209" s="158" t="s">
        <v>12</v>
      </c>
      <c r="D2209" s="158" t="s">
        <v>13</v>
      </c>
      <c r="E2209" s="157">
        <v>1.35</v>
      </c>
      <c r="F2209" s="158" t="s">
        <v>525</v>
      </c>
      <c r="G2209" s="159">
        <v>9386.27</v>
      </c>
      <c r="H2209" s="159">
        <v>0</v>
      </c>
      <c r="I2209" s="159">
        <v>4493.54</v>
      </c>
      <c r="J2209" s="159">
        <v>47.9</v>
      </c>
      <c r="K2209" t="str">
        <f>VLOOKUP($C2209,Lists!$C$3:$M$118,7,FALSE)</f>
        <v>Beers</v>
      </c>
    </row>
    <row r="2210" spans="1:11" x14ac:dyDescent="0.25">
      <c r="A2210" s="158" t="s">
        <v>850</v>
      </c>
      <c r="B2210" s="158" t="s">
        <v>851</v>
      </c>
      <c r="C2210" s="158" t="s">
        <v>16</v>
      </c>
      <c r="D2210" s="158" t="s">
        <v>17</v>
      </c>
      <c r="E2210" s="157">
        <v>4.3499999999999996</v>
      </c>
      <c r="F2210" s="158" t="s">
        <v>525</v>
      </c>
      <c r="G2210" s="159">
        <v>36293.58</v>
      </c>
      <c r="H2210" s="159">
        <v>0</v>
      </c>
      <c r="I2210" s="159">
        <v>19283.419999999998</v>
      </c>
      <c r="J2210" s="159">
        <v>53.1</v>
      </c>
      <c r="K2210" t="str">
        <f>VLOOKUP($C2210,Lists!$C$3:$M$118,7,FALSE)</f>
        <v>Beers</v>
      </c>
    </row>
    <row r="2211" spans="1:11" x14ac:dyDescent="0.25">
      <c r="A2211" s="158" t="s">
        <v>850</v>
      </c>
      <c r="B2211" s="158" t="s">
        <v>851</v>
      </c>
      <c r="C2211" s="158" t="s">
        <v>56</v>
      </c>
      <c r="D2211" s="158" t="s">
        <v>57</v>
      </c>
      <c r="E2211" s="157">
        <v>8.3330000000000001E-2</v>
      </c>
      <c r="F2211" s="158" t="s">
        <v>525</v>
      </c>
      <c r="G2211" s="159">
        <v>695.25</v>
      </c>
      <c r="H2211" s="159">
        <v>0</v>
      </c>
      <c r="I2211" s="159">
        <v>389.45</v>
      </c>
      <c r="J2211" s="159">
        <v>56</v>
      </c>
      <c r="K2211" t="str">
        <f>VLOOKUP($C2211,Lists!$C$3:$M$118,7,FALSE)</f>
        <v>Beers</v>
      </c>
    </row>
    <row r="2212" spans="1:11" x14ac:dyDescent="0.25">
      <c r="A2212" s="158" t="s">
        <v>850</v>
      </c>
      <c r="B2212" s="158" t="s">
        <v>851</v>
      </c>
      <c r="C2212" s="158" t="s">
        <v>20</v>
      </c>
      <c r="D2212" s="158" t="s">
        <v>21</v>
      </c>
      <c r="E2212" s="157">
        <v>2.5499999999999998</v>
      </c>
      <c r="F2212" s="158" t="s">
        <v>525</v>
      </c>
      <c r="G2212" s="159">
        <v>10900.44</v>
      </c>
      <c r="H2212" s="159">
        <v>0</v>
      </c>
      <c r="I2212" s="159">
        <v>5048.95</v>
      </c>
      <c r="J2212" s="159">
        <v>46.3</v>
      </c>
      <c r="K2212" t="str">
        <f>VLOOKUP($C2212,Lists!$C$3:$M$118,7,FALSE)</f>
        <v>COKE_RGB</v>
      </c>
    </row>
    <row r="2213" spans="1:11" x14ac:dyDescent="0.25">
      <c r="A2213" s="158" t="s">
        <v>850</v>
      </c>
      <c r="B2213" s="158" t="s">
        <v>851</v>
      </c>
      <c r="C2213" s="158" t="s">
        <v>43</v>
      </c>
      <c r="D2213" s="158" t="s">
        <v>44</v>
      </c>
      <c r="E2213" s="157">
        <v>0.05</v>
      </c>
      <c r="F2213" s="158" t="s">
        <v>525</v>
      </c>
      <c r="G2213" s="159">
        <v>417.17</v>
      </c>
      <c r="H2213" s="159">
        <v>0</v>
      </c>
      <c r="I2213" s="159">
        <v>221.65</v>
      </c>
      <c r="J2213" s="159">
        <v>53.1</v>
      </c>
      <c r="K2213" t="str">
        <f>VLOOKUP($C2213,Lists!$C$3:$M$118,7,FALSE)</f>
        <v>Beers</v>
      </c>
    </row>
    <row r="2214" spans="1:11" x14ac:dyDescent="0.25">
      <c r="A2214" s="158" t="s">
        <v>850</v>
      </c>
      <c r="B2214" s="158" t="s">
        <v>851</v>
      </c>
      <c r="C2214" s="158" t="s">
        <v>59</v>
      </c>
      <c r="D2214" s="158" t="s">
        <v>60</v>
      </c>
      <c r="E2214" s="157">
        <v>1.4</v>
      </c>
      <c r="F2214" s="158" t="s">
        <v>525</v>
      </c>
      <c r="G2214" s="159">
        <v>5984.55</v>
      </c>
      <c r="H2214" s="159">
        <v>0</v>
      </c>
      <c r="I2214" s="159">
        <v>2699.52</v>
      </c>
      <c r="J2214" s="159">
        <v>45.1</v>
      </c>
      <c r="K2214" t="str">
        <f>VLOOKUP($C2214,Lists!$C$3:$M$118,7,FALSE)</f>
        <v>COKE_RGB</v>
      </c>
    </row>
    <row r="2215" spans="1:11" x14ac:dyDescent="0.25">
      <c r="A2215" s="158" t="s">
        <v>850</v>
      </c>
      <c r="B2215" s="158" t="s">
        <v>851</v>
      </c>
      <c r="C2215" s="158" t="s">
        <v>22</v>
      </c>
      <c r="D2215" s="158" t="s">
        <v>23</v>
      </c>
      <c r="E2215" s="157">
        <v>0.3</v>
      </c>
      <c r="F2215" s="158" t="s">
        <v>525</v>
      </c>
      <c r="G2215" s="159">
        <v>1282.4100000000001</v>
      </c>
      <c r="H2215" s="159">
        <v>0</v>
      </c>
      <c r="I2215" s="159">
        <v>573.37</v>
      </c>
      <c r="J2215" s="159">
        <v>44.7</v>
      </c>
      <c r="K2215" t="str">
        <f>VLOOKUP($C2215,Lists!$C$3:$M$118,7,FALSE)</f>
        <v>COKE_RGB</v>
      </c>
    </row>
    <row r="2216" spans="1:11" x14ac:dyDescent="0.25">
      <c r="A2216" s="158" t="s">
        <v>850</v>
      </c>
      <c r="B2216" s="158" t="s">
        <v>851</v>
      </c>
      <c r="C2216" s="158" t="s">
        <v>24</v>
      </c>
      <c r="D2216" s="158" t="s">
        <v>25</v>
      </c>
      <c r="E2216" s="157">
        <v>0.15</v>
      </c>
      <c r="F2216" s="158" t="s">
        <v>525</v>
      </c>
      <c r="G2216" s="159">
        <v>1042.92</v>
      </c>
      <c r="H2216" s="159">
        <v>0</v>
      </c>
      <c r="I2216" s="159">
        <v>542.20000000000005</v>
      </c>
      <c r="J2216" s="159">
        <v>52</v>
      </c>
      <c r="K2216" t="str">
        <f>VLOOKUP($C2216,Lists!$C$3:$M$118,7,FALSE)</f>
        <v>Beers</v>
      </c>
    </row>
    <row r="2217" spans="1:11" x14ac:dyDescent="0.25">
      <c r="A2217" s="158" t="s">
        <v>850</v>
      </c>
      <c r="B2217" s="158" t="s">
        <v>851</v>
      </c>
      <c r="C2217" s="158" t="s">
        <v>37</v>
      </c>
      <c r="D2217" s="158" t="s">
        <v>38</v>
      </c>
      <c r="E2217" s="157">
        <v>0.75</v>
      </c>
      <c r="F2217" s="158" t="s">
        <v>525</v>
      </c>
      <c r="G2217" s="159">
        <v>2671.66</v>
      </c>
      <c r="H2217" s="159">
        <v>0</v>
      </c>
      <c r="I2217" s="159">
        <v>1356.76</v>
      </c>
      <c r="J2217" s="159">
        <v>50.8</v>
      </c>
      <c r="K2217" t="str">
        <f>VLOOKUP($C2217,Lists!$C$3:$M$118,7,FALSE)</f>
        <v>SOBO_RGB</v>
      </c>
    </row>
    <row r="2218" spans="1:11" x14ac:dyDescent="0.25">
      <c r="A2218" s="158" t="s">
        <v>850</v>
      </c>
      <c r="B2218" s="158" t="s">
        <v>851</v>
      </c>
      <c r="C2218" s="158" t="s">
        <v>39</v>
      </c>
      <c r="D2218" s="158" t="s">
        <v>40</v>
      </c>
      <c r="E2218" s="157">
        <v>0.15</v>
      </c>
      <c r="F2218" s="158" t="s">
        <v>525</v>
      </c>
      <c r="G2218" s="159">
        <v>534.33000000000004</v>
      </c>
      <c r="H2218" s="159">
        <v>0</v>
      </c>
      <c r="I2218" s="159">
        <v>269.3</v>
      </c>
      <c r="J2218" s="159">
        <v>50.4</v>
      </c>
      <c r="K2218" t="str">
        <f>VLOOKUP($C2218,Lists!$C$3:$M$118,7,FALSE)</f>
        <v>SOBO_RGB</v>
      </c>
    </row>
    <row r="2219" spans="1:11" x14ac:dyDescent="0.25">
      <c r="A2219" s="158" t="s">
        <v>850</v>
      </c>
      <c r="B2219" s="158" t="s">
        <v>851</v>
      </c>
      <c r="C2219" s="158" t="s">
        <v>45</v>
      </c>
      <c r="D2219" s="158" t="s">
        <v>46</v>
      </c>
      <c r="E2219" s="157">
        <v>0.2</v>
      </c>
      <c r="F2219" s="158" t="s">
        <v>525</v>
      </c>
      <c r="G2219" s="159">
        <v>854.93</v>
      </c>
      <c r="H2219" s="159">
        <v>0</v>
      </c>
      <c r="I2219" s="159">
        <v>453.21</v>
      </c>
      <c r="J2219" s="159">
        <v>53</v>
      </c>
      <c r="K2219" t="str">
        <f>VLOOKUP($C2219,Lists!$C$3:$M$118,7,FALSE)</f>
        <v>SOBO_RGB</v>
      </c>
    </row>
    <row r="2220" spans="1:11" x14ac:dyDescent="0.25">
      <c r="A2220" s="158" t="s">
        <v>850</v>
      </c>
      <c r="B2220" s="158" t="s">
        <v>851</v>
      </c>
      <c r="C2220" s="158" t="s">
        <v>47</v>
      </c>
      <c r="D2220" s="158" t="s">
        <v>48</v>
      </c>
      <c r="E2220" s="157">
        <v>1</v>
      </c>
      <c r="F2220" s="158" t="s">
        <v>525</v>
      </c>
      <c r="G2220" s="159">
        <v>4274.68</v>
      </c>
      <c r="H2220" s="159">
        <v>0</v>
      </c>
      <c r="I2220" s="159">
        <v>2043.98</v>
      </c>
      <c r="J2220" s="159">
        <v>47.8</v>
      </c>
      <c r="K2220" t="str">
        <f>VLOOKUP($C2220,Lists!$C$3:$M$118,7,FALSE)</f>
        <v>COKE_RGB</v>
      </c>
    </row>
    <row r="2221" spans="1:11" x14ac:dyDescent="0.25">
      <c r="A2221" s="158" t="s">
        <v>852</v>
      </c>
      <c r="B2221" s="158" t="s">
        <v>853</v>
      </c>
      <c r="C2221" s="158" t="s">
        <v>20</v>
      </c>
      <c r="D2221" s="158" t="s">
        <v>21</v>
      </c>
      <c r="E2221" s="157">
        <v>0.8</v>
      </c>
      <c r="F2221" s="158" t="s">
        <v>525</v>
      </c>
      <c r="G2221" s="159">
        <v>3419.74</v>
      </c>
      <c r="H2221" s="159">
        <v>0</v>
      </c>
      <c r="I2221" s="159">
        <v>1583.98</v>
      </c>
      <c r="J2221" s="159">
        <v>46.3</v>
      </c>
      <c r="K2221" t="str">
        <f>VLOOKUP($C2221,Lists!$C$3:$M$118,7,FALSE)</f>
        <v>COKE_RGB</v>
      </c>
    </row>
    <row r="2222" spans="1:11" x14ac:dyDescent="0.25">
      <c r="A2222" s="158" t="s">
        <v>852</v>
      </c>
      <c r="B2222" s="158" t="s">
        <v>853</v>
      </c>
      <c r="C2222" s="158" t="s">
        <v>261</v>
      </c>
      <c r="D2222" s="158" t="s">
        <v>538</v>
      </c>
      <c r="E2222" s="157">
        <v>0.1</v>
      </c>
      <c r="F2222" s="158" t="s">
        <v>525</v>
      </c>
      <c r="G2222" s="159">
        <v>427.47</v>
      </c>
      <c r="H2222" s="159">
        <v>0</v>
      </c>
      <c r="I2222" s="159">
        <v>191.12</v>
      </c>
      <c r="J2222" s="159">
        <v>44.7</v>
      </c>
      <c r="K2222" t="str">
        <f>VLOOKUP($C2222,Lists!$C$3:$M$118,7,FALSE)</f>
        <v>COKE_RGB</v>
      </c>
    </row>
    <row r="2223" spans="1:11" x14ac:dyDescent="0.25">
      <c r="A2223" s="158" t="s">
        <v>852</v>
      </c>
      <c r="B2223" s="158" t="s">
        <v>853</v>
      </c>
      <c r="C2223" s="158" t="s">
        <v>47</v>
      </c>
      <c r="D2223" s="158" t="s">
        <v>48</v>
      </c>
      <c r="E2223" s="157">
        <v>0.15</v>
      </c>
      <c r="F2223" s="158" t="s">
        <v>525</v>
      </c>
      <c r="G2223" s="159">
        <v>641.20000000000005</v>
      </c>
      <c r="H2223" s="159">
        <v>0</v>
      </c>
      <c r="I2223" s="159">
        <v>306.58999999999997</v>
      </c>
      <c r="J2223" s="159">
        <v>47.8</v>
      </c>
      <c r="K2223" t="str">
        <f>VLOOKUP($C2223,Lists!$C$3:$M$118,7,FALSE)</f>
        <v>COKE_RGB</v>
      </c>
    </row>
    <row r="2224" spans="1:11" x14ac:dyDescent="0.25">
      <c r="A2224" s="158" t="s">
        <v>854</v>
      </c>
      <c r="B2224" s="158" t="s">
        <v>855</v>
      </c>
      <c r="C2224" s="158" t="s">
        <v>10</v>
      </c>
      <c r="D2224" s="158" t="s">
        <v>11</v>
      </c>
      <c r="E2224" s="157">
        <v>0.85</v>
      </c>
      <c r="F2224" s="158" t="s">
        <v>525</v>
      </c>
      <c r="G2224" s="159">
        <v>7091.85</v>
      </c>
      <c r="H2224" s="159">
        <v>0</v>
      </c>
      <c r="I2224" s="159">
        <v>3279.6</v>
      </c>
      <c r="J2224" s="159">
        <v>46.2</v>
      </c>
      <c r="K2224" t="str">
        <f>VLOOKUP($C2224,Lists!$C$3:$M$118,7,FALSE)</f>
        <v>Alcomix</v>
      </c>
    </row>
    <row r="2225" spans="1:11" x14ac:dyDescent="0.25">
      <c r="A2225" s="158" t="s">
        <v>854</v>
      </c>
      <c r="B2225" s="158" t="s">
        <v>855</v>
      </c>
      <c r="C2225" s="158" t="s">
        <v>43</v>
      </c>
      <c r="D2225" s="158" t="s">
        <v>44</v>
      </c>
      <c r="E2225" s="157">
        <v>0.75</v>
      </c>
      <c r="F2225" s="158" t="s">
        <v>525</v>
      </c>
      <c r="G2225" s="159">
        <v>6257.51</v>
      </c>
      <c r="H2225" s="159">
        <v>0</v>
      </c>
      <c r="I2225" s="159">
        <v>3324.72</v>
      </c>
      <c r="J2225" s="159">
        <v>53.1</v>
      </c>
      <c r="K2225" t="str">
        <f>VLOOKUP($C2225,Lists!$C$3:$M$118,7,FALSE)</f>
        <v>Beers</v>
      </c>
    </row>
    <row r="2226" spans="1:11" x14ac:dyDescent="0.25">
      <c r="A2226" s="158" t="s">
        <v>854</v>
      </c>
      <c r="B2226" s="158" t="s">
        <v>855</v>
      </c>
      <c r="C2226" s="158" t="s">
        <v>45</v>
      </c>
      <c r="D2226" s="158" t="s">
        <v>46</v>
      </c>
      <c r="E2226" s="157">
        <v>2</v>
      </c>
      <c r="F2226" s="158" t="s">
        <v>525</v>
      </c>
      <c r="G2226" s="159">
        <v>8549.36</v>
      </c>
      <c r="H2226" s="159">
        <v>0</v>
      </c>
      <c r="I2226" s="159">
        <v>4532.24</v>
      </c>
      <c r="J2226" s="159">
        <v>53</v>
      </c>
      <c r="K2226" t="str">
        <f>VLOOKUP($C2226,Lists!$C$3:$M$118,7,FALSE)</f>
        <v>SOBO_RGB</v>
      </c>
    </row>
    <row r="2227" spans="1:11" x14ac:dyDescent="0.25">
      <c r="A2227" s="158" t="s">
        <v>856</v>
      </c>
      <c r="B2227" s="158" t="s">
        <v>857</v>
      </c>
      <c r="C2227" s="158" t="s">
        <v>362</v>
      </c>
      <c r="D2227" s="158" t="s">
        <v>363</v>
      </c>
      <c r="E2227" s="157">
        <v>-44</v>
      </c>
      <c r="F2227" s="158" t="s">
        <v>525</v>
      </c>
      <c r="G2227" s="159">
        <v>-236036.24</v>
      </c>
      <c r="H2227" s="159">
        <v>0</v>
      </c>
      <c r="I2227" s="159">
        <v>-58493.599999999999</v>
      </c>
      <c r="J2227" s="159">
        <v>24.8</v>
      </c>
      <c r="K2227" t="str">
        <f>VLOOKUP($C2227,Lists!$C$3:$M$118,7,FALSE)</f>
        <v>Squash</v>
      </c>
    </row>
    <row r="2228" spans="1:11" x14ac:dyDescent="0.25">
      <c r="A2228" s="158" t="s">
        <v>858</v>
      </c>
      <c r="B2228" s="158" t="s">
        <v>859</v>
      </c>
      <c r="C2228" s="158" t="s">
        <v>362</v>
      </c>
      <c r="D2228" s="158" t="s">
        <v>363</v>
      </c>
      <c r="E2228" s="157">
        <v>-104</v>
      </c>
      <c r="F2228" s="158" t="s">
        <v>525</v>
      </c>
      <c r="G2228" s="159">
        <v>-278951.92</v>
      </c>
      <c r="H2228" s="159">
        <v>-278951.92</v>
      </c>
      <c r="I2228" s="159">
        <v>140694.32</v>
      </c>
      <c r="J2228" s="159">
        <v>-50.4</v>
      </c>
      <c r="K2228" t="str">
        <f>VLOOKUP($C2228,Lists!$C$3:$M$118,7,FALSE)</f>
        <v>Squash</v>
      </c>
    </row>
    <row r="2229" spans="1:11" x14ac:dyDescent="0.25">
      <c r="A2229" s="158" t="s">
        <v>860</v>
      </c>
      <c r="B2229" s="158" t="s">
        <v>861</v>
      </c>
      <c r="C2229" s="158" t="s">
        <v>69</v>
      </c>
      <c r="D2229" s="158" t="s">
        <v>70</v>
      </c>
      <c r="E2229" s="157">
        <v>50</v>
      </c>
      <c r="F2229" s="158" t="s">
        <v>525</v>
      </c>
      <c r="G2229" s="159">
        <v>417167.5</v>
      </c>
      <c r="H2229" s="159">
        <v>0</v>
      </c>
      <c r="I2229" s="159">
        <v>192917.5</v>
      </c>
      <c r="J2229" s="159">
        <v>46.2</v>
      </c>
      <c r="K2229" t="str">
        <f>VLOOKUP($C2229,Lists!$C$3:$M$118,7,FALSE)</f>
        <v>Alcomix</v>
      </c>
    </row>
    <row r="2230" spans="1:11" x14ac:dyDescent="0.25">
      <c r="A2230" s="158" t="s">
        <v>860</v>
      </c>
      <c r="B2230" s="158" t="s">
        <v>861</v>
      </c>
      <c r="C2230" s="158" t="s">
        <v>71</v>
      </c>
      <c r="D2230" s="158" t="s">
        <v>553</v>
      </c>
      <c r="E2230" s="157">
        <v>50</v>
      </c>
      <c r="F2230" s="158" t="s">
        <v>525</v>
      </c>
      <c r="G2230" s="159">
        <v>417167.5</v>
      </c>
      <c r="H2230" s="159">
        <v>0</v>
      </c>
      <c r="I2230" s="159">
        <v>192917.5</v>
      </c>
      <c r="J2230" s="159">
        <v>46.2</v>
      </c>
      <c r="K2230" t="str">
        <f>VLOOKUP($C2230,Lists!$C$3:$M$118,7,FALSE)</f>
        <v>Alcomix</v>
      </c>
    </row>
    <row r="2231" spans="1:11" x14ac:dyDescent="0.25">
      <c r="A2231" s="158" t="s">
        <v>860</v>
      </c>
      <c r="B2231" s="158" t="s">
        <v>861</v>
      </c>
      <c r="C2231" s="158" t="s">
        <v>51</v>
      </c>
      <c r="D2231" s="158" t="s">
        <v>52</v>
      </c>
      <c r="E2231" s="157">
        <v>11</v>
      </c>
      <c r="F2231" s="158" t="s">
        <v>525</v>
      </c>
      <c r="G2231" s="159">
        <v>118022.3</v>
      </c>
      <c r="H2231" s="159">
        <v>0</v>
      </c>
      <c r="I2231" s="159">
        <v>42558.45</v>
      </c>
      <c r="J2231" s="159">
        <v>36.1</v>
      </c>
      <c r="K2231" t="str">
        <f>VLOOKUP($C2231,Lists!$C$3:$M$118,7,FALSE)</f>
        <v>Squash</v>
      </c>
    </row>
    <row r="2232" spans="1:11" x14ac:dyDescent="0.25">
      <c r="A2232" s="158" t="s">
        <v>862</v>
      </c>
      <c r="B2232" s="158" t="s">
        <v>863</v>
      </c>
      <c r="C2232" s="158" t="s">
        <v>282</v>
      </c>
      <c r="D2232" s="158" t="s">
        <v>775</v>
      </c>
      <c r="E2232" s="157">
        <v>288</v>
      </c>
      <c r="F2232" s="158" t="s">
        <v>525</v>
      </c>
      <c r="G2232" s="159">
        <v>369331.20000000001</v>
      </c>
      <c r="H2232" s="159">
        <v>0</v>
      </c>
      <c r="I2232" s="159">
        <v>49435.199999999997</v>
      </c>
      <c r="J2232" s="159">
        <v>13.4</v>
      </c>
      <c r="K2232" t="str">
        <f>VLOOKUP($C2232,Lists!$C$3:$M$118,7,FALSE)</f>
        <v>SOBO_PET</v>
      </c>
    </row>
    <row r="2233" spans="1:11" x14ac:dyDescent="0.25">
      <c r="A2233" s="158" t="s">
        <v>864</v>
      </c>
      <c r="B2233" s="158" t="s">
        <v>865</v>
      </c>
      <c r="C2233" s="158" t="s">
        <v>282</v>
      </c>
      <c r="D2233" s="158" t="s">
        <v>775</v>
      </c>
      <c r="E2233" s="157">
        <v>67.75</v>
      </c>
      <c r="F2233" s="158" t="s">
        <v>525</v>
      </c>
      <c r="G2233" s="159">
        <v>173765.88</v>
      </c>
      <c r="H2233" s="159">
        <v>0</v>
      </c>
      <c r="I2233" s="159">
        <v>98512.57</v>
      </c>
      <c r="J2233" s="159">
        <v>56.7</v>
      </c>
      <c r="K2233" t="str">
        <f>VLOOKUP($C2233,Lists!$C$3:$M$118,7,FALSE)</f>
        <v>SOBO_PET</v>
      </c>
    </row>
    <row r="2234" spans="1:11" x14ac:dyDescent="0.25">
      <c r="A2234" s="158" t="s">
        <v>866</v>
      </c>
      <c r="B2234" s="158" t="s">
        <v>867</v>
      </c>
      <c r="C2234" s="158" t="s">
        <v>362</v>
      </c>
      <c r="D2234" s="158" t="s">
        <v>363</v>
      </c>
      <c r="E2234" s="157">
        <v>-3</v>
      </c>
      <c r="F2234" s="158" t="s">
        <v>525</v>
      </c>
      <c r="G2234" s="159">
        <v>-16093.38</v>
      </c>
      <c r="H2234" s="159">
        <v>0</v>
      </c>
      <c r="I2234" s="159">
        <v>-3988.2</v>
      </c>
      <c r="J2234" s="159">
        <v>24.8</v>
      </c>
      <c r="K2234" t="str">
        <f>VLOOKUP($C2234,Lists!$C$3:$M$118,7,FALSE)</f>
        <v>Squash</v>
      </c>
    </row>
    <row r="2235" spans="1:11" x14ac:dyDescent="0.25">
      <c r="A2235" s="158" t="s">
        <v>868</v>
      </c>
      <c r="B2235" s="158" t="s">
        <v>869</v>
      </c>
      <c r="C2235" s="158" t="s">
        <v>362</v>
      </c>
      <c r="D2235" s="158" t="s">
        <v>363</v>
      </c>
      <c r="E2235" s="157">
        <v>15</v>
      </c>
      <c r="F2235" s="158" t="s">
        <v>525</v>
      </c>
      <c r="G2235" s="159">
        <v>40233.449999999997</v>
      </c>
      <c r="H2235" s="159">
        <v>40233.449999999997</v>
      </c>
      <c r="I2235" s="159">
        <v>-20292.45</v>
      </c>
      <c r="J2235" s="159">
        <v>-50.4</v>
      </c>
      <c r="K2235" t="str">
        <f>VLOOKUP($C2235,Lists!$C$3:$M$118,7,FALSE)</f>
        <v>Squash</v>
      </c>
    </row>
    <row r="2236" spans="1:11" x14ac:dyDescent="0.25">
      <c r="A2236" s="158" t="s">
        <v>868</v>
      </c>
      <c r="B2236" s="158" t="s">
        <v>869</v>
      </c>
      <c r="C2236" s="158" t="s">
        <v>282</v>
      </c>
      <c r="D2236" s="158" t="s">
        <v>775</v>
      </c>
      <c r="E2236" s="157">
        <v>170</v>
      </c>
      <c r="F2236" s="158" t="s">
        <v>525</v>
      </c>
      <c r="G2236" s="159">
        <v>218008</v>
      </c>
      <c r="H2236" s="159">
        <v>0</v>
      </c>
      <c r="I2236" s="159">
        <v>29180.5</v>
      </c>
      <c r="J2236" s="159">
        <v>13.4</v>
      </c>
      <c r="K2236" t="str">
        <f>VLOOKUP($C2236,Lists!$C$3:$M$118,7,FALSE)</f>
        <v>SOBO_PET</v>
      </c>
    </row>
    <row r="2237" spans="1:11" x14ac:dyDescent="0.25">
      <c r="A2237" s="158" t="s">
        <v>870</v>
      </c>
      <c r="B2237" s="158" t="s">
        <v>871</v>
      </c>
      <c r="C2237" s="158" t="s">
        <v>362</v>
      </c>
      <c r="D2237" s="158" t="s">
        <v>363</v>
      </c>
      <c r="E2237" s="157">
        <v>41.5</v>
      </c>
      <c r="F2237" s="158" t="s">
        <v>525</v>
      </c>
      <c r="G2237" s="159">
        <v>-45597.91</v>
      </c>
      <c r="H2237" s="159">
        <v>268223</v>
      </c>
      <c r="I2237" s="159">
        <v>-213052.9</v>
      </c>
      <c r="J2237" s="159">
        <v>467.2</v>
      </c>
      <c r="K2237" t="str">
        <f>VLOOKUP($C2237,Lists!$C$3:$M$118,7,FALSE)</f>
        <v>Squash</v>
      </c>
    </row>
    <row r="2238" spans="1:11" x14ac:dyDescent="0.25">
      <c r="A2238" s="158" t="s">
        <v>870</v>
      </c>
      <c r="B2238" s="158" t="s">
        <v>871</v>
      </c>
      <c r="C2238" s="158" t="s">
        <v>282</v>
      </c>
      <c r="D2238" s="158" t="s">
        <v>775</v>
      </c>
      <c r="E2238" s="157">
        <v>39.5</v>
      </c>
      <c r="F2238" s="158" t="s">
        <v>525</v>
      </c>
      <c r="G2238" s="159">
        <v>101309.99</v>
      </c>
      <c r="H2238" s="159">
        <v>0</v>
      </c>
      <c r="I2238" s="159">
        <v>57435.37</v>
      </c>
      <c r="J2238" s="159">
        <v>56.7</v>
      </c>
      <c r="K2238" t="str">
        <f>VLOOKUP($C2238,Lists!$C$3:$M$118,7,FALSE)</f>
        <v>SOBO_PET</v>
      </c>
    </row>
    <row r="2239" spans="1:11" x14ac:dyDescent="0.25">
      <c r="A2239" s="158" t="s">
        <v>872</v>
      </c>
      <c r="B2239" s="158" t="s">
        <v>873</v>
      </c>
      <c r="C2239" s="158" t="s">
        <v>362</v>
      </c>
      <c r="D2239" s="158" t="s">
        <v>363</v>
      </c>
      <c r="E2239" s="157">
        <v>14</v>
      </c>
      <c r="F2239" s="158" t="s">
        <v>525</v>
      </c>
      <c r="G2239" s="159">
        <v>-247512.28</v>
      </c>
      <c r="H2239" s="159">
        <v>0</v>
      </c>
      <c r="I2239" s="159">
        <v>-304003.13</v>
      </c>
      <c r="J2239" s="159">
        <v>122.8</v>
      </c>
      <c r="K2239" t="str">
        <f>VLOOKUP($C2239,Lists!$C$3:$M$118,7,FALSE)</f>
        <v>Squash</v>
      </c>
    </row>
    <row r="2240" spans="1:11" x14ac:dyDescent="0.25">
      <c r="A2240" s="158" t="s">
        <v>874</v>
      </c>
      <c r="B2240" s="158" t="s">
        <v>875</v>
      </c>
      <c r="C2240" s="158" t="s">
        <v>362</v>
      </c>
      <c r="D2240" s="158" t="s">
        <v>363</v>
      </c>
      <c r="E2240" s="157">
        <v>-31</v>
      </c>
      <c r="F2240" s="158" t="s">
        <v>525</v>
      </c>
      <c r="G2240" s="159">
        <v>-96846.48</v>
      </c>
      <c r="H2240" s="159">
        <v>0</v>
      </c>
      <c r="I2240" s="159">
        <v>28240.38</v>
      </c>
      <c r="J2240" s="159">
        <v>-29.2</v>
      </c>
      <c r="K2240" t="str">
        <f>VLOOKUP($C2240,Lists!$C$3:$M$118,7,FALSE)</f>
        <v>Squash</v>
      </c>
    </row>
    <row r="2241" spans="1:11" x14ac:dyDescent="0.25">
      <c r="A2241" s="158" t="s">
        <v>876</v>
      </c>
      <c r="B2241" s="158" t="s">
        <v>877</v>
      </c>
      <c r="C2241" s="158" t="s">
        <v>282</v>
      </c>
      <c r="D2241" s="158" t="s">
        <v>775</v>
      </c>
      <c r="E2241" s="157">
        <v>-13.41667</v>
      </c>
      <c r="F2241" s="158" t="s">
        <v>525</v>
      </c>
      <c r="G2241" s="159">
        <v>-17205.54</v>
      </c>
      <c r="H2241" s="159">
        <v>0</v>
      </c>
      <c r="I2241" s="159">
        <v>-2302.9699999999998</v>
      </c>
      <c r="J2241" s="159">
        <v>13.4</v>
      </c>
      <c r="K2241" t="str">
        <f>VLOOKUP($C2241,Lists!$C$3:$M$118,7,FALSE)</f>
        <v>SOBO_PET</v>
      </c>
    </row>
    <row r="2242" spans="1:11" x14ac:dyDescent="0.25">
      <c r="A2242" s="158" t="s">
        <v>878</v>
      </c>
      <c r="B2242" s="158" t="s">
        <v>879</v>
      </c>
      <c r="C2242" s="158" t="s">
        <v>362</v>
      </c>
      <c r="D2242" s="158" t="s">
        <v>363</v>
      </c>
      <c r="E2242" s="157">
        <v>-71</v>
      </c>
      <c r="F2242" s="158" t="s">
        <v>525</v>
      </c>
      <c r="G2242" s="159">
        <v>-190438.33</v>
      </c>
      <c r="H2242" s="159">
        <v>-190438.33</v>
      </c>
      <c r="I2242" s="159">
        <v>96050.93</v>
      </c>
      <c r="J2242" s="159">
        <v>-50.4</v>
      </c>
      <c r="K2242" t="str">
        <f>VLOOKUP($C2242,Lists!$C$3:$M$118,7,FALSE)</f>
        <v>Squash</v>
      </c>
    </row>
    <row r="2243" spans="1:11" x14ac:dyDescent="0.25">
      <c r="A2243" s="158" t="s">
        <v>878</v>
      </c>
      <c r="B2243" s="158" t="s">
        <v>879</v>
      </c>
      <c r="C2243" s="158" t="s">
        <v>282</v>
      </c>
      <c r="D2243" s="158" t="s">
        <v>775</v>
      </c>
      <c r="E2243" s="157">
        <v>-50</v>
      </c>
      <c r="F2243" s="158" t="s">
        <v>525</v>
      </c>
      <c r="G2243" s="159">
        <v>-128240.5</v>
      </c>
      <c r="H2243" s="159">
        <v>0</v>
      </c>
      <c r="I2243" s="159">
        <v>-72703</v>
      </c>
      <c r="J2243" s="159">
        <v>56.7</v>
      </c>
      <c r="K2243" t="str">
        <f>VLOOKUP($C2243,Lists!$C$3:$M$118,7,FALSE)</f>
        <v>SOBO_PET</v>
      </c>
    </row>
    <row r="2244" spans="1:11" x14ac:dyDescent="0.25">
      <c r="A2244" s="158" t="s">
        <v>880</v>
      </c>
      <c r="B2244" s="158" t="s">
        <v>881</v>
      </c>
      <c r="C2244" s="158" t="s">
        <v>362</v>
      </c>
      <c r="D2244" s="158" t="s">
        <v>363</v>
      </c>
      <c r="E2244" s="157">
        <v>-73.333330000000004</v>
      </c>
      <c r="F2244" s="158" t="s">
        <v>525</v>
      </c>
      <c r="G2244" s="159">
        <v>-393393.72</v>
      </c>
      <c r="H2244" s="159">
        <v>0</v>
      </c>
      <c r="I2244" s="159">
        <v>-97489.33</v>
      </c>
      <c r="J2244" s="159">
        <v>24.8</v>
      </c>
      <c r="K2244" t="str">
        <f>VLOOKUP($C2244,Lists!$C$3:$M$118,7,FALSE)</f>
        <v>Squash</v>
      </c>
    </row>
    <row r="2245" spans="1:11" x14ac:dyDescent="0.25">
      <c r="A2245" s="158" t="s">
        <v>880</v>
      </c>
      <c r="B2245" s="158" t="s">
        <v>881</v>
      </c>
      <c r="C2245" s="158" t="s">
        <v>282</v>
      </c>
      <c r="D2245" s="158" t="s">
        <v>775</v>
      </c>
      <c r="E2245" s="157">
        <v>-18.83333</v>
      </c>
      <c r="F2245" s="158" t="s">
        <v>525</v>
      </c>
      <c r="G2245" s="159">
        <v>-48303.91</v>
      </c>
      <c r="H2245" s="159">
        <v>0</v>
      </c>
      <c r="I2245" s="159">
        <v>-27384.79</v>
      </c>
      <c r="J2245" s="159">
        <v>56.7</v>
      </c>
      <c r="K2245" t="str">
        <f>VLOOKUP($C2245,Lists!$C$3:$M$118,7,FALSE)</f>
        <v>SOBO_PET</v>
      </c>
    </row>
    <row r="2246" spans="1:11" x14ac:dyDescent="0.25">
      <c r="A2246" s="158" t="s">
        <v>882</v>
      </c>
      <c r="B2246" s="158" t="s">
        <v>883</v>
      </c>
      <c r="C2246" s="158" t="s">
        <v>362</v>
      </c>
      <c r="D2246" s="158" t="s">
        <v>363</v>
      </c>
      <c r="E2246" s="157">
        <v>-118</v>
      </c>
      <c r="F2246" s="158" t="s">
        <v>525</v>
      </c>
      <c r="G2246" s="159">
        <v>-633006.28</v>
      </c>
      <c r="H2246" s="159">
        <v>0</v>
      </c>
      <c r="I2246" s="159">
        <v>-156869.20000000001</v>
      </c>
      <c r="J2246" s="159">
        <v>24.8</v>
      </c>
      <c r="K2246" t="str">
        <f>VLOOKUP($C2246,Lists!$C$3:$M$118,7,FALSE)</f>
        <v>Squash</v>
      </c>
    </row>
    <row r="2247" spans="1:11" x14ac:dyDescent="0.25">
      <c r="A2247" s="158" t="s">
        <v>884</v>
      </c>
      <c r="B2247" s="158" t="s">
        <v>885</v>
      </c>
      <c r="C2247" s="158" t="s">
        <v>16</v>
      </c>
      <c r="D2247" s="158" t="s">
        <v>17</v>
      </c>
      <c r="E2247" s="157">
        <v>1.3</v>
      </c>
      <c r="F2247" s="158" t="s">
        <v>525</v>
      </c>
      <c r="G2247" s="159">
        <v>10846.36</v>
      </c>
      <c r="H2247" s="159">
        <v>0</v>
      </c>
      <c r="I2247" s="159">
        <v>5762.87</v>
      </c>
      <c r="J2247" s="159">
        <v>53.1</v>
      </c>
      <c r="K2247" t="str">
        <f>VLOOKUP($C2247,Lists!$C$3:$M$118,7,FALSE)</f>
        <v>Beers</v>
      </c>
    </row>
    <row r="2248" spans="1:11" x14ac:dyDescent="0.25">
      <c r="A2248" s="158" t="s">
        <v>886</v>
      </c>
      <c r="B2248" s="158" t="s">
        <v>887</v>
      </c>
      <c r="C2248" s="158" t="s">
        <v>14</v>
      </c>
      <c r="D2248" s="158" t="s">
        <v>15</v>
      </c>
      <c r="E2248" s="157">
        <v>1.3</v>
      </c>
      <c r="F2248" s="158" t="s">
        <v>525</v>
      </c>
      <c r="G2248" s="159">
        <v>10846.36</v>
      </c>
      <c r="H2248" s="159">
        <v>0</v>
      </c>
      <c r="I2248" s="159">
        <v>5762.87</v>
      </c>
      <c r="J2248" s="159">
        <v>53.1</v>
      </c>
      <c r="K2248" t="str">
        <f>VLOOKUP($C2248,Lists!$C$3:$M$118,7,FALSE)</f>
        <v>Beers</v>
      </c>
    </row>
    <row r="2249" spans="1:11" x14ac:dyDescent="0.25">
      <c r="A2249" s="158" t="s">
        <v>886</v>
      </c>
      <c r="B2249" s="158" t="s">
        <v>887</v>
      </c>
      <c r="C2249" s="158" t="s">
        <v>39</v>
      </c>
      <c r="D2249" s="158" t="s">
        <v>40</v>
      </c>
      <c r="E2249" s="157">
        <v>3</v>
      </c>
      <c r="F2249" s="158" t="s">
        <v>525</v>
      </c>
      <c r="G2249" s="159">
        <v>10686.69</v>
      </c>
      <c r="H2249" s="159">
        <v>0</v>
      </c>
      <c r="I2249" s="159">
        <v>5386.14</v>
      </c>
      <c r="J2249" s="159">
        <v>50.4</v>
      </c>
      <c r="K2249" t="str">
        <f>VLOOKUP($C2249,Lists!$C$3:$M$118,7,FALSE)</f>
        <v>SOBO_RGB</v>
      </c>
    </row>
    <row r="2250" spans="1:11" x14ac:dyDescent="0.25">
      <c r="A2250" s="158" t="s">
        <v>888</v>
      </c>
      <c r="B2250" s="158" t="s">
        <v>889</v>
      </c>
      <c r="C2250" s="158" t="s">
        <v>362</v>
      </c>
      <c r="D2250" s="158" t="s">
        <v>363</v>
      </c>
      <c r="E2250" s="157">
        <v>-6</v>
      </c>
      <c r="F2250" s="158" t="s">
        <v>525</v>
      </c>
      <c r="G2250" s="159">
        <v>-16093.38</v>
      </c>
      <c r="H2250" s="159">
        <v>-16093.38</v>
      </c>
      <c r="I2250" s="159">
        <v>8116.98</v>
      </c>
      <c r="J2250" s="159">
        <v>-50.4</v>
      </c>
      <c r="K2250" t="str">
        <f>VLOOKUP($C2250,Lists!$C$3:$M$118,7,FALSE)</f>
        <v>Squash</v>
      </c>
    </row>
    <row r="2251" spans="1:11" x14ac:dyDescent="0.25">
      <c r="A2251" s="158" t="s">
        <v>890</v>
      </c>
      <c r="B2251" s="158" t="s">
        <v>891</v>
      </c>
      <c r="C2251" s="158" t="s">
        <v>29</v>
      </c>
      <c r="D2251" s="158" t="s">
        <v>30</v>
      </c>
      <c r="E2251" s="157">
        <v>0.41666999999999998</v>
      </c>
      <c r="F2251" s="158" t="s">
        <v>525</v>
      </c>
      <c r="G2251" s="159">
        <v>16373.11</v>
      </c>
      <c r="H2251" s="159">
        <v>0</v>
      </c>
      <c r="I2251" s="159">
        <v>5539.69</v>
      </c>
      <c r="J2251" s="159">
        <v>33.799999999999997</v>
      </c>
      <c r="K2251" t="str">
        <f>VLOOKUP($C2251,Lists!$C$3:$M$118,7,FALSE)</f>
        <v>Spirits</v>
      </c>
    </row>
    <row r="2252" spans="1:11" x14ac:dyDescent="0.25">
      <c r="A2252" s="158" t="s">
        <v>892</v>
      </c>
      <c r="B2252" s="158" t="s">
        <v>893</v>
      </c>
      <c r="C2252" s="158" t="s">
        <v>10</v>
      </c>
      <c r="D2252" s="158" t="s">
        <v>11</v>
      </c>
      <c r="E2252" s="157">
        <v>0.15</v>
      </c>
      <c r="F2252" s="158" t="s">
        <v>525</v>
      </c>
      <c r="G2252" s="159">
        <v>1251.5</v>
      </c>
      <c r="H2252" s="159">
        <v>0</v>
      </c>
      <c r="I2252" s="159">
        <v>578.75</v>
      </c>
      <c r="J2252" s="159">
        <v>46.2</v>
      </c>
      <c r="K2252" t="str">
        <f>VLOOKUP($C2252,Lists!$C$3:$M$118,7,FALSE)</f>
        <v>Alcomix</v>
      </c>
    </row>
    <row r="2253" spans="1:11" x14ac:dyDescent="0.25">
      <c r="A2253" s="158" t="s">
        <v>892</v>
      </c>
      <c r="B2253" s="158" t="s">
        <v>893</v>
      </c>
      <c r="C2253" s="158" t="s">
        <v>12</v>
      </c>
      <c r="D2253" s="158" t="s">
        <v>13</v>
      </c>
      <c r="E2253" s="157">
        <v>0.45</v>
      </c>
      <c r="F2253" s="158" t="s">
        <v>525</v>
      </c>
      <c r="G2253" s="159">
        <v>3128.76</v>
      </c>
      <c r="H2253" s="159">
        <v>0</v>
      </c>
      <c r="I2253" s="159">
        <v>1497.85</v>
      </c>
      <c r="J2253" s="159">
        <v>47.9</v>
      </c>
      <c r="K2253" t="str">
        <f>VLOOKUP($C2253,Lists!$C$3:$M$118,7,FALSE)</f>
        <v>Beers</v>
      </c>
    </row>
    <row r="2254" spans="1:11" x14ac:dyDescent="0.25">
      <c r="A2254" s="158" t="s">
        <v>892</v>
      </c>
      <c r="B2254" s="158" t="s">
        <v>893</v>
      </c>
      <c r="C2254" s="158" t="s">
        <v>54</v>
      </c>
      <c r="D2254" s="158" t="s">
        <v>55</v>
      </c>
      <c r="E2254" s="157">
        <v>0.75</v>
      </c>
      <c r="F2254" s="158" t="s">
        <v>525</v>
      </c>
      <c r="G2254" s="159">
        <v>6257.52</v>
      </c>
      <c r="H2254" s="159">
        <v>0</v>
      </c>
      <c r="I2254" s="159">
        <v>3505.2</v>
      </c>
      <c r="J2254" s="159">
        <v>56</v>
      </c>
      <c r="K2254" t="str">
        <f>VLOOKUP($C2254,Lists!$C$3:$M$118,7,FALSE)</f>
        <v>Beers</v>
      </c>
    </row>
    <row r="2255" spans="1:11" x14ac:dyDescent="0.25">
      <c r="A2255" s="158" t="s">
        <v>892</v>
      </c>
      <c r="B2255" s="158" t="s">
        <v>893</v>
      </c>
      <c r="C2255" s="158" t="s">
        <v>16</v>
      </c>
      <c r="D2255" s="158" t="s">
        <v>17</v>
      </c>
      <c r="E2255" s="157">
        <v>0.25</v>
      </c>
      <c r="F2255" s="158" t="s">
        <v>525</v>
      </c>
      <c r="G2255" s="159">
        <v>2085.84</v>
      </c>
      <c r="H2255" s="159">
        <v>0</v>
      </c>
      <c r="I2255" s="159">
        <v>1108.24</v>
      </c>
      <c r="J2255" s="159">
        <v>53.1</v>
      </c>
      <c r="K2255" t="str">
        <f>VLOOKUP($C2255,Lists!$C$3:$M$118,7,FALSE)</f>
        <v>Beers</v>
      </c>
    </row>
    <row r="2256" spans="1:11" x14ac:dyDescent="0.25">
      <c r="A2256" s="158" t="s">
        <v>892</v>
      </c>
      <c r="B2256" s="158" t="s">
        <v>893</v>
      </c>
      <c r="C2256" s="158" t="s">
        <v>20</v>
      </c>
      <c r="D2256" s="158" t="s">
        <v>21</v>
      </c>
      <c r="E2256" s="157">
        <v>1.9</v>
      </c>
      <c r="F2256" s="158" t="s">
        <v>525</v>
      </c>
      <c r="G2256" s="159">
        <v>8121.89</v>
      </c>
      <c r="H2256" s="159">
        <v>0</v>
      </c>
      <c r="I2256" s="159">
        <v>3761.96</v>
      </c>
      <c r="J2256" s="159">
        <v>46.3</v>
      </c>
      <c r="K2256" t="str">
        <f>VLOOKUP($C2256,Lists!$C$3:$M$118,7,FALSE)</f>
        <v>COKE_RGB</v>
      </c>
    </row>
    <row r="2257" spans="1:11" x14ac:dyDescent="0.25">
      <c r="A2257" s="158" t="s">
        <v>892</v>
      </c>
      <c r="B2257" s="158" t="s">
        <v>893</v>
      </c>
      <c r="C2257" s="158" t="s">
        <v>59</v>
      </c>
      <c r="D2257" s="158" t="s">
        <v>60</v>
      </c>
      <c r="E2257" s="157">
        <v>0.1</v>
      </c>
      <c r="F2257" s="158" t="s">
        <v>525</v>
      </c>
      <c r="G2257" s="159">
        <v>427.47</v>
      </c>
      <c r="H2257" s="159">
        <v>0</v>
      </c>
      <c r="I2257" s="159">
        <v>192.82</v>
      </c>
      <c r="J2257" s="159">
        <v>45.1</v>
      </c>
      <c r="K2257" t="str">
        <f>VLOOKUP($C2257,Lists!$C$3:$M$118,7,FALSE)</f>
        <v>COKE_RGB</v>
      </c>
    </row>
    <row r="2258" spans="1:11" x14ac:dyDescent="0.25">
      <c r="A2258" s="158" t="s">
        <v>892</v>
      </c>
      <c r="B2258" s="158" t="s">
        <v>893</v>
      </c>
      <c r="C2258" s="158" t="s">
        <v>22</v>
      </c>
      <c r="D2258" s="158" t="s">
        <v>23</v>
      </c>
      <c r="E2258" s="157">
        <v>0.1</v>
      </c>
      <c r="F2258" s="158" t="s">
        <v>525</v>
      </c>
      <c r="G2258" s="159">
        <v>427.47</v>
      </c>
      <c r="H2258" s="159">
        <v>0</v>
      </c>
      <c r="I2258" s="159">
        <v>191.12</v>
      </c>
      <c r="J2258" s="159">
        <v>44.7</v>
      </c>
      <c r="K2258" t="str">
        <f>VLOOKUP($C2258,Lists!$C$3:$M$118,7,FALSE)</f>
        <v>COKE_RGB</v>
      </c>
    </row>
    <row r="2259" spans="1:11" x14ac:dyDescent="0.25">
      <c r="A2259" s="158" t="s">
        <v>892</v>
      </c>
      <c r="B2259" s="158" t="s">
        <v>893</v>
      </c>
      <c r="C2259" s="158" t="s">
        <v>37</v>
      </c>
      <c r="D2259" s="158" t="s">
        <v>38</v>
      </c>
      <c r="E2259" s="157">
        <v>0.3</v>
      </c>
      <c r="F2259" s="158" t="s">
        <v>525</v>
      </c>
      <c r="G2259" s="159">
        <v>1068.67</v>
      </c>
      <c r="H2259" s="159">
        <v>0</v>
      </c>
      <c r="I2259" s="159">
        <v>542.71</v>
      </c>
      <c r="J2259" s="159">
        <v>50.8</v>
      </c>
      <c r="K2259" t="str">
        <f>VLOOKUP($C2259,Lists!$C$3:$M$118,7,FALSE)</f>
        <v>SOBO_RGB</v>
      </c>
    </row>
    <row r="2260" spans="1:11" x14ac:dyDescent="0.25">
      <c r="A2260" s="158" t="s">
        <v>892</v>
      </c>
      <c r="B2260" s="158" t="s">
        <v>893</v>
      </c>
      <c r="C2260" s="158" t="s">
        <v>47</v>
      </c>
      <c r="D2260" s="158" t="s">
        <v>48</v>
      </c>
      <c r="E2260" s="157">
        <v>0.05</v>
      </c>
      <c r="F2260" s="158" t="s">
        <v>525</v>
      </c>
      <c r="G2260" s="159">
        <v>213.73</v>
      </c>
      <c r="H2260" s="159">
        <v>0</v>
      </c>
      <c r="I2260" s="159">
        <v>102.19</v>
      </c>
      <c r="J2260" s="159">
        <v>47.8</v>
      </c>
      <c r="K2260" t="str">
        <f>VLOOKUP($C2260,Lists!$C$3:$M$118,7,FALSE)</f>
        <v>COKE_RGB</v>
      </c>
    </row>
    <row r="2261" spans="1:11" x14ac:dyDescent="0.25">
      <c r="A2261" s="158" t="s">
        <v>894</v>
      </c>
      <c r="B2261" s="158" t="s">
        <v>895</v>
      </c>
      <c r="C2261" s="158" t="s">
        <v>12</v>
      </c>
      <c r="D2261" s="158" t="s">
        <v>13</v>
      </c>
      <c r="E2261" s="157">
        <v>0.2</v>
      </c>
      <c r="F2261" s="158" t="s">
        <v>525</v>
      </c>
      <c r="G2261" s="159">
        <v>1390.56</v>
      </c>
      <c r="H2261" s="159">
        <v>0</v>
      </c>
      <c r="I2261" s="159">
        <v>665.71</v>
      </c>
      <c r="J2261" s="159">
        <v>47.9</v>
      </c>
      <c r="K2261" t="str">
        <f>VLOOKUP($C2261,Lists!$C$3:$M$118,7,FALSE)</f>
        <v>Beers</v>
      </c>
    </row>
    <row r="2262" spans="1:11" x14ac:dyDescent="0.25">
      <c r="A2262" s="158" t="s">
        <v>894</v>
      </c>
      <c r="B2262" s="158" t="s">
        <v>895</v>
      </c>
      <c r="C2262" s="158" t="s">
        <v>14</v>
      </c>
      <c r="D2262" s="158" t="s">
        <v>15</v>
      </c>
      <c r="E2262" s="157">
        <v>0.1</v>
      </c>
      <c r="F2262" s="158" t="s">
        <v>525</v>
      </c>
      <c r="G2262" s="159">
        <v>834.34</v>
      </c>
      <c r="H2262" s="159">
        <v>0</v>
      </c>
      <c r="I2262" s="159">
        <v>443.3</v>
      </c>
      <c r="J2262" s="159">
        <v>53.1</v>
      </c>
      <c r="K2262" t="str">
        <f>VLOOKUP($C2262,Lists!$C$3:$M$118,7,FALSE)</f>
        <v>Beers</v>
      </c>
    </row>
    <row r="2263" spans="1:11" x14ac:dyDescent="0.25">
      <c r="A2263" s="158" t="s">
        <v>894</v>
      </c>
      <c r="B2263" s="158" t="s">
        <v>895</v>
      </c>
      <c r="C2263" s="158" t="s">
        <v>16</v>
      </c>
      <c r="D2263" s="158" t="s">
        <v>17</v>
      </c>
      <c r="E2263" s="157">
        <v>0.85</v>
      </c>
      <c r="F2263" s="158" t="s">
        <v>525</v>
      </c>
      <c r="G2263" s="159">
        <v>7091.85</v>
      </c>
      <c r="H2263" s="159">
        <v>0</v>
      </c>
      <c r="I2263" s="159">
        <v>3768.02</v>
      </c>
      <c r="J2263" s="159">
        <v>53.1</v>
      </c>
      <c r="K2263" t="str">
        <f>VLOOKUP($C2263,Lists!$C$3:$M$118,7,FALSE)</f>
        <v>Beers</v>
      </c>
    </row>
    <row r="2264" spans="1:11" x14ac:dyDescent="0.25">
      <c r="A2264" s="158" t="s">
        <v>894</v>
      </c>
      <c r="B2264" s="158" t="s">
        <v>895</v>
      </c>
      <c r="C2264" s="158" t="s">
        <v>56</v>
      </c>
      <c r="D2264" s="158" t="s">
        <v>57</v>
      </c>
      <c r="E2264" s="157">
        <v>8.3330000000000001E-2</v>
      </c>
      <c r="F2264" s="158" t="s">
        <v>525</v>
      </c>
      <c r="G2264" s="159">
        <v>695.25</v>
      </c>
      <c r="H2264" s="159">
        <v>0</v>
      </c>
      <c r="I2264" s="159">
        <v>389.45</v>
      </c>
      <c r="J2264" s="159">
        <v>56</v>
      </c>
      <c r="K2264" t="str">
        <f>VLOOKUP($C2264,Lists!$C$3:$M$118,7,FALSE)</f>
        <v>Beers</v>
      </c>
    </row>
    <row r="2265" spans="1:11" x14ac:dyDescent="0.25">
      <c r="A2265" s="158" t="s">
        <v>894</v>
      </c>
      <c r="B2265" s="158" t="s">
        <v>895</v>
      </c>
      <c r="C2265" s="158" t="s">
        <v>18</v>
      </c>
      <c r="D2265" s="158" t="s">
        <v>19</v>
      </c>
      <c r="E2265" s="157">
        <v>0.05</v>
      </c>
      <c r="F2265" s="158" t="s">
        <v>525</v>
      </c>
      <c r="G2265" s="159">
        <v>556.22</v>
      </c>
      <c r="H2265" s="159">
        <v>0</v>
      </c>
      <c r="I2265" s="159">
        <v>308.24</v>
      </c>
      <c r="J2265" s="159">
        <v>55.4</v>
      </c>
      <c r="K2265" t="str">
        <f>VLOOKUP($C2265,Lists!$C$3:$M$118,7,FALSE)</f>
        <v>Beers</v>
      </c>
    </row>
    <row r="2266" spans="1:11" x14ac:dyDescent="0.25">
      <c r="A2266" s="158" t="s">
        <v>894</v>
      </c>
      <c r="B2266" s="158" t="s">
        <v>895</v>
      </c>
      <c r="C2266" s="158" t="s">
        <v>20</v>
      </c>
      <c r="D2266" s="158" t="s">
        <v>21</v>
      </c>
      <c r="E2266" s="157">
        <v>0.9</v>
      </c>
      <c r="F2266" s="158" t="s">
        <v>525</v>
      </c>
      <c r="G2266" s="159">
        <v>3847.21</v>
      </c>
      <c r="H2266" s="159">
        <v>0</v>
      </c>
      <c r="I2266" s="159">
        <v>1781.96</v>
      </c>
      <c r="J2266" s="159">
        <v>46.3</v>
      </c>
      <c r="K2266" t="str">
        <f>VLOOKUP($C2266,Lists!$C$3:$M$118,7,FALSE)</f>
        <v>COKE_RGB</v>
      </c>
    </row>
    <row r="2267" spans="1:11" x14ac:dyDescent="0.25">
      <c r="A2267" s="158" t="s">
        <v>894</v>
      </c>
      <c r="B2267" s="158" t="s">
        <v>895</v>
      </c>
      <c r="C2267" s="158" t="s">
        <v>59</v>
      </c>
      <c r="D2267" s="158" t="s">
        <v>60</v>
      </c>
      <c r="E2267" s="157">
        <v>0.1</v>
      </c>
      <c r="F2267" s="158" t="s">
        <v>525</v>
      </c>
      <c r="G2267" s="159">
        <v>427.47</v>
      </c>
      <c r="H2267" s="159">
        <v>0</v>
      </c>
      <c r="I2267" s="159">
        <v>192.82</v>
      </c>
      <c r="J2267" s="159">
        <v>45.1</v>
      </c>
      <c r="K2267" t="str">
        <f>VLOOKUP($C2267,Lists!$C$3:$M$118,7,FALSE)</f>
        <v>COKE_RGB</v>
      </c>
    </row>
    <row r="2268" spans="1:11" x14ac:dyDescent="0.25">
      <c r="A2268" s="158" t="s">
        <v>894</v>
      </c>
      <c r="B2268" s="158" t="s">
        <v>895</v>
      </c>
      <c r="C2268" s="158" t="s">
        <v>22</v>
      </c>
      <c r="D2268" s="158" t="s">
        <v>23</v>
      </c>
      <c r="E2268" s="157">
        <v>0.2</v>
      </c>
      <c r="F2268" s="158" t="s">
        <v>525</v>
      </c>
      <c r="G2268" s="159">
        <v>854.94</v>
      </c>
      <c r="H2268" s="159">
        <v>0</v>
      </c>
      <c r="I2268" s="159">
        <v>382.25</v>
      </c>
      <c r="J2268" s="159">
        <v>44.7</v>
      </c>
      <c r="K2268" t="str">
        <f>VLOOKUP($C2268,Lists!$C$3:$M$118,7,FALSE)</f>
        <v>COKE_RGB</v>
      </c>
    </row>
    <row r="2269" spans="1:11" x14ac:dyDescent="0.25">
      <c r="A2269" s="158" t="s">
        <v>894</v>
      </c>
      <c r="B2269" s="158" t="s">
        <v>895</v>
      </c>
      <c r="C2269" s="158" t="s">
        <v>24</v>
      </c>
      <c r="D2269" s="158" t="s">
        <v>25</v>
      </c>
      <c r="E2269" s="157">
        <v>0.1</v>
      </c>
      <c r="F2269" s="158" t="s">
        <v>525</v>
      </c>
      <c r="G2269" s="159">
        <v>695.28</v>
      </c>
      <c r="H2269" s="159">
        <v>0</v>
      </c>
      <c r="I2269" s="159">
        <v>361.47</v>
      </c>
      <c r="J2269" s="159">
        <v>52</v>
      </c>
      <c r="K2269" t="str">
        <f>VLOOKUP($C2269,Lists!$C$3:$M$118,7,FALSE)</f>
        <v>Beers</v>
      </c>
    </row>
    <row r="2270" spans="1:11" x14ac:dyDescent="0.25">
      <c r="A2270" s="158" t="s">
        <v>894</v>
      </c>
      <c r="B2270" s="158" t="s">
        <v>895</v>
      </c>
      <c r="C2270" s="158" t="s">
        <v>37</v>
      </c>
      <c r="D2270" s="158" t="s">
        <v>38</v>
      </c>
      <c r="E2270" s="157">
        <v>0.05</v>
      </c>
      <c r="F2270" s="158" t="s">
        <v>525</v>
      </c>
      <c r="G2270" s="159">
        <v>178.11</v>
      </c>
      <c r="H2270" s="159">
        <v>0</v>
      </c>
      <c r="I2270" s="159">
        <v>90.45</v>
      </c>
      <c r="J2270" s="159">
        <v>50.8</v>
      </c>
      <c r="K2270" t="str">
        <f>VLOOKUP($C2270,Lists!$C$3:$M$118,7,FALSE)</f>
        <v>SOBO_RGB</v>
      </c>
    </row>
    <row r="2271" spans="1:11" x14ac:dyDescent="0.25">
      <c r="A2271" s="158" t="s">
        <v>894</v>
      </c>
      <c r="B2271" s="158" t="s">
        <v>895</v>
      </c>
      <c r="C2271" s="158" t="s">
        <v>39</v>
      </c>
      <c r="D2271" s="158" t="s">
        <v>40</v>
      </c>
      <c r="E2271" s="157">
        <v>0.3</v>
      </c>
      <c r="F2271" s="158" t="s">
        <v>525</v>
      </c>
      <c r="G2271" s="159">
        <v>1068.6600000000001</v>
      </c>
      <c r="H2271" s="159">
        <v>0</v>
      </c>
      <c r="I2271" s="159">
        <v>538.59</v>
      </c>
      <c r="J2271" s="159">
        <v>50.4</v>
      </c>
      <c r="K2271" t="str">
        <f>VLOOKUP($C2271,Lists!$C$3:$M$118,7,FALSE)</f>
        <v>SOBO_RGB</v>
      </c>
    </row>
    <row r="2272" spans="1:11" x14ac:dyDescent="0.25">
      <c r="A2272" s="158" t="s">
        <v>894</v>
      </c>
      <c r="B2272" s="158" t="s">
        <v>895</v>
      </c>
      <c r="C2272" s="158" t="s">
        <v>88</v>
      </c>
      <c r="D2272" s="158" t="s">
        <v>527</v>
      </c>
      <c r="E2272" s="157">
        <v>8.3330000000000001E-2</v>
      </c>
      <c r="F2272" s="158" t="s">
        <v>525</v>
      </c>
      <c r="G2272" s="159">
        <v>249.35</v>
      </c>
      <c r="H2272" s="159">
        <v>0</v>
      </c>
      <c r="I2272" s="159">
        <v>152.13</v>
      </c>
      <c r="J2272" s="159">
        <v>61</v>
      </c>
      <c r="K2272" t="str">
        <f>VLOOKUP($C2272,Lists!$C$3:$M$118,7,FALSE)</f>
        <v>SOBO_PET</v>
      </c>
    </row>
    <row r="2273" spans="1:11" x14ac:dyDescent="0.25">
      <c r="A2273" s="158" t="s">
        <v>896</v>
      </c>
      <c r="B2273" s="158" t="s">
        <v>897</v>
      </c>
      <c r="C2273" s="158" t="s">
        <v>14</v>
      </c>
      <c r="D2273" s="158" t="s">
        <v>15</v>
      </c>
      <c r="E2273" s="157">
        <v>0.15</v>
      </c>
      <c r="F2273" s="158" t="s">
        <v>525</v>
      </c>
      <c r="G2273" s="159">
        <v>1251.5</v>
      </c>
      <c r="H2273" s="159">
        <v>0</v>
      </c>
      <c r="I2273" s="159">
        <v>664.94</v>
      </c>
      <c r="J2273" s="159">
        <v>53.1</v>
      </c>
      <c r="K2273" t="str">
        <f>VLOOKUP($C2273,Lists!$C$3:$M$118,7,FALSE)</f>
        <v>Beers</v>
      </c>
    </row>
    <row r="2274" spans="1:11" x14ac:dyDescent="0.25">
      <c r="A2274" s="158" t="s">
        <v>896</v>
      </c>
      <c r="B2274" s="158" t="s">
        <v>897</v>
      </c>
      <c r="C2274" s="158" t="s">
        <v>20</v>
      </c>
      <c r="D2274" s="158" t="s">
        <v>21</v>
      </c>
      <c r="E2274" s="157">
        <v>0.1</v>
      </c>
      <c r="F2274" s="158" t="s">
        <v>525</v>
      </c>
      <c r="G2274" s="159">
        <v>427.47</v>
      </c>
      <c r="H2274" s="159">
        <v>0</v>
      </c>
      <c r="I2274" s="159">
        <v>198</v>
      </c>
      <c r="J2274" s="159">
        <v>46.3</v>
      </c>
      <c r="K2274" t="str">
        <f>VLOOKUP($C2274,Lists!$C$3:$M$118,7,FALSE)</f>
        <v>COKE_RGB</v>
      </c>
    </row>
    <row r="2275" spans="1:11" x14ac:dyDescent="0.25">
      <c r="A2275" s="158" t="s">
        <v>896</v>
      </c>
      <c r="B2275" s="158" t="s">
        <v>897</v>
      </c>
      <c r="C2275" s="158" t="s">
        <v>24</v>
      </c>
      <c r="D2275" s="158" t="s">
        <v>25</v>
      </c>
      <c r="E2275" s="157">
        <v>2.0499999999999998</v>
      </c>
      <c r="F2275" s="158" t="s">
        <v>525</v>
      </c>
      <c r="G2275" s="159">
        <v>14253.22</v>
      </c>
      <c r="H2275" s="159">
        <v>0</v>
      </c>
      <c r="I2275" s="159">
        <v>7410.05</v>
      </c>
      <c r="J2275" s="159">
        <v>52</v>
      </c>
      <c r="K2275" t="str">
        <f>VLOOKUP($C2275,Lists!$C$3:$M$118,7,FALSE)</f>
        <v>Beers</v>
      </c>
    </row>
    <row r="2276" spans="1:11" x14ac:dyDescent="0.25">
      <c r="A2276" s="158" t="s">
        <v>898</v>
      </c>
      <c r="B2276" s="158" t="s">
        <v>899</v>
      </c>
      <c r="C2276" s="158" t="s">
        <v>41</v>
      </c>
      <c r="D2276" s="158" t="s">
        <v>42</v>
      </c>
      <c r="E2276" s="157">
        <v>0.05</v>
      </c>
      <c r="F2276" s="158" t="s">
        <v>525</v>
      </c>
      <c r="G2276" s="159">
        <v>417.17</v>
      </c>
      <c r="H2276" s="159">
        <v>0</v>
      </c>
      <c r="I2276" s="159">
        <v>192.92</v>
      </c>
      <c r="J2276" s="159">
        <v>46.2</v>
      </c>
      <c r="K2276" t="str">
        <f>VLOOKUP($C2276,Lists!$C$3:$M$118,7,FALSE)</f>
        <v>Alcomix</v>
      </c>
    </row>
    <row r="2277" spans="1:11" x14ac:dyDescent="0.25">
      <c r="A2277" s="158" t="s">
        <v>898</v>
      </c>
      <c r="B2277" s="158" t="s">
        <v>899</v>
      </c>
      <c r="C2277" s="158" t="s">
        <v>12</v>
      </c>
      <c r="D2277" s="158" t="s">
        <v>13</v>
      </c>
      <c r="E2277" s="157">
        <v>0.2</v>
      </c>
      <c r="F2277" s="158" t="s">
        <v>525</v>
      </c>
      <c r="G2277" s="159">
        <v>1390.56</v>
      </c>
      <c r="H2277" s="159">
        <v>0</v>
      </c>
      <c r="I2277" s="159">
        <v>665.71</v>
      </c>
      <c r="J2277" s="159">
        <v>47.9</v>
      </c>
      <c r="K2277" t="str">
        <f>VLOOKUP($C2277,Lists!$C$3:$M$118,7,FALSE)</f>
        <v>Beers</v>
      </c>
    </row>
    <row r="2278" spans="1:11" x14ac:dyDescent="0.25">
      <c r="A2278" s="158" t="s">
        <v>898</v>
      </c>
      <c r="B2278" s="158" t="s">
        <v>899</v>
      </c>
      <c r="C2278" s="158" t="s">
        <v>16</v>
      </c>
      <c r="D2278" s="158" t="s">
        <v>17</v>
      </c>
      <c r="E2278" s="157">
        <v>1</v>
      </c>
      <c r="F2278" s="158" t="s">
        <v>525</v>
      </c>
      <c r="G2278" s="159">
        <v>8343.35</v>
      </c>
      <c r="H2278" s="159">
        <v>0</v>
      </c>
      <c r="I2278" s="159">
        <v>4432.97</v>
      </c>
      <c r="J2278" s="159">
        <v>53.1</v>
      </c>
      <c r="K2278" t="str">
        <f>VLOOKUP($C2278,Lists!$C$3:$M$118,7,FALSE)</f>
        <v>Beers</v>
      </c>
    </row>
    <row r="2279" spans="1:11" x14ac:dyDescent="0.25">
      <c r="A2279" s="158" t="s">
        <v>898</v>
      </c>
      <c r="B2279" s="158" t="s">
        <v>899</v>
      </c>
      <c r="C2279" s="158" t="s">
        <v>18</v>
      </c>
      <c r="D2279" s="158" t="s">
        <v>19</v>
      </c>
      <c r="E2279" s="157">
        <v>1.45</v>
      </c>
      <c r="F2279" s="158" t="s">
        <v>525</v>
      </c>
      <c r="G2279" s="159">
        <v>16130.47</v>
      </c>
      <c r="H2279" s="159">
        <v>0</v>
      </c>
      <c r="I2279" s="159">
        <v>8939.19</v>
      </c>
      <c r="J2279" s="159">
        <v>55.4</v>
      </c>
      <c r="K2279" t="str">
        <f>VLOOKUP($C2279,Lists!$C$3:$M$118,7,FALSE)</f>
        <v>Beers</v>
      </c>
    </row>
    <row r="2280" spans="1:11" x14ac:dyDescent="0.25">
      <c r="A2280" s="158" t="s">
        <v>898</v>
      </c>
      <c r="B2280" s="158" t="s">
        <v>899</v>
      </c>
      <c r="C2280" s="158" t="s">
        <v>45</v>
      </c>
      <c r="D2280" s="158" t="s">
        <v>46</v>
      </c>
      <c r="E2280" s="157">
        <v>0.3</v>
      </c>
      <c r="F2280" s="158" t="s">
        <v>525</v>
      </c>
      <c r="G2280" s="159">
        <v>1282.4000000000001</v>
      </c>
      <c r="H2280" s="159">
        <v>0</v>
      </c>
      <c r="I2280" s="159">
        <v>679.83</v>
      </c>
      <c r="J2280" s="159">
        <v>53</v>
      </c>
      <c r="K2280" t="str">
        <f>VLOOKUP($C2280,Lists!$C$3:$M$118,7,FALSE)</f>
        <v>SOBO_RGB</v>
      </c>
    </row>
    <row r="2281" spans="1:11" x14ac:dyDescent="0.25">
      <c r="A2281" s="158" t="s">
        <v>900</v>
      </c>
      <c r="B2281" s="158" t="s">
        <v>901</v>
      </c>
      <c r="C2281" s="158" t="s">
        <v>12</v>
      </c>
      <c r="D2281" s="158" t="s">
        <v>13</v>
      </c>
      <c r="E2281" s="157">
        <v>2.25</v>
      </c>
      <c r="F2281" s="158" t="s">
        <v>525</v>
      </c>
      <c r="G2281" s="159">
        <v>15643.78</v>
      </c>
      <c r="H2281" s="159">
        <v>0</v>
      </c>
      <c r="I2281" s="159">
        <v>7489.21</v>
      </c>
      <c r="J2281" s="159">
        <v>47.9</v>
      </c>
      <c r="K2281" t="str">
        <f>VLOOKUP($C2281,Lists!$C$3:$M$118,7,FALSE)</f>
        <v>Beers</v>
      </c>
    </row>
    <row r="2282" spans="1:11" x14ac:dyDescent="0.25">
      <c r="A2282" s="158" t="s">
        <v>900</v>
      </c>
      <c r="B2282" s="158" t="s">
        <v>901</v>
      </c>
      <c r="C2282" s="158" t="s">
        <v>14</v>
      </c>
      <c r="D2282" s="158" t="s">
        <v>15</v>
      </c>
      <c r="E2282" s="157">
        <v>1.05</v>
      </c>
      <c r="F2282" s="158" t="s">
        <v>525</v>
      </c>
      <c r="G2282" s="159">
        <v>8760.52</v>
      </c>
      <c r="H2282" s="159">
        <v>0</v>
      </c>
      <c r="I2282" s="159">
        <v>4654.6099999999997</v>
      </c>
      <c r="J2282" s="159">
        <v>53.1</v>
      </c>
      <c r="K2282" t="str">
        <f>VLOOKUP($C2282,Lists!$C$3:$M$118,7,FALSE)</f>
        <v>Beers</v>
      </c>
    </row>
    <row r="2283" spans="1:11" x14ac:dyDescent="0.25">
      <c r="A2283" s="158" t="s">
        <v>900</v>
      </c>
      <c r="B2283" s="158" t="s">
        <v>901</v>
      </c>
      <c r="C2283" s="158" t="s">
        <v>16</v>
      </c>
      <c r="D2283" s="158" t="s">
        <v>17</v>
      </c>
      <c r="E2283" s="157">
        <v>1.9</v>
      </c>
      <c r="F2283" s="158" t="s">
        <v>525</v>
      </c>
      <c r="G2283" s="159">
        <v>15852.38</v>
      </c>
      <c r="H2283" s="159">
        <v>0</v>
      </c>
      <c r="I2283" s="159">
        <v>8422.65</v>
      </c>
      <c r="J2283" s="159">
        <v>53.1</v>
      </c>
      <c r="K2283" t="str">
        <f>VLOOKUP($C2283,Lists!$C$3:$M$118,7,FALSE)</f>
        <v>Beers</v>
      </c>
    </row>
    <row r="2284" spans="1:11" x14ac:dyDescent="0.25">
      <c r="A2284" s="158" t="s">
        <v>900</v>
      </c>
      <c r="B2284" s="158" t="s">
        <v>901</v>
      </c>
      <c r="C2284" s="158" t="s">
        <v>18</v>
      </c>
      <c r="D2284" s="158" t="s">
        <v>19</v>
      </c>
      <c r="E2284" s="157">
        <v>0.05</v>
      </c>
      <c r="F2284" s="158" t="s">
        <v>525</v>
      </c>
      <c r="G2284" s="159">
        <v>556.22</v>
      </c>
      <c r="H2284" s="159">
        <v>0</v>
      </c>
      <c r="I2284" s="159">
        <v>308.24</v>
      </c>
      <c r="J2284" s="159">
        <v>55.4</v>
      </c>
      <c r="K2284" t="str">
        <f>VLOOKUP($C2284,Lists!$C$3:$M$118,7,FALSE)</f>
        <v>Beers</v>
      </c>
    </row>
    <row r="2285" spans="1:11" x14ac:dyDescent="0.25">
      <c r="A2285" s="158" t="s">
        <v>900</v>
      </c>
      <c r="B2285" s="158" t="s">
        <v>901</v>
      </c>
      <c r="C2285" s="158" t="s">
        <v>20</v>
      </c>
      <c r="D2285" s="158" t="s">
        <v>21</v>
      </c>
      <c r="E2285" s="157">
        <v>0.85</v>
      </c>
      <c r="F2285" s="158" t="s">
        <v>525</v>
      </c>
      <c r="G2285" s="159">
        <v>3633.48</v>
      </c>
      <c r="H2285" s="159">
        <v>0</v>
      </c>
      <c r="I2285" s="159">
        <v>1682.97</v>
      </c>
      <c r="J2285" s="159">
        <v>46.3</v>
      </c>
      <c r="K2285" t="str">
        <f>VLOOKUP($C2285,Lists!$C$3:$M$118,7,FALSE)</f>
        <v>COKE_RGB</v>
      </c>
    </row>
    <row r="2286" spans="1:11" x14ac:dyDescent="0.25">
      <c r="A2286" s="158" t="s">
        <v>900</v>
      </c>
      <c r="B2286" s="158" t="s">
        <v>901</v>
      </c>
      <c r="C2286" s="158" t="s">
        <v>59</v>
      </c>
      <c r="D2286" s="158" t="s">
        <v>60</v>
      </c>
      <c r="E2286" s="157">
        <v>0.1</v>
      </c>
      <c r="F2286" s="158" t="s">
        <v>525</v>
      </c>
      <c r="G2286" s="159">
        <v>427.47</v>
      </c>
      <c r="H2286" s="159">
        <v>0</v>
      </c>
      <c r="I2286" s="159">
        <v>192.82</v>
      </c>
      <c r="J2286" s="159">
        <v>45.1</v>
      </c>
      <c r="K2286" t="str">
        <f>VLOOKUP($C2286,Lists!$C$3:$M$118,7,FALSE)</f>
        <v>COKE_RGB</v>
      </c>
    </row>
    <row r="2287" spans="1:11" x14ac:dyDescent="0.25">
      <c r="A2287" s="158" t="s">
        <v>900</v>
      </c>
      <c r="B2287" s="158" t="s">
        <v>901</v>
      </c>
      <c r="C2287" s="158" t="s">
        <v>22</v>
      </c>
      <c r="D2287" s="158" t="s">
        <v>23</v>
      </c>
      <c r="E2287" s="157">
        <v>0.7</v>
      </c>
      <c r="F2287" s="158" t="s">
        <v>525</v>
      </c>
      <c r="G2287" s="159">
        <v>2992.27</v>
      </c>
      <c r="H2287" s="159">
        <v>0</v>
      </c>
      <c r="I2287" s="159">
        <v>1337.84</v>
      </c>
      <c r="J2287" s="159">
        <v>44.7</v>
      </c>
      <c r="K2287" t="str">
        <f>VLOOKUP($C2287,Lists!$C$3:$M$118,7,FALSE)</f>
        <v>COKE_RGB</v>
      </c>
    </row>
    <row r="2288" spans="1:11" x14ac:dyDescent="0.25">
      <c r="A2288" s="158" t="s">
        <v>900</v>
      </c>
      <c r="B2288" s="158" t="s">
        <v>901</v>
      </c>
      <c r="C2288" s="158" t="s">
        <v>261</v>
      </c>
      <c r="D2288" s="158" t="s">
        <v>538</v>
      </c>
      <c r="E2288" s="157">
        <v>0.5</v>
      </c>
      <c r="F2288" s="158" t="s">
        <v>525</v>
      </c>
      <c r="G2288" s="159">
        <v>2137.34</v>
      </c>
      <c r="H2288" s="159">
        <v>0</v>
      </c>
      <c r="I2288" s="159">
        <v>955.6</v>
      </c>
      <c r="J2288" s="159">
        <v>44.7</v>
      </c>
      <c r="K2288" t="str">
        <f>VLOOKUP($C2288,Lists!$C$3:$M$118,7,FALSE)</f>
        <v>COKE_RGB</v>
      </c>
    </row>
    <row r="2289" spans="1:11" x14ac:dyDescent="0.25">
      <c r="A2289" s="158" t="s">
        <v>900</v>
      </c>
      <c r="B2289" s="158" t="s">
        <v>901</v>
      </c>
      <c r="C2289" s="158" t="s">
        <v>24</v>
      </c>
      <c r="D2289" s="158" t="s">
        <v>25</v>
      </c>
      <c r="E2289" s="157">
        <v>0.05</v>
      </c>
      <c r="F2289" s="158" t="s">
        <v>525</v>
      </c>
      <c r="G2289" s="159">
        <v>347.64</v>
      </c>
      <c r="H2289" s="159">
        <v>0</v>
      </c>
      <c r="I2289" s="159">
        <v>180.73</v>
      </c>
      <c r="J2289" s="159">
        <v>52</v>
      </c>
      <c r="K2289" t="str">
        <f>VLOOKUP($C2289,Lists!$C$3:$M$118,7,FALSE)</f>
        <v>Beers</v>
      </c>
    </row>
    <row r="2290" spans="1:11" x14ac:dyDescent="0.25">
      <c r="A2290" s="158" t="s">
        <v>900</v>
      </c>
      <c r="B2290" s="158" t="s">
        <v>901</v>
      </c>
      <c r="C2290" s="158" t="s">
        <v>37</v>
      </c>
      <c r="D2290" s="158" t="s">
        <v>38</v>
      </c>
      <c r="E2290" s="157">
        <v>0.6</v>
      </c>
      <c r="F2290" s="158" t="s">
        <v>525</v>
      </c>
      <c r="G2290" s="159">
        <v>2137.34</v>
      </c>
      <c r="H2290" s="159">
        <v>0</v>
      </c>
      <c r="I2290" s="159">
        <v>1085.42</v>
      </c>
      <c r="J2290" s="159">
        <v>50.8</v>
      </c>
      <c r="K2290" t="str">
        <f>VLOOKUP($C2290,Lists!$C$3:$M$118,7,FALSE)</f>
        <v>SOBO_RGB</v>
      </c>
    </row>
    <row r="2291" spans="1:11" x14ac:dyDescent="0.25">
      <c r="A2291" s="158" t="s">
        <v>900</v>
      </c>
      <c r="B2291" s="158" t="s">
        <v>901</v>
      </c>
      <c r="C2291" s="158" t="s">
        <v>39</v>
      </c>
      <c r="D2291" s="158" t="s">
        <v>40</v>
      </c>
      <c r="E2291" s="157">
        <v>0.35</v>
      </c>
      <c r="F2291" s="158" t="s">
        <v>525</v>
      </c>
      <c r="G2291" s="159">
        <v>1246.78</v>
      </c>
      <c r="H2291" s="159">
        <v>0</v>
      </c>
      <c r="I2291" s="159">
        <v>628.38</v>
      </c>
      <c r="J2291" s="159">
        <v>50.4</v>
      </c>
      <c r="K2291" t="str">
        <f>VLOOKUP($C2291,Lists!$C$3:$M$118,7,FALSE)</f>
        <v>SOBO_RGB</v>
      </c>
    </row>
    <row r="2292" spans="1:11" x14ac:dyDescent="0.25">
      <c r="A2292" s="158" t="s">
        <v>900</v>
      </c>
      <c r="B2292" s="158" t="s">
        <v>901</v>
      </c>
      <c r="C2292" s="158" t="s">
        <v>47</v>
      </c>
      <c r="D2292" s="158" t="s">
        <v>48</v>
      </c>
      <c r="E2292" s="157">
        <v>0.7</v>
      </c>
      <c r="F2292" s="158" t="s">
        <v>525</v>
      </c>
      <c r="G2292" s="159">
        <v>2992.28</v>
      </c>
      <c r="H2292" s="159">
        <v>0</v>
      </c>
      <c r="I2292" s="159">
        <v>1430.78</v>
      </c>
      <c r="J2292" s="159">
        <v>47.8</v>
      </c>
      <c r="K2292" t="str">
        <f>VLOOKUP($C2292,Lists!$C$3:$M$118,7,FALSE)</f>
        <v>COKE_RGB</v>
      </c>
    </row>
    <row r="2293" spans="1:11" x14ac:dyDescent="0.25">
      <c r="A2293" s="158" t="s">
        <v>902</v>
      </c>
      <c r="B2293" s="158" t="s">
        <v>903</v>
      </c>
      <c r="C2293" s="158" t="s">
        <v>12</v>
      </c>
      <c r="D2293" s="158" t="s">
        <v>13</v>
      </c>
      <c r="E2293" s="157">
        <v>1.2</v>
      </c>
      <c r="F2293" s="158" t="s">
        <v>525</v>
      </c>
      <c r="G2293" s="159">
        <v>8343.35</v>
      </c>
      <c r="H2293" s="159">
        <v>0</v>
      </c>
      <c r="I2293" s="159">
        <v>3994.25</v>
      </c>
      <c r="J2293" s="159">
        <v>47.9</v>
      </c>
      <c r="K2293" t="str">
        <f>VLOOKUP($C2293,Lists!$C$3:$M$118,7,FALSE)</f>
        <v>Beers</v>
      </c>
    </row>
    <row r="2294" spans="1:11" x14ac:dyDescent="0.25">
      <c r="A2294" s="158" t="s">
        <v>902</v>
      </c>
      <c r="B2294" s="158" t="s">
        <v>903</v>
      </c>
      <c r="C2294" s="158" t="s">
        <v>14</v>
      </c>
      <c r="D2294" s="158" t="s">
        <v>15</v>
      </c>
      <c r="E2294" s="157">
        <v>0.15</v>
      </c>
      <c r="F2294" s="158" t="s">
        <v>525</v>
      </c>
      <c r="G2294" s="159">
        <v>1251.5</v>
      </c>
      <c r="H2294" s="159">
        <v>0</v>
      </c>
      <c r="I2294" s="159">
        <v>664.94</v>
      </c>
      <c r="J2294" s="159">
        <v>53.1</v>
      </c>
      <c r="K2294" t="str">
        <f>VLOOKUP($C2294,Lists!$C$3:$M$118,7,FALSE)</f>
        <v>Beers</v>
      </c>
    </row>
    <row r="2295" spans="1:11" x14ac:dyDescent="0.25">
      <c r="A2295" s="158" t="s">
        <v>902</v>
      </c>
      <c r="B2295" s="158" t="s">
        <v>903</v>
      </c>
      <c r="C2295" s="158" t="s">
        <v>16</v>
      </c>
      <c r="D2295" s="158" t="s">
        <v>17</v>
      </c>
      <c r="E2295" s="157">
        <v>0.4</v>
      </c>
      <c r="F2295" s="158" t="s">
        <v>525</v>
      </c>
      <c r="G2295" s="159">
        <v>3337.35</v>
      </c>
      <c r="H2295" s="159">
        <v>0</v>
      </c>
      <c r="I2295" s="159">
        <v>1773.2</v>
      </c>
      <c r="J2295" s="159">
        <v>53.1</v>
      </c>
      <c r="K2295" t="str">
        <f>VLOOKUP($C2295,Lists!$C$3:$M$118,7,FALSE)</f>
        <v>Beers</v>
      </c>
    </row>
    <row r="2296" spans="1:11" x14ac:dyDescent="0.25">
      <c r="A2296" s="158" t="s">
        <v>902</v>
      </c>
      <c r="B2296" s="158" t="s">
        <v>903</v>
      </c>
      <c r="C2296" s="158" t="s">
        <v>56</v>
      </c>
      <c r="D2296" s="158" t="s">
        <v>57</v>
      </c>
      <c r="E2296" s="157">
        <v>8.3330000000000001E-2</v>
      </c>
      <c r="F2296" s="158" t="s">
        <v>525</v>
      </c>
      <c r="G2296" s="159">
        <v>695.25</v>
      </c>
      <c r="H2296" s="159">
        <v>0</v>
      </c>
      <c r="I2296" s="159">
        <v>389.45</v>
      </c>
      <c r="J2296" s="159">
        <v>56</v>
      </c>
      <c r="K2296" t="str">
        <f>VLOOKUP($C2296,Lists!$C$3:$M$118,7,FALSE)</f>
        <v>Beers</v>
      </c>
    </row>
    <row r="2297" spans="1:11" x14ac:dyDescent="0.25">
      <c r="A2297" s="158" t="s">
        <v>902</v>
      </c>
      <c r="B2297" s="158" t="s">
        <v>903</v>
      </c>
      <c r="C2297" s="158" t="s">
        <v>20</v>
      </c>
      <c r="D2297" s="158" t="s">
        <v>21</v>
      </c>
      <c r="E2297" s="157">
        <v>1</v>
      </c>
      <c r="F2297" s="158" t="s">
        <v>525</v>
      </c>
      <c r="G2297" s="159">
        <v>4274.68</v>
      </c>
      <c r="H2297" s="159">
        <v>0</v>
      </c>
      <c r="I2297" s="159">
        <v>1979.97</v>
      </c>
      <c r="J2297" s="159">
        <v>46.3</v>
      </c>
      <c r="K2297" t="str">
        <f>VLOOKUP($C2297,Lists!$C$3:$M$118,7,FALSE)</f>
        <v>COKE_RGB</v>
      </c>
    </row>
    <row r="2298" spans="1:11" x14ac:dyDescent="0.25">
      <c r="A2298" s="158" t="s">
        <v>902</v>
      </c>
      <c r="B2298" s="158" t="s">
        <v>903</v>
      </c>
      <c r="C2298" s="158" t="s">
        <v>59</v>
      </c>
      <c r="D2298" s="158" t="s">
        <v>60</v>
      </c>
      <c r="E2298" s="157">
        <v>0.15</v>
      </c>
      <c r="F2298" s="158" t="s">
        <v>525</v>
      </c>
      <c r="G2298" s="159">
        <v>641.20000000000005</v>
      </c>
      <c r="H2298" s="159">
        <v>0</v>
      </c>
      <c r="I2298" s="159">
        <v>289.23</v>
      </c>
      <c r="J2298" s="159">
        <v>45.1</v>
      </c>
      <c r="K2298" t="str">
        <f>VLOOKUP($C2298,Lists!$C$3:$M$118,7,FALSE)</f>
        <v>COKE_RGB</v>
      </c>
    </row>
    <row r="2299" spans="1:11" x14ac:dyDescent="0.25">
      <c r="A2299" s="158" t="s">
        <v>902</v>
      </c>
      <c r="B2299" s="158" t="s">
        <v>903</v>
      </c>
      <c r="C2299" s="158" t="s">
        <v>22</v>
      </c>
      <c r="D2299" s="158" t="s">
        <v>23</v>
      </c>
      <c r="E2299" s="157">
        <v>0.2</v>
      </c>
      <c r="F2299" s="158" t="s">
        <v>525</v>
      </c>
      <c r="G2299" s="159">
        <v>854.93</v>
      </c>
      <c r="H2299" s="159">
        <v>0</v>
      </c>
      <c r="I2299" s="159">
        <v>382.24</v>
      </c>
      <c r="J2299" s="159">
        <v>44.7</v>
      </c>
      <c r="K2299" t="str">
        <f>VLOOKUP($C2299,Lists!$C$3:$M$118,7,FALSE)</f>
        <v>COKE_RGB</v>
      </c>
    </row>
    <row r="2300" spans="1:11" x14ac:dyDescent="0.25">
      <c r="A2300" s="158" t="s">
        <v>902</v>
      </c>
      <c r="B2300" s="158" t="s">
        <v>903</v>
      </c>
      <c r="C2300" s="158" t="s">
        <v>261</v>
      </c>
      <c r="D2300" s="158" t="s">
        <v>538</v>
      </c>
      <c r="E2300" s="157">
        <v>0.1</v>
      </c>
      <c r="F2300" s="158" t="s">
        <v>525</v>
      </c>
      <c r="G2300" s="159">
        <v>427.47</v>
      </c>
      <c r="H2300" s="159">
        <v>0</v>
      </c>
      <c r="I2300" s="159">
        <v>191.12</v>
      </c>
      <c r="J2300" s="159">
        <v>44.7</v>
      </c>
      <c r="K2300" t="str">
        <f>VLOOKUP($C2300,Lists!$C$3:$M$118,7,FALSE)</f>
        <v>COKE_RGB</v>
      </c>
    </row>
    <row r="2301" spans="1:11" x14ac:dyDescent="0.25">
      <c r="A2301" s="158" t="s">
        <v>902</v>
      </c>
      <c r="B2301" s="158" t="s">
        <v>903</v>
      </c>
      <c r="C2301" s="158" t="s">
        <v>24</v>
      </c>
      <c r="D2301" s="158" t="s">
        <v>25</v>
      </c>
      <c r="E2301" s="157">
        <v>0.05</v>
      </c>
      <c r="F2301" s="158" t="s">
        <v>525</v>
      </c>
      <c r="G2301" s="159">
        <v>347.64</v>
      </c>
      <c r="H2301" s="159">
        <v>0</v>
      </c>
      <c r="I2301" s="159">
        <v>180.73</v>
      </c>
      <c r="J2301" s="159">
        <v>52</v>
      </c>
      <c r="K2301" t="str">
        <f>VLOOKUP($C2301,Lists!$C$3:$M$118,7,FALSE)</f>
        <v>Beers</v>
      </c>
    </row>
    <row r="2302" spans="1:11" x14ac:dyDescent="0.25">
      <c r="A2302" s="158" t="s">
        <v>902</v>
      </c>
      <c r="B2302" s="158" t="s">
        <v>903</v>
      </c>
      <c r="C2302" s="158" t="s">
        <v>37</v>
      </c>
      <c r="D2302" s="158" t="s">
        <v>38</v>
      </c>
      <c r="E2302" s="157">
        <v>1.8</v>
      </c>
      <c r="F2302" s="158" t="s">
        <v>525</v>
      </c>
      <c r="G2302" s="159">
        <v>6412.01</v>
      </c>
      <c r="H2302" s="159">
        <v>0</v>
      </c>
      <c r="I2302" s="159">
        <v>3256.26</v>
      </c>
      <c r="J2302" s="159">
        <v>50.8</v>
      </c>
      <c r="K2302" t="str">
        <f>VLOOKUP($C2302,Lists!$C$3:$M$118,7,FALSE)</f>
        <v>SOBO_RGB</v>
      </c>
    </row>
    <row r="2303" spans="1:11" x14ac:dyDescent="0.25">
      <c r="A2303" s="158" t="s">
        <v>902</v>
      </c>
      <c r="B2303" s="158" t="s">
        <v>903</v>
      </c>
      <c r="C2303" s="158" t="s">
        <v>39</v>
      </c>
      <c r="D2303" s="158" t="s">
        <v>40</v>
      </c>
      <c r="E2303" s="157">
        <v>0.7</v>
      </c>
      <c r="F2303" s="158" t="s">
        <v>525</v>
      </c>
      <c r="G2303" s="159">
        <v>2493.56</v>
      </c>
      <c r="H2303" s="159">
        <v>0</v>
      </c>
      <c r="I2303" s="159">
        <v>1256.76</v>
      </c>
      <c r="J2303" s="159">
        <v>50.4</v>
      </c>
      <c r="K2303" t="str">
        <f>VLOOKUP($C2303,Lists!$C$3:$M$118,7,FALSE)</f>
        <v>SOBO_RGB</v>
      </c>
    </row>
    <row r="2304" spans="1:11" x14ac:dyDescent="0.25">
      <c r="A2304" s="158" t="s">
        <v>902</v>
      </c>
      <c r="B2304" s="158" t="s">
        <v>903</v>
      </c>
      <c r="C2304" s="158" t="s">
        <v>45</v>
      </c>
      <c r="D2304" s="158" t="s">
        <v>46</v>
      </c>
      <c r="E2304" s="157">
        <v>0.1</v>
      </c>
      <c r="F2304" s="158" t="s">
        <v>525</v>
      </c>
      <c r="G2304" s="159">
        <v>427.47</v>
      </c>
      <c r="H2304" s="159">
        <v>0</v>
      </c>
      <c r="I2304" s="159">
        <v>226.61</v>
      </c>
      <c r="J2304" s="159">
        <v>53</v>
      </c>
      <c r="K2304" t="str">
        <f>VLOOKUP($C2304,Lists!$C$3:$M$118,7,FALSE)</f>
        <v>SOBO_RGB</v>
      </c>
    </row>
    <row r="2305" spans="1:11" x14ac:dyDescent="0.25">
      <c r="A2305" s="158" t="s">
        <v>902</v>
      </c>
      <c r="B2305" s="158" t="s">
        <v>903</v>
      </c>
      <c r="C2305" s="158" t="s">
        <v>47</v>
      </c>
      <c r="D2305" s="158" t="s">
        <v>48</v>
      </c>
      <c r="E2305" s="157">
        <v>0.5</v>
      </c>
      <c r="F2305" s="158" t="s">
        <v>525</v>
      </c>
      <c r="G2305" s="159">
        <v>2137.34</v>
      </c>
      <c r="H2305" s="159">
        <v>0</v>
      </c>
      <c r="I2305" s="159">
        <v>1021.99</v>
      </c>
      <c r="J2305" s="159">
        <v>47.8</v>
      </c>
      <c r="K2305" t="str">
        <f>VLOOKUP($C2305,Lists!$C$3:$M$118,7,FALSE)</f>
        <v>COKE_RGB</v>
      </c>
    </row>
    <row r="2306" spans="1:11" x14ac:dyDescent="0.25">
      <c r="A2306" s="158" t="s">
        <v>904</v>
      </c>
      <c r="B2306" s="158" t="s">
        <v>905</v>
      </c>
      <c r="C2306" s="158" t="s">
        <v>12</v>
      </c>
      <c r="D2306" s="158" t="s">
        <v>13</v>
      </c>
      <c r="E2306" s="157">
        <v>0.9</v>
      </c>
      <c r="F2306" s="158" t="s">
        <v>525</v>
      </c>
      <c r="G2306" s="159">
        <v>6257.51</v>
      </c>
      <c r="H2306" s="159">
        <v>0</v>
      </c>
      <c r="I2306" s="159">
        <v>2995.68</v>
      </c>
      <c r="J2306" s="159">
        <v>47.9</v>
      </c>
      <c r="K2306" t="str">
        <f>VLOOKUP($C2306,Lists!$C$3:$M$118,7,FALSE)</f>
        <v>Beers</v>
      </c>
    </row>
    <row r="2307" spans="1:11" x14ac:dyDescent="0.25">
      <c r="A2307" s="158" t="s">
        <v>906</v>
      </c>
      <c r="B2307" s="158" t="s">
        <v>907</v>
      </c>
      <c r="C2307" s="158" t="s">
        <v>12</v>
      </c>
      <c r="D2307" s="158" t="s">
        <v>13</v>
      </c>
      <c r="E2307" s="157">
        <v>1.7</v>
      </c>
      <c r="F2307" s="158" t="s">
        <v>525</v>
      </c>
      <c r="G2307" s="159">
        <v>11819.76</v>
      </c>
      <c r="H2307" s="159">
        <v>0</v>
      </c>
      <c r="I2307" s="159">
        <v>5658.52</v>
      </c>
      <c r="J2307" s="159">
        <v>47.9</v>
      </c>
      <c r="K2307" t="str">
        <f>VLOOKUP($C2307,Lists!$C$3:$M$118,7,FALSE)</f>
        <v>Beers</v>
      </c>
    </row>
    <row r="2308" spans="1:11" x14ac:dyDescent="0.25">
      <c r="A2308" s="158" t="s">
        <v>906</v>
      </c>
      <c r="B2308" s="158" t="s">
        <v>907</v>
      </c>
      <c r="C2308" s="158" t="s">
        <v>14</v>
      </c>
      <c r="D2308" s="158" t="s">
        <v>15</v>
      </c>
      <c r="E2308" s="157">
        <v>1.7</v>
      </c>
      <c r="F2308" s="158" t="s">
        <v>525</v>
      </c>
      <c r="G2308" s="159">
        <v>14183.7</v>
      </c>
      <c r="H2308" s="159">
        <v>0</v>
      </c>
      <c r="I2308" s="159">
        <v>7536.06</v>
      </c>
      <c r="J2308" s="159">
        <v>53.1</v>
      </c>
      <c r="K2308" t="str">
        <f>VLOOKUP($C2308,Lists!$C$3:$M$118,7,FALSE)</f>
        <v>Beers</v>
      </c>
    </row>
    <row r="2309" spans="1:11" x14ac:dyDescent="0.25">
      <c r="A2309" s="158" t="s">
        <v>906</v>
      </c>
      <c r="B2309" s="158" t="s">
        <v>907</v>
      </c>
      <c r="C2309" s="158" t="s">
        <v>16</v>
      </c>
      <c r="D2309" s="158" t="s">
        <v>17</v>
      </c>
      <c r="E2309" s="157">
        <v>2.9</v>
      </c>
      <c r="F2309" s="158" t="s">
        <v>525</v>
      </c>
      <c r="G2309" s="159">
        <v>24195.72</v>
      </c>
      <c r="H2309" s="159">
        <v>0</v>
      </c>
      <c r="I2309" s="159">
        <v>12855.61</v>
      </c>
      <c r="J2309" s="159">
        <v>53.1</v>
      </c>
      <c r="K2309" t="str">
        <f>VLOOKUP($C2309,Lists!$C$3:$M$118,7,FALSE)</f>
        <v>Beers</v>
      </c>
    </row>
    <row r="2310" spans="1:11" x14ac:dyDescent="0.25">
      <c r="A2310" s="158" t="s">
        <v>906</v>
      </c>
      <c r="B2310" s="158" t="s">
        <v>907</v>
      </c>
      <c r="C2310" s="158" t="s">
        <v>18</v>
      </c>
      <c r="D2310" s="158" t="s">
        <v>19</v>
      </c>
      <c r="E2310" s="157">
        <v>0.5</v>
      </c>
      <c r="F2310" s="158" t="s">
        <v>525</v>
      </c>
      <c r="G2310" s="159">
        <v>5562.23</v>
      </c>
      <c r="H2310" s="159">
        <v>0</v>
      </c>
      <c r="I2310" s="159">
        <v>3082.48</v>
      </c>
      <c r="J2310" s="159">
        <v>55.4</v>
      </c>
      <c r="K2310" t="str">
        <f>VLOOKUP($C2310,Lists!$C$3:$M$118,7,FALSE)</f>
        <v>Beers</v>
      </c>
    </row>
    <row r="2311" spans="1:11" x14ac:dyDescent="0.25">
      <c r="A2311" s="158" t="s">
        <v>906</v>
      </c>
      <c r="B2311" s="158" t="s">
        <v>907</v>
      </c>
      <c r="C2311" s="158" t="s">
        <v>20</v>
      </c>
      <c r="D2311" s="158" t="s">
        <v>21</v>
      </c>
      <c r="E2311" s="157">
        <v>1.3</v>
      </c>
      <c r="F2311" s="158" t="s">
        <v>525</v>
      </c>
      <c r="G2311" s="159">
        <v>5557.09</v>
      </c>
      <c r="H2311" s="159">
        <v>0</v>
      </c>
      <c r="I2311" s="159">
        <v>2573.96</v>
      </c>
      <c r="J2311" s="159">
        <v>46.3</v>
      </c>
      <c r="K2311" t="str">
        <f>VLOOKUP($C2311,Lists!$C$3:$M$118,7,FALSE)</f>
        <v>COKE_RGB</v>
      </c>
    </row>
    <row r="2312" spans="1:11" x14ac:dyDescent="0.25">
      <c r="A2312" s="158" t="s">
        <v>906</v>
      </c>
      <c r="B2312" s="158" t="s">
        <v>907</v>
      </c>
      <c r="C2312" s="158" t="s">
        <v>22</v>
      </c>
      <c r="D2312" s="158" t="s">
        <v>23</v>
      </c>
      <c r="E2312" s="157">
        <v>0.55000000000000004</v>
      </c>
      <c r="F2312" s="158" t="s">
        <v>525</v>
      </c>
      <c r="G2312" s="159">
        <v>2351.08</v>
      </c>
      <c r="H2312" s="159">
        <v>0</v>
      </c>
      <c r="I2312" s="159">
        <v>1051.17</v>
      </c>
      <c r="J2312" s="159">
        <v>44.7</v>
      </c>
      <c r="K2312" t="str">
        <f>VLOOKUP($C2312,Lists!$C$3:$M$118,7,FALSE)</f>
        <v>COKE_RGB</v>
      </c>
    </row>
    <row r="2313" spans="1:11" x14ac:dyDescent="0.25">
      <c r="A2313" s="158" t="s">
        <v>906</v>
      </c>
      <c r="B2313" s="158" t="s">
        <v>907</v>
      </c>
      <c r="C2313" s="158" t="s">
        <v>29</v>
      </c>
      <c r="D2313" s="158" t="s">
        <v>30</v>
      </c>
      <c r="E2313" s="157">
        <v>8.3330000000000001E-2</v>
      </c>
      <c r="F2313" s="158" t="s">
        <v>525</v>
      </c>
      <c r="G2313" s="159">
        <v>3274.46</v>
      </c>
      <c r="H2313" s="159">
        <v>0</v>
      </c>
      <c r="I2313" s="159">
        <v>1107.8800000000001</v>
      </c>
      <c r="J2313" s="159">
        <v>33.799999999999997</v>
      </c>
      <c r="K2313" t="str">
        <f>VLOOKUP($C2313,Lists!$C$3:$M$118,7,FALSE)</f>
        <v>Spirits</v>
      </c>
    </row>
    <row r="2314" spans="1:11" x14ac:dyDescent="0.25">
      <c r="A2314" s="158" t="s">
        <v>906</v>
      </c>
      <c r="B2314" s="158" t="s">
        <v>907</v>
      </c>
      <c r="C2314" s="158" t="s">
        <v>39</v>
      </c>
      <c r="D2314" s="158" t="s">
        <v>40</v>
      </c>
      <c r="E2314" s="157">
        <v>0.65</v>
      </c>
      <c r="F2314" s="158" t="s">
        <v>525</v>
      </c>
      <c r="G2314" s="159">
        <v>2315.4499999999998</v>
      </c>
      <c r="H2314" s="159">
        <v>0</v>
      </c>
      <c r="I2314" s="159">
        <v>1167</v>
      </c>
      <c r="J2314" s="159">
        <v>50.4</v>
      </c>
      <c r="K2314" t="str">
        <f>VLOOKUP($C2314,Lists!$C$3:$M$118,7,FALSE)</f>
        <v>SOBO_RGB</v>
      </c>
    </row>
    <row r="2315" spans="1:11" x14ac:dyDescent="0.25">
      <c r="A2315" s="158" t="s">
        <v>906</v>
      </c>
      <c r="B2315" s="158" t="s">
        <v>907</v>
      </c>
      <c r="C2315" s="158" t="s">
        <v>47</v>
      </c>
      <c r="D2315" s="158" t="s">
        <v>48</v>
      </c>
      <c r="E2315" s="157">
        <v>0.35</v>
      </c>
      <c r="F2315" s="158" t="s">
        <v>525</v>
      </c>
      <c r="G2315" s="159">
        <v>1496.14</v>
      </c>
      <c r="H2315" s="159">
        <v>0</v>
      </c>
      <c r="I2315" s="159">
        <v>715.39</v>
      </c>
      <c r="J2315" s="159">
        <v>47.8</v>
      </c>
      <c r="K2315" t="str">
        <f>VLOOKUP($C2315,Lists!$C$3:$M$118,7,FALSE)</f>
        <v>COKE_RGB</v>
      </c>
    </row>
    <row r="2316" spans="1:11" x14ac:dyDescent="0.25">
      <c r="A2316" s="158" t="s">
        <v>908</v>
      </c>
      <c r="B2316" s="158" t="s">
        <v>909</v>
      </c>
      <c r="C2316" s="158" t="s">
        <v>12</v>
      </c>
      <c r="D2316" s="158" t="s">
        <v>13</v>
      </c>
      <c r="E2316" s="157">
        <v>0.05</v>
      </c>
      <c r="F2316" s="158" t="s">
        <v>525</v>
      </c>
      <c r="G2316" s="159">
        <v>347.64</v>
      </c>
      <c r="H2316" s="159">
        <v>0</v>
      </c>
      <c r="I2316" s="159">
        <v>166.43</v>
      </c>
      <c r="J2316" s="159">
        <v>47.9</v>
      </c>
      <c r="K2316" t="str">
        <f>VLOOKUP($C2316,Lists!$C$3:$M$118,7,FALSE)</f>
        <v>Beers</v>
      </c>
    </row>
    <row r="2317" spans="1:11" x14ac:dyDescent="0.25">
      <c r="A2317" s="158" t="s">
        <v>908</v>
      </c>
      <c r="B2317" s="158" t="s">
        <v>909</v>
      </c>
      <c r="C2317" s="158" t="s">
        <v>14</v>
      </c>
      <c r="D2317" s="158" t="s">
        <v>15</v>
      </c>
      <c r="E2317" s="157">
        <v>0.3</v>
      </c>
      <c r="F2317" s="158" t="s">
        <v>525</v>
      </c>
      <c r="G2317" s="159">
        <v>2503.0100000000002</v>
      </c>
      <c r="H2317" s="159">
        <v>0</v>
      </c>
      <c r="I2317" s="159">
        <v>1329.89</v>
      </c>
      <c r="J2317" s="159">
        <v>53.1</v>
      </c>
      <c r="K2317" t="str">
        <f>VLOOKUP($C2317,Lists!$C$3:$M$118,7,FALSE)</f>
        <v>Beers</v>
      </c>
    </row>
    <row r="2318" spans="1:11" x14ac:dyDescent="0.25">
      <c r="A2318" s="158" t="s">
        <v>908</v>
      </c>
      <c r="B2318" s="158" t="s">
        <v>909</v>
      </c>
      <c r="C2318" s="158" t="s">
        <v>16</v>
      </c>
      <c r="D2318" s="158" t="s">
        <v>17</v>
      </c>
      <c r="E2318" s="157">
        <v>0.1</v>
      </c>
      <c r="F2318" s="158" t="s">
        <v>525</v>
      </c>
      <c r="G2318" s="159">
        <v>834.34</v>
      </c>
      <c r="H2318" s="159">
        <v>0</v>
      </c>
      <c r="I2318" s="159">
        <v>443.3</v>
      </c>
      <c r="J2318" s="159">
        <v>53.1</v>
      </c>
      <c r="K2318" t="str">
        <f>VLOOKUP($C2318,Lists!$C$3:$M$118,7,FALSE)</f>
        <v>Beers</v>
      </c>
    </row>
    <row r="2319" spans="1:11" x14ac:dyDescent="0.25">
      <c r="A2319" s="158" t="s">
        <v>908</v>
      </c>
      <c r="B2319" s="158" t="s">
        <v>909</v>
      </c>
      <c r="C2319" s="158" t="s">
        <v>22</v>
      </c>
      <c r="D2319" s="158" t="s">
        <v>23</v>
      </c>
      <c r="E2319" s="157">
        <v>0.2</v>
      </c>
      <c r="F2319" s="158" t="s">
        <v>525</v>
      </c>
      <c r="G2319" s="159">
        <v>854.94</v>
      </c>
      <c r="H2319" s="159">
        <v>0</v>
      </c>
      <c r="I2319" s="159">
        <v>382.25</v>
      </c>
      <c r="J2319" s="159">
        <v>44.7</v>
      </c>
      <c r="K2319" t="str">
        <f>VLOOKUP($C2319,Lists!$C$3:$M$118,7,FALSE)</f>
        <v>COKE_RGB</v>
      </c>
    </row>
    <row r="2320" spans="1:11" x14ac:dyDescent="0.25">
      <c r="A2320" s="158" t="s">
        <v>908</v>
      </c>
      <c r="B2320" s="158" t="s">
        <v>909</v>
      </c>
      <c r="C2320" s="158" t="s">
        <v>24</v>
      </c>
      <c r="D2320" s="158" t="s">
        <v>25</v>
      </c>
      <c r="E2320" s="157">
        <v>0.1</v>
      </c>
      <c r="F2320" s="158" t="s">
        <v>525</v>
      </c>
      <c r="G2320" s="159">
        <v>695.28</v>
      </c>
      <c r="H2320" s="159">
        <v>0</v>
      </c>
      <c r="I2320" s="159">
        <v>361.47</v>
      </c>
      <c r="J2320" s="159">
        <v>52</v>
      </c>
      <c r="K2320" t="str">
        <f>VLOOKUP($C2320,Lists!$C$3:$M$118,7,FALSE)</f>
        <v>Beers</v>
      </c>
    </row>
    <row r="2321" spans="1:11" x14ac:dyDescent="0.25">
      <c r="A2321" s="158" t="s">
        <v>908</v>
      </c>
      <c r="B2321" s="158" t="s">
        <v>909</v>
      </c>
      <c r="C2321" s="158" t="s">
        <v>37</v>
      </c>
      <c r="D2321" s="158" t="s">
        <v>38</v>
      </c>
      <c r="E2321" s="157">
        <v>0.15</v>
      </c>
      <c r="F2321" s="158" t="s">
        <v>525</v>
      </c>
      <c r="G2321" s="159">
        <v>534.33000000000004</v>
      </c>
      <c r="H2321" s="159">
        <v>0</v>
      </c>
      <c r="I2321" s="159">
        <v>271.35000000000002</v>
      </c>
      <c r="J2321" s="159">
        <v>50.8</v>
      </c>
      <c r="K2321" t="str">
        <f>VLOOKUP($C2321,Lists!$C$3:$M$118,7,FALSE)</f>
        <v>SOBO_RGB</v>
      </c>
    </row>
    <row r="2322" spans="1:11" x14ac:dyDescent="0.25">
      <c r="A2322" s="158" t="s">
        <v>908</v>
      </c>
      <c r="B2322" s="158" t="s">
        <v>909</v>
      </c>
      <c r="C2322" s="158" t="s">
        <v>39</v>
      </c>
      <c r="D2322" s="158" t="s">
        <v>40</v>
      </c>
      <c r="E2322" s="157">
        <v>0.05</v>
      </c>
      <c r="F2322" s="158" t="s">
        <v>525</v>
      </c>
      <c r="G2322" s="159">
        <v>178.11</v>
      </c>
      <c r="H2322" s="159">
        <v>0</v>
      </c>
      <c r="I2322" s="159">
        <v>89.77</v>
      </c>
      <c r="J2322" s="159">
        <v>50.4</v>
      </c>
      <c r="K2322" t="str">
        <f>VLOOKUP($C2322,Lists!$C$3:$M$118,7,FALSE)</f>
        <v>SOBO_RGB</v>
      </c>
    </row>
    <row r="2323" spans="1:11" x14ac:dyDescent="0.25">
      <c r="A2323" s="158" t="s">
        <v>910</v>
      </c>
      <c r="B2323" s="158" t="s">
        <v>911</v>
      </c>
      <c r="C2323" s="158" t="s">
        <v>41</v>
      </c>
      <c r="D2323" s="158" t="s">
        <v>42</v>
      </c>
      <c r="E2323" s="157">
        <v>0.05</v>
      </c>
      <c r="F2323" s="158" t="s">
        <v>525</v>
      </c>
      <c r="G2323" s="159">
        <v>417.17</v>
      </c>
      <c r="H2323" s="159">
        <v>0</v>
      </c>
      <c r="I2323" s="159">
        <v>192.92</v>
      </c>
      <c r="J2323" s="159">
        <v>46.2</v>
      </c>
      <c r="K2323" t="str">
        <f>VLOOKUP($C2323,Lists!$C$3:$M$118,7,FALSE)</f>
        <v>Alcomix</v>
      </c>
    </row>
    <row r="2324" spans="1:11" x14ac:dyDescent="0.25">
      <c r="A2324" s="158" t="s">
        <v>910</v>
      </c>
      <c r="B2324" s="158" t="s">
        <v>911</v>
      </c>
      <c r="C2324" s="158" t="s">
        <v>14</v>
      </c>
      <c r="D2324" s="158" t="s">
        <v>15</v>
      </c>
      <c r="E2324" s="157">
        <v>0.15</v>
      </c>
      <c r="F2324" s="158" t="s">
        <v>525</v>
      </c>
      <c r="G2324" s="159">
        <v>1251.5</v>
      </c>
      <c r="H2324" s="159">
        <v>0</v>
      </c>
      <c r="I2324" s="159">
        <v>664.94</v>
      </c>
      <c r="J2324" s="159">
        <v>53.1</v>
      </c>
      <c r="K2324" t="str">
        <f>VLOOKUP($C2324,Lists!$C$3:$M$118,7,FALSE)</f>
        <v>Beers</v>
      </c>
    </row>
    <row r="2325" spans="1:11" x14ac:dyDescent="0.25">
      <c r="A2325" s="158" t="s">
        <v>910</v>
      </c>
      <c r="B2325" s="158" t="s">
        <v>911</v>
      </c>
      <c r="C2325" s="158" t="s">
        <v>16</v>
      </c>
      <c r="D2325" s="158" t="s">
        <v>17</v>
      </c>
      <c r="E2325" s="157">
        <v>0.3</v>
      </c>
      <c r="F2325" s="158" t="s">
        <v>525</v>
      </c>
      <c r="G2325" s="159">
        <v>2503.0100000000002</v>
      </c>
      <c r="H2325" s="159">
        <v>0</v>
      </c>
      <c r="I2325" s="159">
        <v>1329.9</v>
      </c>
      <c r="J2325" s="159">
        <v>53.1</v>
      </c>
      <c r="K2325" t="str">
        <f>VLOOKUP($C2325,Lists!$C$3:$M$118,7,FALSE)</f>
        <v>Beers</v>
      </c>
    </row>
    <row r="2326" spans="1:11" x14ac:dyDescent="0.25">
      <c r="A2326" s="158" t="s">
        <v>910</v>
      </c>
      <c r="B2326" s="158" t="s">
        <v>911</v>
      </c>
      <c r="C2326" s="158" t="s">
        <v>18</v>
      </c>
      <c r="D2326" s="158" t="s">
        <v>19</v>
      </c>
      <c r="E2326" s="157">
        <v>0.15</v>
      </c>
      <c r="F2326" s="158" t="s">
        <v>525</v>
      </c>
      <c r="G2326" s="159">
        <v>1668.67</v>
      </c>
      <c r="H2326" s="159">
        <v>0</v>
      </c>
      <c r="I2326" s="159">
        <v>924.74</v>
      </c>
      <c r="J2326" s="159">
        <v>55.4</v>
      </c>
      <c r="K2326" t="str">
        <f>VLOOKUP($C2326,Lists!$C$3:$M$118,7,FALSE)</f>
        <v>Beers</v>
      </c>
    </row>
    <row r="2327" spans="1:11" x14ac:dyDescent="0.25">
      <c r="A2327" s="158" t="s">
        <v>910</v>
      </c>
      <c r="B2327" s="158" t="s">
        <v>911</v>
      </c>
      <c r="C2327" s="158" t="s">
        <v>20</v>
      </c>
      <c r="D2327" s="158" t="s">
        <v>21</v>
      </c>
      <c r="E2327" s="157">
        <v>0.15</v>
      </c>
      <c r="F2327" s="158" t="s">
        <v>525</v>
      </c>
      <c r="G2327" s="159">
        <v>641.20000000000005</v>
      </c>
      <c r="H2327" s="159">
        <v>0</v>
      </c>
      <c r="I2327" s="159">
        <v>296.99</v>
      </c>
      <c r="J2327" s="159">
        <v>46.3</v>
      </c>
      <c r="K2327" t="str">
        <f>VLOOKUP($C2327,Lists!$C$3:$M$118,7,FALSE)</f>
        <v>COKE_RGB</v>
      </c>
    </row>
    <row r="2328" spans="1:11" x14ac:dyDescent="0.25">
      <c r="A2328" s="158" t="s">
        <v>910</v>
      </c>
      <c r="B2328" s="158" t="s">
        <v>911</v>
      </c>
      <c r="C2328" s="158" t="s">
        <v>43</v>
      </c>
      <c r="D2328" s="158" t="s">
        <v>44</v>
      </c>
      <c r="E2328" s="157">
        <v>0.25</v>
      </c>
      <c r="F2328" s="158" t="s">
        <v>525</v>
      </c>
      <c r="G2328" s="159">
        <v>2085.84</v>
      </c>
      <c r="H2328" s="159">
        <v>0</v>
      </c>
      <c r="I2328" s="159">
        <v>1108.24</v>
      </c>
      <c r="J2328" s="159">
        <v>53.1</v>
      </c>
      <c r="K2328" t="str">
        <f>VLOOKUP($C2328,Lists!$C$3:$M$118,7,FALSE)</f>
        <v>Beers</v>
      </c>
    </row>
    <row r="2329" spans="1:11" x14ac:dyDescent="0.25">
      <c r="A2329" s="158" t="s">
        <v>910</v>
      </c>
      <c r="B2329" s="158" t="s">
        <v>911</v>
      </c>
      <c r="C2329" s="158" t="s">
        <v>22</v>
      </c>
      <c r="D2329" s="158" t="s">
        <v>23</v>
      </c>
      <c r="E2329" s="157">
        <v>1.05</v>
      </c>
      <c r="F2329" s="158" t="s">
        <v>525</v>
      </c>
      <c r="G2329" s="159">
        <v>4488.41</v>
      </c>
      <c r="H2329" s="159">
        <v>0</v>
      </c>
      <c r="I2329" s="159">
        <v>2006.77</v>
      </c>
      <c r="J2329" s="159">
        <v>44.7</v>
      </c>
      <c r="K2329" t="str">
        <f>VLOOKUP($C2329,Lists!$C$3:$M$118,7,FALSE)</f>
        <v>COKE_RGB</v>
      </c>
    </row>
    <row r="2330" spans="1:11" x14ac:dyDescent="0.25">
      <c r="A2330" s="158" t="s">
        <v>910</v>
      </c>
      <c r="B2330" s="158" t="s">
        <v>911</v>
      </c>
      <c r="C2330" s="158" t="s">
        <v>29</v>
      </c>
      <c r="D2330" s="158" t="s">
        <v>30</v>
      </c>
      <c r="E2330" s="157">
        <v>8.3330000000000001E-2</v>
      </c>
      <c r="F2330" s="158" t="s">
        <v>525</v>
      </c>
      <c r="G2330" s="159">
        <v>3274.46</v>
      </c>
      <c r="H2330" s="159">
        <v>0</v>
      </c>
      <c r="I2330" s="159">
        <v>1107.8800000000001</v>
      </c>
      <c r="J2330" s="159">
        <v>33.799999999999997</v>
      </c>
      <c r="K2330" t="str">
        <f>VLOOKUP($C2330,Lists!$C$3:$M$118,7,FALSE)</f>
        <v>Spirits</v>
      </c>
    </row>
    <row r="2331" spans="1:11" x14ac:dyDescent="0.25">
      <c r="A2331" s="158" t="s">
        <v>910</v>
      </c>
      <c r="B2331" s="158" t="s">
        <v>911</v>
      </c>
      <c r="C2331" s="158" t="s">
        <v>37</v>
      </c>
      <c r="D2331" s="158" t="s">
        <v>38</v>
      </c>
      <c r="E2331" s="157">
        <v>1</v>
      </c>
      <c r="F2331" s="158" t="s">
        <v>525</v>
      </c>
      <c r="G2331" s="159">
        <v>3562.23</v>
      </c>
      <c r="H2331" s="159">
        <v>0</v>
      </c>
      <c r="I2331" s="159">
        <v>1809.04</v>
      </c>
      <c r="J2331" s="159">
        <v>50.8</v>
      </c>
      <c r="K2331" t="str">
        <f>VLOOKUP($C2331,Lists!$C$3:$M$118,7,FALSE)</f>
        <v>SOBO_RGB</v>
      </c>
    </row>
    <row r="2332" spans="1:11" x14ac:dyDescent="0.25">
      <c r="A2332" s="158" t="s">
        <v>910</v>
      </c>
      <c r="B2332" s="158" t="s">
        <v>911</v>
      </c>
      <c r="C2332" s="158" t="s">
        <v>39</v>
      </c>
      <c r="D2332" s="158" t="s">
        <v>40</v>
      </c>
      <c r="E2332" s="157">
        <v>0.25</v>
      </c>
      <c r="F2332" s="158" t="s">
        <v>525</v>
      </c>
      <c r="G2332" s="159">
        <v>890.56</v>
      </c>
      <c r="H2332" s="159">
        <v>0</v>
      </c>
      <c r="I2332" s="159">
        <v>448.85</v>
      </c>
      <c r="J2332" s="159">
        <v>50.4</v>
      </c>
      <c r="K2332" t="str">
        <f>VLOOKUP($C2332,Lists!$C$3:$M$118,7,FALSE)</f>
        <v>SOBO_RGB</v>
      </c>
    </row>
    <row r="2333" spans="1:11" x14ac:dyDescent="0.25">
      <c r="A2333" s="158" t="s">
        <v>910</v>
      </c>
      <c r="B2333" s="158" t="s">
        <v>911</v>
      </c>
      <c r="C2333" s="158" t="s">
        <v>45</v>
      </c>
      <c r="D2333" s="158" t="s">
        <v>46</v>
      </c>
      <c r="E2333" s="157">
        <v>0.05</v>
      </c>
      <c r="F2333" s="158" t="s">
        <v>525</v>
      </c>
      <c r="G2333" s="159">
        <v>213.73</v>
      </c>
      <c r="H2333" s="159">
        <v>0</v>
      </c>
      <c r="I2333" s="159">
        <v>113.3</v>
      </c>
      <c r="J2333" s="159">
        <v>53</v>
      </c>
      <c r="K2333" t="str">
        <f>VLOOKUP($C2333,Lists!$C$3:$M$118,7,FALSE)</f>
        <v>SOBO_RGB</v>
      </c>
    </row>
    <row r="2334" spans="1:11" x14ac:dyDescent="0.25">
      <c r="A2334" s="158" t="s">
        <v>910</v>
      </c>
      <c r="B2334" s="158" t="s">
        <v>911</v>
      </c>
      <c r="C2334" s="158" t="s">
        <v>47</v>
      </c>
      <c r="D2334" s="158" t="s">
        <v>48</v>
      </c>
      <c r="E2334" s="157">
        <v>0.2</v>
      </c>
      <c r="F2334" s="158" t="s">
        <v>525</v>
      </c>
      <c r="G2334" s="159">
        <v>854.94</v>
      </c>
      <c r="H2334" s="159">
        <v>0</v>
      </c>
      <c r="I2334" s="159">
        <v>408.8</v>
      </c>
      <c r="J2334" s="159">
        <v>47.8</v>
      </c>
      <c r="K2334" t="str">
        <f>VLOOKUP($C2334,Lists!$C$3:$M$118,7,FALSE)</f>
        <v>COKE_RGB</v>
      </c>
    </row>
    <row r="2335" spans="1:11" x14ac:dyDescent="0.25">
      <c r="A2335" s="158" t="s">
        <v>912</v>
      </c>
      <c r="B2335" s="158" t="s">
        <v>913</v>
      </c>
      <c r="C2335" s="158" t="s">
        <v>12</v>
      </c>
      <c r="D2335" s="158" t="s">
        <v>13</v>
      </c>
      <c r="E2335" s="157">
        <v>0.1</v>
      </c>
      <c r="F2335" s="158" t="s">
        <v>525</v>
      </c>
      <c r="G2335" s="159">
        <v>695.28</v>
      </c>
      <c r="H2335" s="159">
        <v>0</v>
      </c>
      <c r="I2335" s="159">
        <v>332.86</v>
      </c>
      <c r="J2335" s="159">
        <v>47.9</v>
      </c>
      <c r="K2335" t="str">
        <f>VLOOKUP($C2335,Lists!$C$3:$M$118,7,FALSE)</f>
        <v>Beers</v>
      </c>
    </row>
    <row r="2336" spans="1:11" x14ac:dyDescent="0.25">
      <c r="A2336" s="158" t="s">
        <v>912</v>
      </c>
      <c r="B2336" s="158" t="s">
        <v>913</v>
      </c>
      <c r="C2336" s="158" t="s">
        <v>14</v>
      </c>
      <c r="D2336" s="158" t="s">
        <v>15</v>
      </c>
      <c r="E2336" s="157">
        <v>0.3</v>
      </c>
      <c r="F2336" s="158" t="s">
        <v>525</v>
      </c>
      <c r="G2336" s="159">
        <v>2503.0100000000002</v>
      </c>
      <c r="H2336" s="159">
        <v>0</v>
      </c>
      <c r="I2336" s="159">
        <v>1329.9</v>
      </c>
      <c r="J2336" s="159">
        <v>53.1</v>
      </c>
      <c r="K2336" t="str">
        <f>VLOOKUP($C2336,Lists!$C$3:$M$118,7,FALSE)</f>
        <v>Beers</v>
      </c>
    </row>
    <row r="2337" spans="1:11" x14ac:dyDescent="0.25">
      <c r="A2337" s="158" t="s">
        <v>912</v>
      </c>
      <c r="B2337" s="158" t="s">
        <v>913</v>
      </c>
      <c r="C2337" s="158" t="s">
        <v>59</v>
      </c>
      <c r="D2337" s="158" t="s">
        <v>60</v>
      </c>
      <c r="E2337" s="157">
        <v>0.45</v>
      </c>
      <c r="F2337" s="158" t="s">
        <v>525</v>
      </c>
      <c r="G2337" s="159">
        <v>1923.61</v>
      </c>
      <c r="H2337" s="159">
        <v>0</v>
      </c>
      <c r="I2337" s="159">
        <v>867.71</v>
      </c>
      <c r="J2337" s="159">
        <v>45.1</v>
      </c>
      <c r="K2337" t="str">
        <f>VLOOKUP($C2337,Lists!$C$3:$M$118,7,FALSE)</f>
        <v>COKE_RGB</v>
      </c>
    </row>
    <row r="2338" spans="1:11" x14ac:dyDescent="0.25">
      <c r="A2338" s="158" t="s">
        <v>912</v>
      </c>
      <c r="B2338" s="158" t="s">
        <v>913</v>
      </c>
      <c r="C2338" s="158" t="s">
        <v>37</v>
      </c>
      <c r="D2338" s="158" t="s">
        <v>38</v>
      </c>
      <c r="E2338" s="157">
        <v>0.25</v>
      </c>
      <c r="F2338" s="158" t="s">
        <v>525</v>
      </c>
      <c r="G2338" s="159">
        <v>890.56</v>
      </c>
      <c r="H2338" s="159">
        <v>0</v>
      </c>
      <c r="I2338" s="159">
        <v>452.26</v>
      </c>
      <c r="J2338" s="159">
        <v>50.8</v>
      </c>
      <c r="K2338" t="str">
        <f>VLOOKUP($C2338,Lists!$C$3:$M$118,7,FALSE)</f>
        <v>SOBO_RGB</v>
      </c>
    </row>
    <row r="2339" spans="1:11" x14ac:dyDescent="0.25">
      <c r="A2339" s="158" t="s">
        <v>912</v>
      </c>
      <c r="B2339" s="158" t="s">
        <v>913</v>
      </c>
      <c r="C2339" s="158" t="s">
        <v>39</v>
      </c>
      <c r="D2339" s="158" t="s">
        <v>40</v>
      </c>
      <c r="E2339" s="157">
        <v>0.9</v>
      </c>
      <c r="F2339" s="158" t="s">
        <v>525</v>
      </c>
      <c r="G2339" s="159">
        <v>3206.01</v>
      </c>
      <c r="H2339" s="159">
        <v>0</v>
      </c>
      <c r="I2339" s="159">
        <v>1615.84</v>
      </c>
      <c r="J2339" s="159">
        <v>50.4</v>
      </c>
      <c r="K2339" t="str">
        <f>VLOOKUP($C2339,Lists!$C$3:$M$118,7,FALSE)</f>
        <v>SOBO_RGB</v>
      </c>
    </row>
    <row r="2340" spans="1:11" x14ac:dyDescent="0.25">
      <c r="A2340" s="158" t="s">
        <v>912</v>
      </c>
      <c r="B2340" s="158" t="s">
        <v>913</v>
      </c>
      <c r="C2340" s="158" t="s">
        <v>47</v>
      </c>
      <c r="D2340" s="158" t="s">
        <v>48</v>
      </c>
      <c r="E2340" s="157">
        <v>0.15</v>
      </c>
      <c r="F2340" s="158" t="s">
        <v>525</v>
      </c>
      <c r="G2340" s="159">
        <v>641.20000000000005</v>
      </c>
      <c r="H2340" s="159">
        <v>0</v>
      </c>
      <c r="I2340" s="159">
        <v>306.58999999999997</v>
      </c>
      <c r="J2340" s="159">
        <v>47.8</v>
      </c>
      <c r="K2340" t="str">
        <f>VLOOKUP($C2340,Lists!$C$3:$M$118,7,FALSE)</f>
        <v>COKE_RGB</v>
      </c>
    </row>
    <row r="2341" spans="1:11" x14ac:dyDescent="0.25">
      <c r="A2341" s="158" t="s">
        <v>914</v>
      </c>
      <c r="B2341" s="158" t="s">
        <v>915</v>
      </c>
      <c r="C2341" s="158" t="s">
        <v>10</v>
      </c>
      <c r="D2341" s="158" t="s">
        <v>11</v>
      </c>
      <c r="E2341" s="157">
        <v>0.3</v>
      </c>
      <c r="F2341" s="158" t="s">
        <v>525</v>
      </c>
      <c r="G2341" s="159">
        <v>2503.0100000000002</v>
      </c>
      <c r="H2341" s="159">
        <v>0</v>
      </c>
      <c r="I2341" s="159">
        <v>1157.51</v>
      </c>
      <c r="J2341" s="159">
        <v>46.2</v>
      </c>
      <c r="K2341" t="str">
        <f>VLOOKUP($C2341,Lists!$C$3:$M$118,7,FALSE)</f>
        <v>Alcomix</v>
      </c>
    </row>
    <row r="2342" spans="1:11" x14ac:dyDescent="0.25">
      <c r="A2342" s="158" t="s">
        <v>914</v>
      </c>
      <c r="B2342" s="158" t="s">
        <v>915</v>
      </c>
      <c r="C2342" s="158" t="s">
        <v>12</v>
      </c>
      <c r="D2342" s="158" t="s">
        <v>13</v>
      </c>
      <c r="E2342" s="157">
        <v>0.7</v>
      </c>
      <c r="F2342" s="158" t="s">
        <v>525</v>
      </c>
      <c r="G2342" s="159">
        <v>4866.96</v>
      </c>
      <c r="H2342" s="159">
        <v>0</v>
      </c>
      <c r="I2342" s="159">
        <v>2329.9899999999998</v>
      </c>
      <c r="J2342" s="159">
        <v>47.9</v>
      </c>
      <c r="K2342" t="str">
        <f>VLOOKUP($C2342,Lists!$C$3:$M$118,7,FALSE)</f>
        <v>Beers</v>
      </c>
    </row>
    <row r="2343" spans="1:11" x14ac:dyDescent="0.25">
      <c r="A2343" s="158" t="s">
        <v>914</v>
      </c>
      <c r="B2343" s="158" t="s">
        <v>915</v>
      </c>
      <c r="C2343" s="158" t="s">
        <v>14</v>
      </c>
      <c r="D2343" s="158" t="s">
        <v>15</v>
      </c>
      <c r="E2343" s="157">
        <v>0.25</v>
      </c>
      <c r="F2343" s="158" t="s">
        <v>525</v>
      </c>
      <c r="G2343" s="159">
        <v>2085.84</v>
      </c>
      <c r="H2343" s="159">
        <v>0</v>
      </c>
      <c r="I2343" s="159">
        <v>1108.24</v>
      </c>
      <c r="J2343" s="159">
        <v>53.1</v>
      </c>
      <c r="K2343" t="str">
        <f>VLOOKUP($C2343,Lists!$C$3:$M$118,7,FALSE)</f>
        <v>Beers</v>
      </c>
    </row>
    <row r="2344" spans="1:11" x14ac:dyDescent="0.25">
      <c r="A2344" s="158" t="s">
        <v>914</v>
      </c>
      <c r="B2344" s="158" t="s">
        <v>915</v>
      </c>
      <c r="C2344" s="158" t="s">
        <v>16</v>
      </c>
      <c r="D2344" s="158" t="s">
        <v>17</v>
      </c>
      <c r="E2344" s="157">
        <v>0.45</v>
      </c>
      <c r="F2344" s="158" t="s">
        <v>525</v>
      </c>
      <c r="G2344" s="159">
        <v>3754.51</v>
      </c>
      <c r="H2344" s="159">
        <v>0</v>
      </c>
      <c r="I2344" s="159">
        <v>1994.84</v>
      </c>
      <c r="J2344" s="159">
        <v>53.1</v>
      </c>
      <c r="K2344" t="str">
        <f>VLOOKUP($C2344,Lists!$C$3:$M$118,7,FALSE)</f>
        <v>Beers</v>
      </c>
    </row>
    <row r="2345" spans="1:11" x14ac:dyDescent="0.25">
      <c r="A2345" s="158" t="s">
        <v>914</v>
      </c>
      <c r="B2345" s="158" t="s">
        <v>915</v>
      </c>
      <c r="C2345" s="158" t="s">
        <v>18</v>
      </c>
      <c r="D2345" s="158" t="s">
        <v>19</v>
      </c>
      <c r="E2345" s="157">
        <v>0.05</v>
      </c>
      <c r="F2345" s="158" t="s">
        <v>525</v>
      </c>
      <c r="G2345" s="159">
        <v>556.22</v>
      </c>
      <c r="H2345" s="159">
        <v>0</v>
      </c>
      <c r="I2345" s="159">
        <v>308.24</v>
      </c>
      <c r="J2345" s="159">
        <v>55.4</v>
      </c>
      <c r="K2345" t="str">
        <f>VLOOKUP($C2345,Lists!$C$3:$M$118,7,FALSE)</f>
        <v>Beers</v>
      </c>
    </row>
    <row r="2346" spans="1:11" x14ac:dyDescent="0.25">
      <c r="A2346" s="158" t="s">
        <v>914</v>
      </c>
      <c r="B2346" s="158" t="s">
        <v>915</v>
      </c>
      <c r="C2346" s="158" t="s">
        <v>20</v>
      </c>
      <c r="D2346" s="158" t="s">
        <v>21</v>
      </c>
      <c r="E2346" s="157">
        <v>1.5</v>
      </c>
      <c r="F2346" s="158" t="s">
        <v>525</v>
      </c>
      <c r="G2346" s="159">
        <v>6412.02</v>
      </c>
      <c r="H2346" s="159">
        <v>0</v>
      </c>
      <c r="I2346" s="159">
        <v>2969.96</v>
      </c>
      <c r="J2346" s="159">
        <v>46.3</v>
      </c>
      <c r="K2346" t="str">
        <f>VLOOKUP($C2346,Lists!$C$3:$M$118,7,FALSE)</f>
        <v>COKE_RGB</v>
      </c>
    </row>
    <row r="2347" spans="1:11" x14ac:dyDescent="0.25">
      <c r="A2347" s="158" t="s">
        <v>914</v>
      </c>
      <c r="B2347" s="158" t="s">
        <v>915</v>
      </c>
      <c r="C2347" s="158" t="s">
        <v>78</v>
      </c>
      <c r="D2347" s="158" t="s">
        <v>526</v>
      </c>
      <c r="E2347" s="157">
        <v>1</v>
      </c>
      <c r="F2347" s="158" t="s">
        <v>525</v>
      </c>
      <c r="G2347" s="159">
        <v>2564.81</v>
      </c>
      <c r="H2347" s="159">
        <v>0</v>
      </c>
      <c r="I2347" s="159">
        <v>1466.27</v>
      </c>
      <c r="J2347" s="159">
        <v>57.2</v>
      </c>
      <c r="K2347" t="str">
        <f>VLOOKUP($C2347,Lists!$C$3:$M$118,7,FALSE)</f>
        <v>SOBO_PET</v>
      </c>
    </row>
    <row r="2348" spans="1:11" x14ac:dyDescent="0.25">
      <c r="A2348" s="158" t="s">
        <v>914</v>
      </c>
      <c r="B2348" s="158" t="s">
        <v>915</v>
      </c>
      <c r="C2348" s="158" t="s">
        <v>22</v>
      </c>
      <c r="D2348" s="158" t="s">
        <v>23</v>
      </c>
      <c r="E2348" s="157">
        <v>0.15</v>
      </c>
      <c r="F2348" s="158" t="s">
        <v>525</v>
      </c>
      <c r="G2348" s="159">
        <v>641.20000000000005</v>
      </c>
      <c r="H2348" s="159">
        <v>0</v>
      </c>
      <c r="I2348" s="159">
        <v>286.68</v>
      </c>
      <c r="J2348" s="159">
        <v>44.7</v>
      </c>
      <c r="K2348" t="str">
        <f>VLOOKUP($C2348,Lists!$C$3:$M$118,7,FALSE)</f>
        <v>COKE_RGB</v>
      </c>
    </row>
    <row r="2349" spans="1:11" x14ac:dyDescent="0.25">
      <c r="A2349" s="158" t="s">
        <v>914</v>
      </c>
      <c r="B2349" s="158" t="s">
        <v>915</v>
      </c>
      <c r="C2349" s="158" t="s">
        <v>67</v>
      </c>
      <c r="D2349" s="158" t="s">
        <v>533</v>
      </c>
      <c r="E2349" s="157">
        <v>1</v>
      </c>
      <c r="F2349" s="158" t="s">
        <v>525</v>
      </c>
      <c r="G2349" s="159">
        <v>2992.27</v>
      </c>
      <c r="H2349" s="159">
        <v>0</v>
      </c>
      <c r="I2349" s="159">
        <v>1557.99</v>
      </c>
      <c r="J2349" s="159">
        <v>52.1</v>
      </c>
      <c r="K2349" t="str">
        <f>VLOOKUP($C2349,Lists!$C$3:$M$118,7,FALSE)</f>
        <v>COKE_PET</v>
      </c>
    </row>
    <row r="2350" spans="1:11" x14ac:dyDescent="0.25">
      <c r="A2350" s="158" t="s">
        <v>914</v>
      </c>
      <c r="B2350" s="158" t="s">
        <v>915</v>
      </c>
      <c r="C2350" s="158" t="s">
        <v>261</v>
      </c>
      <c r="D2350" s="158" t="s">
        <v>538</v>
      </c>
      <c r="E2350" s="157">
        <v>0.3</v>
      </c>
      <c r="F2350" s="158" t="s">
        <v>525</v>
      </c>
      <c r="G2350" s="159">
        <v>1282.4000000000001</v>
      </c>
      <c r="H2350" s="159">
        <v>0</v>
      </c>
      <c r="I2350" s="159">
        <v>573.36</v>
      </c>
      <c r="J2350" s="159">
        <v>44.7</v>
      </c>
      <c r="K2350" t="str">
        <f>VLOOKUP($C2350,Lists!$C$3:$M$118,7,FALSE)</f>
        <v>COKE_RGB</v>
      </c>
    </row>
    <row r="2351" spans="1:11" x14ac:dyDescent="0.25">
      <c r="A2351" s="158" t="s">
        <v>914</v>
      </c>
      <c r="B2351" s="158" t="s">
        <v>915</v>
      </c>
      <c r="C2351" s="158" t="s">
        <v>37</v>
      </c>
      <c r="D2351" s="158" t="s">
        <v>38</v>
      </c>
      <c r="E2351" s="157">
        <v>0.3</v>
      </c>
      <c r="F2351" s="158" t="s">
        <v>525</v>
      </c>
      <c r="G2351" s="159">
        <v>1068.67</v>
      </c>
      <c r="H2351" s="159">
        <v>0</v>
      </c>
      <c r="I2351" s="159">
        <v>542.71</v>
      </c>
      <c r="J2351" s="159">
        <v>50.8</v>
      </c>
      <c r="K2351" t="str">
        <f>VLOOKUP($C2351,Lists!$C$3:$M$118,7,FALSE)</f>
        <v>SOBO_RGB</v>
      </c>
    </row>
    <row r="2352" spans="1:11" x14ac:dyDescent="0.25">
      <c r="A2352" s="158" t="s">
        <v>914</v>
      </c>
      <c r="B2352" s="158" t="s">
        <v>915</v>
      </c>
      <c r="C2352" s="158" t="s">
        <v>39</v>
      </c>
      <c r="D2352" s="158" t="s">
        <v>40</v>
      </c>
      <c r="E2352" s="157">
        <v>0.05</v>
      </c>
      <c r="F2352" s="158" t="s">
        <v>525</v>
      </c>
      <c r="G2352" s="159">
        <v>178.11</v>
      </c>
      <c r="H2352" s="159">
        <v>0</v>
      </c>
      <c r="I2352" s="159">
        <v>89.77</v>
      </c>
      <c r="J2352" s="159">
        <v>50.4</v>
      </c>
      <c r="K2352" t="str">
        <f>VLOOKUP($C2352,Lists!$C$3:$M$118,7,FALSE)</f>
        <v>SOBO_RGB</v>
      </c>
    </row>
    <row r="2353" spans="1:11" x14ac:dyDescent="0.25">
      <c r="A2353" s="158" t="s">
        <v>914</v>
      </c>
      <c r="B2353" s="158" t="s">
        <v>915</v>
      </c>
      <c r="C2353" s="158" t="s">
        <v>47</v>
      </c>
      <c r="D2353" s="158" t="s">
        <v>48</v>
      </c>
      <c r="E2353" s="157">
        <v>0.05</v>
      </c>
      <c r="F2353" s="158" t="s">
        <v>525</v>
      </c>
      <c r="G2353" s="159">
        <v>213.73</v>
      </c>
      <c r="H2353" s="159">
        <v>0</v>
      </c>
      <c r="I2353" s="159">
        <v>102.19</v>
      </c>
      <c r="J2353" s="159">
        <v>47.8</v>
      </c>
      <c r="K2353" t="str">
        <f>VLOOKUP($C2353,Lists!$C$3:$M$118,7,FALSE)</f>
        <v>COKE_RGB</v>
      </c>
    </row>
    <row r="2354" spans="1:11" x14ac:dyDescent="0.25">
      <c r="A2354" s="158" t="s">
        <v>914</v>
      </c>
      <c r="B2354" s="158" t="s">
        <v>915</v>
      </c>
      <c r="C2354" s="158" t="s">
        <v>104</v>
      </c>
      <c r="D2354" s="158" t="s">
        <v>105</v>
      </c>
      <c r="E2354" s="157">
        <v>0.25</v>
      </c>
      <c r="F2354" s="158" t="s">
        <v>525</v>
      </c>
      <c r="G2354" s="159">
        <v>890.56</v>
      </c>
      <c r="H2354" s="159">
        <v>0</v>
      </c>
      <c r="I2354" s="159">
        <v>420.73</v>
      </c>
      <c r="J2354" s="159">
        <v>47.2</v>
      </c>
      <c r="K2354" t="str">
        <f>VLOOKUP($C2354,Lists!$C$3:$M$118,7,FALSE)</f>
        <v>SOBO_RGB</v>
      </c>
    </row>
    <row r="2355" spans="1:11" x14ac:dyDescent="0.25">
      <c r="A2355" s="158" t="s">
        <v>916</v>
      </c>
      <c r="B2355" s="158" t="s">
        <v>917</v>
      </c>
      <c r="C2355" s="158" t="s">
        <v>12</v>
      </c>
      <c r="D2355" s="158" t="s">
        <v>13</v>
      </c>
      <c r="E2355" s="157">
        <v>0.15</v>
      </c>
      <c r="F2355" s="158" t="s">
        <v>525</v>
      </c>
      <c r="G2355" s="159">
        <v>1042.92</v>
      </c>
      <c r="H2355" s="159">
        <v>0</v>
      </c>
      <c r="I2355" s="159">
        <v>499.28</v>
      </c>
      <c r="J2355" s="159">
        <v>47.9</v>
      </c>
      <c r="K2355" t="str">
        <f>VLOOKUP($C2355,Lists!$C$3:$M$118,7,FALSE)</f>
        <v>Beers</v>
      </c>
    </row>
    <row r="2356" spans="1:11" x14ac:dyDescent="0.25">
      <c r="A2356" s="158" t="s">
        <v>916</v>
      </c>
      <c r="B2356" s="158" t="s">
        <v>917</v>
      </c>
      <c r="C2356" s="158" t="s">
        <v>14</v>
      </c>
      <c r="D2356" s="158" t="s">
        <v>15</v>
      </c>
      <c r="E2356" s="157">
        <v>0.45</v>
      </c>
      <c r="F2356" s="158" t="s">
        <v>525</v>
      </c>
      <c r="G2356" s="159">
        <v>3754.51</v>
      </c>
      <c r="H2356" s="159">
        <v>0</v>
      </c>
      <c r="I2356" s="159">
        <v>1994.84</v>
      </c>
      <c r="J2356" s="159">
        <v>53.1</v>
      </c>
      <c r="K2356" t="str">
        <f>VLOOKUP($C2356,Lists!$C$3:$M$118,7,FALSE)</f>
        <v>Beers</v>
      </c>
    </row>
    <row r="2357" spans="1:11" x14ac:dyDescent="0.25">
      <c r="A2357" s="158" t="s">
        <v>916</v>
      </c>
      <c r="B2357" s="158" t="s">
        <v>917</v>
      </c>
      <c r="C2357" s="158" t="s">
        <v>16</v>
      </c>
      <c r="D2357" s="158" t="s">
        <v>17</v>
      </c>
      <c r="E2357" s="157">
        <v>0.95</v>
      </c>
      <c r="F2357" s="158" t="s">
        <v>525</v>
      </c>
      <c r="G2357" s="159">
        <v>7926.18</v>
      </c>
      <c r="H2357" s="159">
        <v>0</v>
      </c>
      <c r="I2357" s="159">
        <v>4211.32</v>
      </c>
      <c r="J2357" s="159">
        <v>53.1</v>
      </c>
      <c r="K2357" t="str">
        <f>VLOOKUP($C2357,Lists!$C$3:$M$118,7,FALSE)</f>
        <v>Beers</v>
      </c>
    </row>
    <row r="2358" spans="1:11" x14ac:dyDescent="0.25">
      <c r="A2358" s="158" t="s">
        <v>916</v>
      </c>
      <c r="B2358" s="158" t="s">
        <v>917</v>
      </c>
      <c r="C2358" s="158" t="s">
        <v>18</v>
      </c>
      <c r="D2358" s="158" t="s">
        <v>19</v>
      </c>
      <c r="E2358" s="157">
        <v>1.2</v>
      </c>
      <c r="F2358" s="158" t="s">
        <v>525</v>
      </c>
      <c r="G2358" s="159">
        <v>13349.36</v>
      </c>
      <c r="H2358" s="159">
        <v>0</v>
      </c>
      <c r="I2358" s="159">
        <v>7397.96</v>
      </c>
      <c r="J2358" s="159">
        <v>55.4</v>
      </c>
      <c r="K2358" t="str">
        <f>VLOOKUP($C2358,Lists!$C$3:$M$118,7,FALSE)</f>
        <v>Beers</v>
      </c>
    </row>
    <row r="2359" spans="1:11" x14ac:dyDescent="0.25">
      <c r="A2359" s="158" t="s">
        <v>916</v>
      </c>
      <c r="B2359" s="158" t="s">
        <v>917</v>
      </c>
      <c r="C2359" s="158" t="s">
        <v>20</v>
      </c>
      <c r="D2359" s="158" t="s">
        <v>21</v>
      </c>
      <c r="E2359" s="157">
        <v>0.05</v>
      </c>
      <c r="F2359" s="158" t="s">
        <v>525</v>
      </c>
      <c r="G2359" s="159">
        <v>213.73</v>
      </c>
      <c r="H2359" s="159">
        <v>0</v>
      </c>
      <c r="I2359" s="159">
        <v>98.99</v>
      </c>
      <c r="J2359" s="159">
        <v>46.3</v>
      </c>
      <c r="K2359" t="str">
        <f>VLOOKUP($C2359,Lists!$C$3:$M$118,7,FALSE)</f>
        <v>COKE_RGB</v>
      </c>
    </row>
    <row r="2360" spans="1:11" x14ac:dyDescent="0.25">
      <c r="A2360" s="158" t="s">
        <v>916</v>
      </c>
      <c r="B2360" s="158" t="s">
        <v>917</v>
      </c>
      <c r="C2360" s="158" t="s">
        <v>43</v>
      </c>
      <c r="D2360" s="158" t="s">
        <v>44</v>
      </c>
      <c r="E2360" s="157">
        <v>0.15</v>
      </c>
      <c r="F2360" s="158" t="s">
        <v>525</v>
      </c>
      <c r="G2360" s="159">
        <v>1251.5</v>
      </c>
      <c r="H2360" s="159">
        <v>0</v>
      </c>
      <c r="I2360" s="159">
        <v>664.94</v>
      </c>
      <c r="J2360" s="159">
        <v>53.1</v>
      </c>
      <c r="K2360" t="str">
        <f>VLOOKUP($C2360,Lists!$C$3:$M$118,7,FALSE)</f>
        <v>Beers</v>
      </c>
    </row>
    <row r="2361" spans="1:11" x14ac:dyDescent="0.25">
      <c r="A2361" s="158" t="s">
        <v>916</v>
      </c>
      <c r="B2361" s="158" t="s">
        <v>917</v>
      </c>
      <c r="C2361" s="158" t="s">
        <v>22</v>
      </c>
      <c r="D2361" s="158" t="s">
        <v>23</v>
      </c>
      <c r="E2361" s="157">
        <v>0.45</v>
      </c>
      <c r="F2361" s="158" t="s">
        <v>525</v>
      </c>
      <c r="G2361" s="159">
        <v>1923.6</v>
      </c>
      <c r="H2361" s="159">
        <v>0</v>
      </c>
      <c r="I2361" s="159">
        <v>860.04</v>
      </c>
      <c r="J2361" s="159">
        <v>44.7</v>
      </c>
      <c r="K2361" t="str">
        <f>VLOOKUP($C2361,Lists!$C$3:$M$118,7,FALSE)</f>
        <v>COKE_RGB</v>
      </c>
    </row>
    <row r="2362" spans="1:11" x14ac:dyDescent="0.25">
      <c r="A2362" s="158" t="s">
        <v>916</v>
      </c>
      <c r="B2362" s="158" t="s">
        <v>917</v>
      </c>
      <c r="C2362" s="158" t="s">
        <v>67</v>
      </c>
      <c r="D2362" s="158" t="s">
        <v>533</v>
      </c>
      <c r="E2362" s="157">
        <v>1</v>
      </c>
      <c r="F2362" s="158" t="s">
        <v>525</v>
      </c>
      <c r="G2362" s="159">
        <v>2992.27</v>
      </c>
      <c r="H2362" s="159">
        <v>0</v>
      </c>
      <c r="I2362" s="159">
        <v>1557.99</v>
      </c>
      <c r="J2362" s="159">
        <v>52.1</v>
      </c>
      <c r="K2362" t="str">
        <f>VLOOKUP($C2362,Lists!$C$3:$M$118,7,FALSE)</f>
        <v>COKE_PET</v>
      </c>
    </row>
    <row r="2363" spans="1:11" x14ac:dyDescent="0.25">
      <c r="A2363" s="158" t="s">
        <v>916</v>
      </c>
      <c r="B2363" s="158" t="s">
        <v>917</v>
      </c>
      <c r="C2363" s="158" t="s">
        <v>261</v>
      </c>
      <c r="D2363" s="158" t="s">
        <v>538</v>
      </c>
      <c r="E2363" s="157">
        <v>1</v>
      </c>
      <c r="F2363" s="158" t="s">
        <v>525</v>
      </c>
      <c r="G2363" s="159">
        <v>4274.68</v>
      </c>
      <c r="H2363" s="159">
        <v>0</v>
      </c>
      <c r="I2363" s="159">
        <v>1911.21</v>
      </c>
      <c r="J2363" s="159">
        <v>44.7</v>
      </c>
      <c r="K2363" t="str">
        <f>VLOOKUP($C2363,Lists!$C$3:$M$118,7,FALSE)</f>
        <v>COKE_RGB</v>
      </c>
    </row>
    <row r="2364" spans="1:11" x14ac:dyDescent="0.25">
      <c r="A2364" s="158" t="s">
        <v>916</v>
      </c>
      <c r="B2364" s="158" t="s">
        <v>917</v>
      </c>
      <c r="C2364" s="158" t="s">
        <v>24</v>
      </c>
      <c r="D2364" s="158" t="s">
        <v>25</v>
      </c>
      <c r="E2364" s="157">
        <v>0.25</v>
      </c>
      <c r="F2364" s="158" t="s">
        <v>525</v>
      </c>
      <c r="G2364" s="159">
        <v>1738.2</v>
      </c>
      <c r="H2364" s="159">
        <v>0</v>
      </c>
      <c r="I2364" s="159">
        <v>903.67</v>
      </c>
      <c r="J2364" s="159">
        <v>52</v>
      </c>
      <c r="K2364" t="str">
        <f>VLOOKUP($C2364,Lists!$C$3:$M$118,7,FALSE)</f>
        <v>Beers</v>
      </c>
    </row>
    <row r="2365" spans="1:11" x14ac:dyDescent="0.25">
      <c r="A2365" s="158" t="s">
        <v>916</v>
      </c>
      <c r="B2365" s="158" t="s">
        <v>917</v>
      </c>
      <c r="C2365" s="158" t="s">
        <v>37</v>
      </c>
      <c r="D2365" s="158" t="s">
        <v>38</v>
      </c>
      <c r="E2365" s="157">
        <v>1.3</v>
      </c>
      <c r="F2365" s="158" t="s">
        <v>525</v>
      </c>
      <c r="G2365" s="159">
        <v>4630.8999999999996</v>
      </c>
      <c r="H2365" s="159">
        <v>0</v>
      </c>
      <c r="I2365" s="159">
        <v>2351.75</v>
      </c>
      <c r="J2365" s="159">
        <v>50.8</v>
      </c>
      <c r="K2365" t="str">
        <f>VLOOKUP($C2365,Lists!$C$3:$M$118,7,FALSE)</f>
        <v>SOBO_RGB</v>
      </c>
    </row>
    <row r="2366" spans="1:11" x14ac:dyDescent="0.25">
      <c r="A2366" s="158" t="s">
        <v>916</v>
      </c>
      <c r="B2366" s="158" t="s">
        <v>917</v>
      </c>
      <c r="C2366" s="158" t="s">
        <v>45</v>
      </c>
      <c r="D2366" s="158" t="s">
        <v>46</v>
      </c>
      <c r="E2366" s="157">
        <v>1.3</v>
      </c>
      <c r="F2366" s="158" t="s">
        <v>525</v>
      </c>
      <c r="G2366" s="159">
        <v>5557.08</v>
      </c>
      <c r="H2366" s="159">
        <v>0</v>
      </c>
      <c r="I2366" s="159">
        <v>2945.95</v>
      </c>
      <c r="J2366" s="159">
        <v>53</v>
      </c>
      <c r="K2366" t="str">
        <f>VLOOKUP($C2366,Lists!$C$3:$M$118,7,FALSE)</f>
        <v>SOBO_RGB</v>
      </c>
    </row>
    <row r="2367" spans="1:11" x14ac:dyDescent="0.25">
      <c r="A2367" s="158" t="s">
        <v>916</v>
      </c>
      <c r="B2367" s="158" t="s">
        <v>917</v>
      </c>
      <c r="C2367" s="158" t="s">
        <v>47</v>
      </c>
      <c r="D2367" s="158" t="s">
        <v>48</v>
      </c>
      <c r="E2367" s="157">
        <v>0.3</v>
      </c>
      <c r="F2367" s="158" t="s">
        <v>525</v>
      </c>
      <c r="G2367" s="159">
        <v>1282.4000000000001</v>
      </c>
      <c r="H2367" s="159">
        <v>0</v>
      </c>
      <c r="I2367" s="159">
        <v>613.19000000000005</v>
      </c>
      <c r="J2367" s="159">
        <v>47.8</v>
      </c>
      <c r="K2367" t="str">
        <f>VLOOKUP($C2367,Lists!$C$3:$M$118,7,FALSE)</f>
        <v>COKE_RGB</v>
      </c>
    </row>
    <row r="2368" spans="1:11" x14ac:dyDescent="0.25">
      <c r="A2368" s="158" t="s">
        <v>916</v>
      </c>
      <c r="B2368" s="158" t="s">
        <v>917</v>
      </c>
      <c r="C2368" s="158" t="s">
        <v>51</v>
      </c>
      <c r="D2368" s="158" t="s">
        <v>52</v>
      </c>
      <c r="E2368" s="157">
        <v>1</v>
      </c>
      <c r="F2368" s="158" t="s">
        <v>525</v>
      </c>
      <c r="G2368" s="159">
        <v>10729.3</v>
      </c>
      <c r="H2368" s="159">
        <v>0</v>
      </c>
      <c r="I2368" s="159">
        <v>3868.95</v>
      </c>
      <c r="J2368" s="159">
        <v>36.1</v>
      </c>
      <c r="K2368" t="str">
        <f>VLOOKUP($C2368,Lists!$C$3:$M$118,7,FALSE)</f>
        <v>Squash</v>
      </c>
    </row>
    <row r="2369" spans="1:11" x14ac:dyDescent="0.25">
      <c r="A2369" s="158" t="s">
        <v>918</v>
      </c>
      <c r="B2369" s="158" t="s">
        <v>919</v>
      </c>
      <c r="C2369" s="158" t="s">
        <v>12</v>
      </c>
      <c r="D2369" s="158" t="s">
        <v>13</v>
      </c>
      <c r="E2369" s="157">
        <v>1.95</v>
      </c>
      <c r="F2369" s="158" t="s">
        <v>525</v>
      </c>
      <c r="G2369" s="159">
        <v>13557.94</v>
      </c>
      <c r="H2369" s="159">
        <v>0</v>
      </c>
      <c r="I2369" s="159">
        <v>6490.65</v>
      </c>
      <c r="J2369" s="159">
        <v>47.9</v>
      </c>
      <c r="K2369" t="str">
        <f>VLOOKUP($C2369,Lists!$C$3:$M$118,7,FALSE)</f>
        <v>Beers</v>
      </c>
    </row>
    <row r="2370" spans="1:11" x14ac:dyDescent="0.25">
      <c r="A2370" s="158" t="s">
        <v>918</v>
      </c>
      <c r="B2370" s="158" t="s">
        <v>919</v>
      </c>
      <c r="C2370" s="158" t="s">
        <v>20</v>
      </c>
      <c r="D2370" s="158" t="s">
        <v>21</v>
      </c>
      <c r="E2370" s="157">
        <v>2.35</v>
      </c>
      <c r="F2370" s="158" t="s">
        <v>525</v>
      </c>
      <c r="G2370" s="159">
        <v>10045.5</v>
      </c>
      <c r="H2370" s="159">
        <v>0</v>
      </c>
      <c r="I2370" s="159">
        <v>4652.95</v>
      </c>
      <c r="J2370" s="159">
        <v>46.3</v>
      </c>
      <c r="K2370" t="str">
        <f>VLOOKUP($C2370,Lists!$C$3:$M$118,7,FALSE)</f>
        <v>COKE_RGB</v>
      </c>
    </row>
    <row r="2371" spans="1:11" x14ac:dyDescent="0.25">
      <c r="A2371" s="158" t="s">
        <v>918</v>
      </c>
      <c r="B2371" s="158" t="s">
        <v>919</v>
      </c>
      <c r="C2371" s="158" t="s">
        <v>59</v>
      </c>
      <c r="D2371" s="158" t="s">
        <v>60</v>
      </c>
      <c r="E2371" s="157">
        <v>1.55</v>
      </c>
      <c r="F2371" s="158" t="s">
        <v>525</v>
      </c>
      <c r="G2371" s="159">
        <v>6625.75</v>
      </c>
      <c r="H2371" s="159">
        <v>0</v>
      </c>
      <c r="I2371" s="159">
        <v>2988.75</v>
      </c>
      <c r="J2371" s="159">
        <v>45.1</v>
      </c>
      <c r="K2371" t="str">
        <f>VLOOKUP($C2371,Lists!$C$3:$M$118,7,FALSE)</f>
        <v>COKE_RGB</v>
      </c>
    </row>
    <row r="2372" spans="1:11" x14ac:dyDescent="0.25">
      <c r="A2372" s="158" t="s">
        <v>920</v>
      </c>
      <c r="B2372" s="158" t="s">
        <v>921</v>
      </c>
      <c r="C2372" s="158" t="s">
        <v>12</v>
      </c>
      <c r="D2372" s="158" t="s">
        <v>13</v>
      </c>
      <c r="E2372" s="157">
        <v>1</v>
      </c>
      <c r="F2372" s="158" t="s">
        <v>525</v>
      </c>
      <c r="G2372" s="159">
        <v>6952.79</v>
      </c>
      <c r="H2372" s="159">
        <v>0</v>
      </c>
      <c r="I2372" s="159">
        <v>3328.54</v>
      </c>
      <c r="J2372" s="159">
        <v>47.9</v>
      </c>
      <c r="K2372" t="str">
        <f>VLOOKUP($C2372,Lists!$C$3:$M$118,7,FALSE)</f>
        <v>Beers</v>
      </c>
    </row>
    <row r="2373" spans="1:11" x14ac:dyDescent="0.25">
      <c r="A2373" s="158" t="s">
        <v>920</v>
      </c>
      <c r="B2373" s="158" t="s">
        <v>921</v>
      </c>
      <c r="C2373" s="158" t="s">
        <v>14</v>
      </c>
      <c r="D2373" s="158" t="s">
        <v>15</v>
      </c>
      <c r="E2373" s="157">
        <v>0.1</v>
      </c>
      <c r="F2373" s="158" t="s">
        <v>525</v>
      </c>
      <c r="G2373" s="159">
        <v>834.34</v>
      </c>
      <c r="H2373" s="159">
        <v>0</v>
      </c>
      <c r="I2373" s="159">
        <v>443.3</v>
      </c>
      <c r="J2373" s="159">
        <v>53.1</v>
      </c>
      <c r="K2373" t="str">
        <f>VLOOKUP($C2373,Lists!$C$3:$M$118,7,FALSE)</f>
        <v>Beers</v>
      </c>
    </row>
    <row r="2374" spans="1:11" x14ac:dyDescent="0.25">
      <c r="A2374" s="158" t="s">
        <v>920</v>
      </c>
      <c r="B2374" s="158" t="s">
        <v>921</v>
      </c>
      <c r="C2374" s="158" t="s">
        <v>54</v>
      </c>
      <c r="D2374" s="158" t="s">
        <v>55</v>
      </c>
      <c r="E2374" s="157">
        <v>8.3330000000000001E-2</v>
      </c>
      <c r="F2374" s="158" t="s">
        <v>525</v>
      </c>
      <c r="G2374" s="159">
        <v>695.25</v>
      </c>
      <c r="H2374" s="159">
        <v>0</v>
      </c>
      <c r="I2374" s="159">
        <v>389.45</v>
      </c>
      <c r="J2374" s="159">
        <v>56</v>
      </c>
      <c r="K2374" t="str">
        <f>VLOOKUP($C2374,Lists!$C$3:$M$118,7,FALSE)</f>
        <v>Beers</v>
      </c>
    </row>
    <row r="2375" spans="1:11" x14ac:dyDescent="0.25">
      <c r="A2375" s="158" t="s">
        <v>920</v>
      </c>
      <c r="B2375" s="158" t="s">
        <v>921</v>
      </c>
      <c r="C2375" s="158" t="s">
        <v>16</v>
      </c>
      <c r="D2375" s="158" t="s">
        <v>17</v>
      </c>
      <c r="E2375" s="157">
        <v>0.2</v>
      </c>
      <c r="F2375" s="158" t="s">
        <v>525</v>
      </c>
      <c r="G2375" s="159">
        <v>1668.68</v>
      </c>
      <c r="H2375" s="159">
        <v>0</v>
      </c>
      <c r="I2375" s="159">
        <v>886.6</v>
      </c>
      <c r="J2375" s="159">
        <v>53.1</v>
      </c>
      <c r="K2375" t="str">
        <f>VLOOKUP($C2375,Lists!$C$3:$M$118,7,FALSE)</f>
        <v>Beers</v>
      </c>
    </row>
    <row r="2376" spans="1:11" x14ac:dyDescent="0.25">
      <c r="A2376" s="158" t="s">
        <v>920</v>
      </c>
      <c r="B2376" s="158" t="s">
        <v>921</v>
      </c>
      <c r="C2376" s="158" t="s">
        <v>20</v>
      </c>
      <c r="D2376" s="158" t="s">
        <v>21</v>
      </c>
      <c r="E2376" s="157">
        <v>0.5</v>
      </c>
      <c r="F2376" s="158" t="s">
        <v>525</v>
      </c>
      <c r="G2376" s="159">
        <v>2137.33</v>
      </c>
      <c r="H2376" s="159">
        <v>0</v>
      </c>
      <c r="I2376" s="159">
        <v>989.96</v>
      </c>
      <c r="J2376" s="159">
        <v>46.3</v>
      </c>
      <c r="K2376" t="str">
        <f>VLOOKUP($C2376,Lists!$C$3:$M$118,7,FALSE)</f>
        <v>COKE_RGB</v>
      </c>
    </row>
    <row r="2377" spans="1:11" x14ac:dyDescent="0.25">
      <c r="A2377" s="158" t="s">
        <v>920</v>
      </c>
      <c r="B2377" s="158" t="s">
        <v>921</v>
      </c>
      <c r="C2377" s="158" t="s">
        <v>43</v>
      </c>
      <c r="D2377" s="158" t="s">
        <v>44</v>
      </c>
      <c r="E2377" s="157">
        <v>0.1</v>
      </c>
      <c r="F2377" s="158" t="s">
        <v>525</v>
      </c>
      <c r="G2377" s="159">
        <v>834.34</v>
      </c>
      <c r="H2377" s="159">
        <v>0</v>
      </c>
      <c r="I2377" s="159">
        <v>443.3</v>
      </c>
      <c r="J2377" s="159">
        <v>53.1</v>
      </c>
      <c r="K2377" t="str">
        <f>VLOOKUP($C2377,Lists!$C$3:$M$118,7,FALSE)</f>
        <v>Beers</v>
      </c>
    </row>
    <row r="2378" spans="1:11" x14ac:dyDescent="0.25">
      <c r="A2378" s="158" t="s">
        <v>920</v>
      </c>
      <c r="B2378" s="158" t="s">
        <v>921</v>
      </c>
      <c r="C2378" s="158" t="s">
        <v>59</v>
      </c>
      <c r="D2378" s="158" t="s">
        <v>60</v>
      </c>
      <c r="E2378" s="157">
        <v>0.45</v>
      </c>
      <c r="F2378" s="158" t="s">
        <v>525</v>
      </c>
      <c r="G2378" s="159">
        <v>1923.61</v>
      </c>
      <c r="H2378" s="159">
        <v>0</v>
      </c>
      <c r="I2378" s="159">
        <v>867.71</v>
      </c>
      <c r="J2378" s="159">
        <v>45.1</v>
      </c>
      <c r="K2378" t="str">
        <f>VLOOKUP($C2378,Lists!$C$3:$M$118,7,FALSE)</f>
        <v>COKE_RGB</v>
      </c>
    </row>
    <row r="2379" spans="1:11" x14ac:dyDescent="0.25">
      <c r="A2379" s="158" t="s">
        <v>920</v>
      </c>
      <c r="B2379" s="158" t="s">
        <v>921</v>
      </c>
      <c r="C2379" s="158" t="s">
        <v>22</v>
      </c>
      <c r="D2379" s="158" t="s">
        <v>23</v>
      </c>
      <c r="E2379" s="157">
        <v>0.05</v>
      </c>
      <c r="F2379" s="158" t="s">
        <v>525</v>
      </c>
      <c r="G2379" s="159">
        <v>213.73</v>
      </c>
      <c r="H2379" s="159">
        <v>0</v>
      </c>
      <c r="I2379" s="159">
        <v>95.56</v>
      </c>
      <c r="J2379" s="159">
        <v>44.7</v>
      </c>
      <c r="K2379" t="str">
        <f>VLOOKUP($C2379,Lists!$C$3:$M$118,7,FALSE)</f>
        <v>COKE_RGB</v>
      </c>
    </row>
    <row r="2380" spans="1:11" x14ac:dyDescent="0.25">
      <c r="A2380" s="158" t="s">
        <v>920</v>
      </c>
      <c r="B2380" s="158" t="s">
        <v>921</v>
      </c>
      <c r="C2380" s="158" t="s">
        <v>67</v>
      </c>
      <c r="D2380" s="158" t="s">
        <v>533</v>
      </c>
      <c r="E2380" s="157">
        <v>8.3330000000000001E-2</v>
      </c>
      <c r="F2380" s="158" t="s">
        <v>525</v>
      </c>
      <c r="G2380" s="159">
        <v>249.35</v>
      </c>
      <c r="H2380" s="159">
        <v>0</v>
      </c>
      <c r="I2380" s="159">
        <v>129.83000000000001</v>
      </c>
      <c r="J2380" s="159">
        <v>52.1</v>
      </c>
      <c r="K2380" t="str">
        <f>VLOOKUP($C2380,Lists!$C$3:$M$118,7,FALSE)</f>
        <v>COKE_PET</v>
      </c>
    </row>
    <row r="2381" spans="1:11" x14ac:dyDescent="0.25">
      <c r="A2381" s="158" t="s">
        <v>920</v>
      </c>
      <c r="B2381" s="158" t="s">
        <v>921</v>
      </c>
      <c r="C2381" s="158" t="s">
        <v>24</v>
      </c>
      <c r="D2381" s="158" t="s">
        <v>25</v>
      </c>
      <c r="E2381" s="157">
        <v>0.75</v>
      </c>
      <c r="F2381" s="158" t="s">
        <v>525</v>
      </c>
      <c r="G2381" s="159">
        <v>5214.59</v>
      </c>
      <c r="H2381" s="159">
        <v>0</v>
      </c>
      <c r="I2381" s="159">
        <v>2710.99</v>
      </c>
      <c r="J2381" s="159">
        <v>52</v>
      </c>
      <c r="K2381" t="str">
        <f>VLOOKUP($C2381,Lists!$C$3:$M$118,7,FALSE)</f>
        <v>Beers</v>
      </c>
    </row>
    <row r="2382" spans="1:11" x14ac:dyDescent="0.25">
      <c r="A2382" s="158" t="s">
        <v>920</v>
      </c>
      <c r="B2382" s="158" t="s">
        <v>921</v>
      </c>
      <c r="C2382" s="158" t="s">
        <v>37</v>
      </c>
      <c r="D2382" s="158" t="s">
        <v>38</v>
      </c>
      <c r="E2382" s="157">
        <v>0.3</v>
      </c>
      <c r="F2382" s="158" t="s">
        <v>525</v>
      </c>
      <c r="G2382" s="159">
        <v>1068.6600000000001</v>
      </c>
      <c r="H2382" s="159">
        <v>0</v>
      </c>
      <c r="I2382" s="159">
        <v>542.70000000000005</v>
      </c>
      <c r="J2382" s="159">
        <v>50.8</v>
      </c>
      <c r="K2382" t="str">
        <f>VLOOKUP($C2382,Lists!$C$3:$M$118,7,FALSE)</f>
        <v>SOBO_RGB</v>
      </c>
    </row>
    <row r="2383" spans="1:11" x14ac:dyDescent="0.25">
      <c r="A2383" s="158" t="s">
        <v>920</v>
      </c>
      <c r="B2383" s="158" t="s">
        <v>921</v>
      </c>
      <c r="C2383" s="158" t="s">
        <v>45</v>
      </c>
      <c r="D2383" s="158" t="s">
        <v>46</v>
      </c>
      <c r="E2383" s="157">
        <v>0.25</v>
      </c>
      <c r="F2383" s="158" t="s">
        <v>525</v>
      </c>
      <c r="G2383" s="159">
        <v>1068.67</v>
      </c>
      <c r="H2383" s="159">
        <v>0</v>
      </c>
      <c r="I2383" s="159">
        <v>566.53</v>
      </c>
      <c r="J2383" s="159">
        <v>53</v>
      </c>
      <c r="K2383" t="str">
        <f>VLOOKUP($C2383,Lists!$C$3:$M$118,7,FALSE)</f>
        <v>SOBO_RGB</v>
      </c>
    </row>
    <row r="2384" spans="1:11" x14ac:dyDescent="0.25">
      <c r="A2384" s="158" t="s">
        <v>922</v>
      </c>
      <c r="B2384" s="158" t="s">
        <v>923</v>
      </c>
      <c r="C2384" s="158" t="s">
        <v>14</v>
      </c>
      <c r="D2384" s="158" t="s">
        <v>15</v>
      </c>
      <c r="E2384" s="157">
        <v>0.1</v>
      </c>
      <c r="F2384" s="158" t="s">
        <v>525</v>
      </c>
      <c r="G2384" s="159">
        <v>834.34</v>
      </c>
      <c r="H2384" s="159">
        <v>0</v>
      </c>
      <c r="I2384" s="159">
        <v>443.3</v>
      </c>
      <c r="J2384" s="159">
        <v>53.1</v>
      </c>
      <c r="K2384" t="str">
        <f>VLOOKUP($C2384,Lists!$C$3:$M$118,7,FALSE)</f>
        <v>Beers</v>
      </c>
    </row>
    <row r="2385" spans="1:11" x14ac:dyDescent="0.25">
      <c r="A2385" s="158" t="s">
        <v>922</v>
      </c>
      <c r="B2385" s="158" t="s">
        <v>923</v>
      </c>
      <c r="C2385" s="158" t="s">
        <v>20</v>
      </c>
      <c r="D2385" s="158" t="s">
        <v>21</v>
      </c>
      <c r="E2385" s="157">
        <v>0.65</v>
      </c>
      <c r="F2385" s="158" t="s">
        <v>525</v>
      </c>
      <c r="G2385" s="159">
        <v>2778.54</v>
      </c>
      <c r="H2385" s="159">
        <v>0</v>
      </c>
      <c r="I2385" s="159">
        <v>1286.98</v>
      </c>
      <c r="J2385" s="159">
        <v>46.3</v>
      </c>
      <c r="K2385" t="str">
        <f>VLOOKUP($C2385,Lists!$C$3:$M$118,7,FALSE)</f>
        <v>COKE_RGB</v>
      </c>
    </row>
    <row r="2386" spans="1:11" x14ac:dyDescent="0.25">
      <c r="A2386" s="158" t="s">
        <v>924</v>
      </c>
      <c r="B2386" s="158" t="s">
        <v>925</v>
      </c>
      <c r="C2386" s="158" t="s">
        <v>12</v>
      </c>
      <c r="D2386" s="158" t="s">
        <v>13</v>
      </c>
      <c r="E2386" s="157">
        <v>3.5</v>
      </c>
      <c r="F2386" s="158" t="s">
        <v>525</v>
      </c>
      <c r="G2386" s="159">
        <v>24334.77</v>
      </c>
      <c r="H2386" s="159">
        <v>0</v>
      </c>
      <c r="I2386" s="159">
        <v>11649.88</v>
      </c>
      <c r="J2386" s="159">
        <v>47.9</v>
      </c>
      <c r="K2386" t="str">
        <f>VLOOKUP($C2386,Lists!$C$3:$M$118,7,FALSE)</f>
        <v>Beers</v>
      </c>
    </row>
    <row r="2387" spans="1:11" x14ac:dyDescent="0.25">
      <c r="A2387" s="158" t="s">
        <v>924</v>
      </c>
      <c r="B2387" s="158" t="s">
        <v>925</v>
      </c>
      <c r="C2387" s="158" t="s">
        <v>14</v>
      </c>
      <c r="D2387" s="158" t="s">
        <v>15</v>
      </c>
      <c r="E2387" s="157">
        <v>4</v>
      </c>
      <c r="F2387" s="158" t="s">
        <v>525</v>
      </c>
      <c r="G2387" s="159">
        <v>33373.410000000003</v>
      </c>
      <c r="H2387" s="159">
        <v>0</v>
      </c>
      <c r="I2387" s="159">
        <v>17731.89</v>
      </c>
      <c r="J2387" s="159">
        <v>53.1</v>
      </c>
      <c r="K2387" t="str">
        <f>VLOOKUP($C2387,Lists!$C$3:$M$118,7,FALSE)</f>
        <v>Beers</v>
      </c>
    </row>
    <row r="2388" spans="1:11" x14ac:dyDescent="0.25">
      <c r="A2388" s="158" t="s">
        <v>924</v>
      </c>
      <c r="B2388" s="158" t="s">
        <v>925</v>
      </c>
      <c r="C2388" s="158" t="s">
        <v>54</v>
      </c>
      <c r="D2388" s="158" t="s">
        <v>55</v>
      </c>
      <c r="E2388" s="157">
        <v>0.5</v>
      </c>
      <c r="F2388" s="158" t="s">
        <v>525</v>
      </c>
      <c r="G2388" s="159">
        <v>4171.67</v>
      </c>
      <c r="H2388" s="159">
        <v>0</v>
      </c>
      <c r="I2388" s="159">
        <v>2336.8000000000002</v>
      </c>
      <c r="J2388" s="159">
        <v>56</v>
      </c>
      <c r="K2388" t="str">
        <f>VLOOKUP($C2388,Lists!$C$3:$M$118,7,FALSE)</f>
        <v>Beers</v>
      </c>
    </row>
    <row r="2389" spans="1:11" x14ac:dyDescent="0.25">
      <c r="A2389" s="158" t="s">
        <v>924</v>
      </c>
      <c r="B2389" s="158" t="s">
        <v>925</v>
      </c>
      <c r="C2389" s="158" t="s">
        <v>16</v>
      </c>
      <c r="D2389" s="158" t="s">
        <v>17</v>
      </c>
      <c r="E2389" s="157">
        <v>5.6</v>
      </c>
      <c r="F2389" s="158" t="s">
        <v>525</v>
      </c>
      <c r="G2389" s="159">
        <v>46722.78</v>
      </c>
      <c r="H2389" s="159">
        <v>0</v>
      </c>
      <c r="I2389" s="159">
        <v>24824.639999999999</v>
      </c>
      <c r="J2389" s="159">
        <v>53.1</v>
      </c>
      <c r="K2389" t="str">
        <f>VLOOKUP($C2389,Lists!$C$3:$M$118,7,FALSE)</f>
        <v>Beers</v>
      </c>
    </row>
    <row r="2390" spans="1:11" x14ac:dyDescent="0.25">
      <c r="A2390" s="158" t="s">
        <v>924</v>
      </c>
      <c r="B2390" s="158" t="s">
        <v>925</v>
      </c>
      <c r="C2390" s="158" t="s">
        <v>18</v>
      </c>
      <c r="D2390" s="158" t="s">
        <v>19</v>
      </c>
      <c r="E2390" s="157">
        <v>0.75</v>
      </c>
      <c r="F2390" s="158" t="s">
        <v>525</v>
      </c>
      <c r="G2390" s="159">
        <v>8343.35</v>
      </c>
      <c r="H2390" s="159">
        <v>0</v>
      </c>
      <c r="I2390" s="159">
        <v>4623.72</v>
      </c>
      <c r="J2390" s="159">
        <v>55.4</v>
      </c>
      <c r="K2390" t="str">
        <f>VLOOKUP($C2390,Lists!$C$3:$M$118,7,FALSE)</f>
        <v>Beers</v>
      </c>
    </row>
    <row r="2391" spans="1:11" x14ac:dyDescent="0.25">
      <c r="A2391" s="158" t="s">
        <v>924</v>
      </c>
      <c r="B2391" s="158" t="s">
        <v>925</v>
      </c>
      <c r="C2391" s="158" t="s">
        <v>20</v>
      </c>
      <c r="D2391" s="158" t="s">
        <v>21</v>
      </c>
      <c r="E2391" s="157">
        <v>1.5</v>
      </c>
      <c r="F2391" s="158" t="s">
        <v>525</v>
      </c>
      <c r="G2391" s="159">
        <v>6412.03</v>
      </c>
      <c r="H2391" s="159">
        <v>0</v>
      </c>
      <c r="I2391" s="159">
        <v>2969.97</v>
      </c>
      <c r="J2391" s="159">
        <v>46.3</v>
      </c>
      <c r="K2391" t="str">
        <f>VLOOKUP($C2391,Lists!$C$3:$M$118,7,FALSE)</f>
        <v>COKE_RGB</v>
      </c>
    </row>
    <row r="2392" spans="1:11" x14ac:dyDescent="0.25">
      <c r="A2392" s="158" t="s">
        <v>924</v>
      </c>
      <c r="B2392" s="158" t="s">
        <v>925</v>
      </c>
      <c r="C2392" s="158" t="s">
        <v>43</v>
      </c>
      <c r="D2392" s="158" t="s">
        <v>44</v>
      </c>
      <c r="E2392" s="157">
        <v>0.9</v>
      </c>
      <c r="F2392" s="158" t="s">
        <v>525</v>
      </c>
      <c r="G2392" s="159">
        <v>7509.01</v>
      </c>
      <c r="H2392" s="159">
        <v>0</v>
      </c>
      <c r="I2392" s="159">
        <v>3989.67</v>
      </c>
      <c r="J2392" s="159">
        <v>53.1</v>
      </c>
      <c r="K2392" t="str">
        <f>VLOOKUP($C2392,Lists!$C$3:$M$118,7,FALSE)</f>
        <v>Beers</v>
      </c>
    </row>
    <row r="2393" spans="1:11" x14ac:dyDescent="0.25">
      <c r="A2393" s="158" t="s">
        <v>924</v>
      </c>
      <c r="B2393" s="158" t="s">
        <v>925</v>
      </c>
      <c r="C2393" s="158" t="s">
        <v>59</v>
      </c>
      <c r="D2393" s="158" t="s">
        <v>60</v>
      </c>
      <c r="E2393" s="157">
        <v>0.45</v>
      </c>
      <c r="F2393" s="158" t="s">
        <v>525</v>
      </c>
      <c r="G2393" s="159">
        <v>1923.61</v>
      </c>
      <c r="H2393" s="159">
        <v>0</v>
      </c>
      <c r="I2393" s="159">
        <v>867.71</v>
      </c>
      <c r="J2393" s="159">
        <v>45.1</v>
      </c>
      <c r="K2393" t="str">
        <f>VLOOKUP($C2393,Lists!$C$3:$M$118,7,FALSE)</f>
        <v>COKE_RGB</v>
      </c>
    </row>
    <row r="2394" spans="1:11" x14ac:dyDescent="0.25">
      <c r="A2394" s="158" t="s">
        <v>924</v>
      </c>
      <c r="B2394" s="158" t="s">
        <v>925</v>
      </c>
      <c r="C2394" s="158" t="s">
        <v>22</v>
      </c>
      <c r="D2394" s="158" t="s">
        <v>23</v>
      </c>
      <c r="E2394" s="157">
        <v>0.15</v>
      </c>
      <c r="F2394" s="158" t="s">
        <v>525</v>
      </c>
      <c r="G2394" s="159">
        <v>641.20000000000005</v>
      </c>
      <c r="H2394" s="159">
        <v>0</v>
      </c>
      <c r="I2394" s="159">
        <v>286.68</v>
      </c>
      <c r="J2394" s="159">
        <v>44.7</v>
      </c>
      <c r="K2394" t="str">
        <f>VLOOKUP($C2394,Lists!$C$3:$M$118,7,FALSE)</f>
        <v>COKE_RGB</v>
      </c>
    </row>
    <row r="2395" spans="1:11" x14ac:dyDescent="0.25">
      <c r="A2395" s="158" t="s">
        <v>924</v>
      </c>
      <c r="B2395" s="158" t="s">
        <v>925</v>
      </c>
      <c r="C2395" s="158" t="s">
        <v>261</v>
      </c>
      <c r="D2395" s="158" t="s">
        <v>538</v>
      </c>
      <c r="E2395" s="157">
        <v>0.25</v>
      </c>
      <c r="F2395" s="158" t="s">
        <v>525</v>
      </c>
      <c r="G2395" s="159">
        <v>1068.67</v>
      </c>
      <c r="H2395" s="159">
        <v>0</v>
      </c>
      <c r="I2395" s="159">
        <v>477.8</v>
      </c>
      <c r="J2395" s="159">
        <v>44.7</v>
      </c>
      <c r="K2395" t="str">
        <f>VLOOKUP($C2395,Lists!$C$3:$M$118,7,FALSE)</f>
        <v>COKE_RGB</v>
      </c>
    </row>
    <row r="2396" spans="1:11" x14ac:dyDescent="0.25">
      <c r="A2396" s="158" t="s">
        <v>924</v>
      </c>
      <c r="B2396" s="158" t="s">
        <v>925</v>
      </c>
      <c r="C2396" s="158" t="s">
        <v>24</v>
      </c>
      <c r="D2396" s="158" t="s">
        <v>25</v>
      </c>
      <c r="E2396" s="157">
        <v>2.1</v>
      </c>
      <c r="F2396" s="158" t="s">
        <v>525</v>
      </c>
      <c r="G2396" s="159">
        <v>14600.87</v>
      </c>
      <c r="H2396" s="159">
        <v>0</v>
      </c>
      <c r="I2396" s="159">
        <v>7590.8</v>
      </c>
      <c r="J2396" s="159">
        <v>52</v>
      </c>
      <c r="K2396" t="str">
        <f>VLOOKUP($C2396,Lists!$C$3:$M$118,7,FALSE)</f>
        <v>Beers</v>
      </c>
    </row>
    <row r="2397" spans="1:11" x14ac:dyDescent="0.25">
      <c r="A2397" s="158" t="s">
        <v>924</v>
      </c>
      <c r="B2397" s="158" t="s">
        <v>925</v>
      </c>
      <c r="C2397" s="158" t="s">
        <v>39</v>
      </c>
      <c r="D2397" s="158" t="s">
        <v>40</v>
      </c>
      <c r="E2397" s="157">
        <v>0.95</v>
      </c>
      <c r="F2397" s="158" t="s">
        <v>525</v>
      </c>
      <c r="G2397" s="159">
        <v>3384.12</v>
      </c>
      <c r="H2397" s="159">
        <v>0</v>
      </c>
      <c r="I2397" s="159">
        <v>1705.6</v>
      </c>
      <c r="J2397" s="159">
        <v>50.4</v>
      </c>
      <c r="K2397" t="str">
        <f>VLOOKUP($C2397,Lists!$C$3:$M$118,7,FALSE)</f>
        <v>SOBO_RGB</v>
      </c>
    </row>
    <row r="2398" spans="1:11" x14ac:dyDescent="0.25">
      <c r="A2398" s="158" t="s">
        <v>924</v>
      </c>
      <c r="B2398" s="158" t="s">
        <v>925</v>
      </c>
      <c r="C2398" s="158" t="s">
        <v>47</v>
      </c>
      <c r="D2398" s="158" t="s">
        <v>48</v>
      </c>
      <c r="E2398" s="157">
        <v>0.35</v>
      </c>
      <c r="F2398" s="158" t="s">
        <v>525</v>
      </c>
      <c r="G2398" s="159">
        <v>1496.13</v>
      </c>
      <c r="H2398" s="159">
        <v>0</v>
      </c>
      <c r="I2398" s="159">
        <v>715.38</v>
      </c>
      <c r="J2398" s="159">
        <v>47.8</v>
      </c>
      <c r="K2398" t="str">
        <f>VLOOKUP($C2398,Lists!$C$3:$M$118,7,FALSE)</f>
        <v>COKE_RGB</v>
      </c>
    </row>
    <row r="2399" spans="1:11" x14ac:dyDescent="0.25">
      <c r="A2399" s="158" t="s">
        <v>926</v>
      </c>
      <c r="B2399" s="158" t="s">
        <v>927</v>
      </c>
      <c r="C2399" s="158" t="s">
        <v>10</v>
      </c>
      <c r="D2399" s="158" t="s">
        <v>11</v>
      </c>
      <c r="E2399" s="157">
        <v>0.2</v>
      </c>
      <c r="F2399" s="158" t="s">
        <v>525</v>
      </c>
      <c r="G2399" s="159">
        <v>1668.67</v>
      </c>
      <c r="H2399" s="159">
        <v>0</v>
      </c>
      <c r="I2399" s="159">
        <v>771.67</v>
      </c>
      <c r="J2399" s="159">
        <v>46.2</v>
      </c>
      <c r="K2399" t="str">
        <f>VLOOKUP($C2399,Lists!$C$3:$M$118,7,FALSE)</f>
        <v>Alcomix</v>
      </c>
    </row>
    <row r="2400" spans="1:11" x14ac:dyDescent="0.25">
      <c r="A2400" s="158" t="s">
        <v>926</v>
      </c>
      <c r="B2400" s="158" t="s">
        <v>927</v>
      </c>
      <c r="C2400" s="158" t="s">
        <v>12</v>
      </c>
      <c r="D2400" s="158" t="s">
        <v>13</v>
      </c>
      <c r="E2400" s="157">
        <v>0.65</v>
      </c>
      <c r="F2400" s="158" t="s">
        <v>525</v>
      </c>
      <c r="G2400" s="159">
        <v>4519.32</v>
      </c>
      <c r="H2400" s="159">
        <v>0</v>
      </c>
      <c r="I2400" s="159">
        <v>2163.54</v>
      </c>
      <c r="J2400" s="159">
        <v>47.9</v>
      </c>
      <c r="K2400" t="str">
        <f>VLOOKUP($C2400,Lists!$C$3:$M$118,7,FALSE)</f>
        <v>Beers</v>
      </c>
    </row>
    <row r="2401" spans="1:11" x14ac:dyDescent="0.25">
      <c r="A2401" s="158" t="s">
        <v>926</v>
      </c>
      <c r="B2401" s="158" t="s">
        <v>927</v>
      </c>
      <c r="C2401" s="158" t="s">
        <v>16</v>
      </c>
      <c r="D2401" s="158" t="s">
        <v>17</v>
      </c>
      <c r="E2401" s="157">
        <v>1.5</v>
      </c>
      <c r="F2401" s="158" t="s">
        <v>525</v>
      </c>
      <c r="G2401" s="159">
        <v>12515.05</v>
      </c>
      <c r="H2401" s="159">
        <v>0</v>
      </c>
      <c r="I2401" s="159">
        <v>6649.46</v>
      </c>
      <c r="J2401" s="159">
        <v>53.1</v>
      </c>
      <c r="K2401" t="str">
        <f>VLOOKUP($C2401,Lists!$C$3:$M$118,7,FALSE)</f>
        <v>Beers</v>
      </c>
    </row>
    <row r="2402" spans="1:11" x14ac:dyDescent="0.25">
      <c r="A2402" s="158" t="s">
        <v>926</v>
      </c>
      <c r="B2402" s="158" t="s">
        <v>927</v>
      </c>
      <c r="C2402" s="158" t="s">
        <v>18</v>
      </c>
      <c r="D2402" s="158" t="s">
        <v>19</v>
      </c>
      <c r="E2402" s="157">
        <v>0.5</v>
      </c>
      <c r="F2402" s="158" t="s">
        <v>525</v>
      </c>
      <c r="G2402" s="159">
        <v>5562.23</v>
      </c>
      <c r="H2402" s="159">
        <v>0</v>
      </c>
      <c r="I2402" s="159">
        <v>3082.48</v>
      </c>
      <c r="J2402" s="159">
        <v>55.4</v>
      </c>
      <c r="K2402" t="str">
        <f>VLOOKUP($C2402,Lists!$C$3:$M$118,7,FALSE)</f>
        <v>Beers</v>
      </c>
    </row>
    <row r="2403" spans="1:11" x14ac:dyDescent="0.25">
      <c r="A2403" s="158" t="s">
        <v>926</v>
      </c>
      <c r="B2403" s="158" t="s">
        <v>927</v>
      </c>
      <c r="C2403" s="158" t="s">
        <v>20</v>
      </c>
      <c r="D2403" s="158" t="s">
        <v>21</v>
      </c>
      <c r="E2403" s="157">
        <v>0.1</v>
      </c>
      <c r="F2403" s="158" t="s">
        <v>525</v>
      </c>
      <c r="G2403" s="159">
        <v>427.46</v>
      </c>
      <c r="H2403" s="159">
        <v>0</v>
      </c>
      <c r="I2403" s="159">
        <v>197.98</v>
      </c>
      <c r="J2403" s="159">
        <v>46.3</v>
      </c>
      <c r="K2403" t="str">
        <f>VLOOKUP($C2403,Lists!$C$3:$M$118,7,FALSE)</f>
        <v>COKE_RGB</v>
      </c>
    </row>
    <row r="2404" spans="1:11" x14ac:dyDescent="0.25">
      <c r="A2404" s="158" t="s">
        <v>926</v>
      </c>
      <c r="B2404" s="158" t="s">
        <v>927</v>
      </c>
      <c r="C2404" s="158" t="s">
        <v>22</v>
      </c>
      <c r="D2404" s="158" t="s">
        <v>23</v>
      </c>
      <c r="E2404" s="157">
        <v>0.1</v>
      </c>
      <c r="F2404" s="158" t="s">
        <v>525</v>
      </c>
      <c r="G2404" s="159">
        <v>427.47</v>
      </c>
      <c r="H2404" s="159">
        <v>0</v>
      </c>
      <c r="I2404" s="159">
        <v>191.12</v>
      </c>
      <c r="J2404" s="159">
        <v>44.7</v>
      </c>
      <c r="K2404" t="str">
        <f>VLOOKUP($C2404,Lists!$C$3:$M$118,7,FALSE)</f>
        <v>COKE_RGB</v>
      </c>
    </row>
    <row r="2405" spans="1:11" x14ac:dyDescent="0.25">
      <c r="A2405" s="158" t="s">
        <v>926</v>
      </c>
      <c r="B2405" s="158" t="s">
        <v>927</v>
      </c>
      <c r="C2405" s="158" t="s">
        <v>261</v>
      </c>
      <c r="D2405" s="158" t="s">
        <v>538</v>
      </c>
      <c r="E2405" s="157">
        <v>0.5</v>
      </c>
      <c r="F2405" s="158" t="s">
        <v>525</v>
      </c>
      <c r="G2405" s="159">
        <v>2137.34</v>
      </c>
      <c r="H2405" s="159">
        <v>0</v>
      </c>
      <c r="I2405" s="159">
        <v>955.6</v>
      </c>
      <c r="J2405" s="159">
        <v>44.7</v>
      </c>
      <c r="K2405" t="str">
        <f>VLOOKUP($C2405,Lists!$C$3:$M$118,7,FALSE)</f>
        <v>COKE_RGB</v>
      </c>
    </row>
    <row r="2406" spans="1:11" x14ac:dyDescent="0.25">
      <c r="A2406" s="158" t="s">
        <v>926</v>
      </c>
      <c r="B2406" s="158" t="s">
        <v>927</v>
      </c>
      <c r="C2406" s="158" t="s">
        <v>24</v>
      </c>
      <c r="D2406" s="158" t="s">
        <v>25</v>
      </c>
      <c r="E2406" s="157">
        <v>0.1</v>
      </c>
      <c r="F2406" s="158" t="s">
        <v>525</v>
      </c>
      <c r="G2406" s="159">
        <v>695.28</v>
      </c>
      <c r="H2406" s="159">
        <v>0</v>
      </c>
      <c r="I2406" s="159">
        <v>361.47</v>
      </c>
      <c r="J2406" s="159">
        <v>52</v>
      </c>
      <c r="K2406" t="str">
        <f>VLOOKUP($C2406,Lists!$C$3:$M$118,7,FALSE)</f>
        <v>Beers</v>
      </c>
    </row>
    <row r="2407" spans="1:11" x14ac:dyDescent="0.25">
      <c r="A2407" s="158" t="s">
        <v>926</v>
      </c>
      <c r="B2407" s="158" t="s">
        <v>927</v>
      </c>
      <c r="C2407" s="158" t="s">
        <v>39</v>
      </c>
      <c r="D2407" s="158" t="s">
        <v>40</v>
      </c>
      <c r="E2407" s="157">
        <v>0.1</v>
      </c>
      <c r="F2407" s="158" t="s">
        <v>525</v>
      </c>
      <c r="G2407" s="159">
        <v>356.22</v>
      </c>
      <c r="H2407" s="159">
        <v>0</v>
      </c>
      <c r="I2407" s="159">
        <v>179.53</v>
      </c>
      <c r="J2407" s="159">
        <v>50.4</v>
      </c>
      <c r="K2407" t="str">
        <f>VLOOKUP($C2407,Lists!$C$3:$M$118,7,FALSE)</f>
        <v>SOBO_RGB</v>
      </c>
    </row>
    <row r="2408" spans="1:11" x14ac:dyDescent="0.25">
      <c r="A2408" s="158" t="s">
        <v>926</v>
      </c>
      <c r="B2408" s="158" t="s">
        <v>927</v>
      </c>
      <c r="C2408" s="158" t="s">
        <v>45</v>
      </c>
      <c r="D2408" s="158" t="s">
        <v>46</v>
      </c>
      <c r="E2408" s="157">
        <v>0.15</v>
      </c>
      <c r="F2408" s="158" t="s">
        <v>525</v>
      </c>
      <c r="G2408" s="159">
        <v>641.20000000000005</v>
      </c>
      <c r="H2408" s="159">
        <v>0</v>
      </c>
      <c r="I2408" s="159">
        <v>339.92</v>
      </c>
      <c r="J2408" s="159">
        <v>53</v>
      </c>
      <c r="K2408" t="str">
        <f>VLOOKUP($C2408,Lists!$C$3:$M$118,7,FALSE)</f>
        <v>SOBO_RGB</v>
      </c>
    </row>
    <row r="2409" spans="1:11" x14ac:dyDescent="0.25">
      <c r="A2409" s="158" t="s">
        <v>926</v>
      </c>
      <c r="B2409" s="158" t="s">
        <v>927</v>
      </c>
      <c r="C2409" s="158" t="s">
        <v>65</v>
      </c>
      <c r="D2409" s="158" t="s">
        <v>66</v>
      </c>
      <c r="E2409" s="157">
        <v>0.25</v>
      </c>
      <c r="F2409" s="158" t="s">
        <v>525</v>
      </c>
      <c r="G2409" s="159">
        <v>1341.12</v>
      </c>
      <c r="H2409" s="159">
        <v>0</v>
      </c>
      <c r="I2409" s="159">
        <v>332.35</v>
      </c>
      <c r="J2409" s="159">
        <v>24.8</v>
      </c>
      <c r="K2409" t="str">
        <f>VLOOKUP($C2409,Lists!$C$3:$M$118,7,FALSE)</f>
        <v>Squash</v>
      </c>
    </row>
    <row r="2410" spans="1:11" x14ac:dyDescent="0.25">
      <c r="A2410" s="158" t="s">
        <v>926</v>
      </c>
      <c r="B2410" s="158" t="s">
        <v>927</v>
      </c>
      <c r="C2410" s="158" t="s">
        <v>362</v>
      </c>
      <c r="D2410" s="158" t="s">
        <v>363</v>
      </c>
      <c r="E2410" s="157">
        <v>0.33333000000000002</v>
      </c>
      <c r="F2410" s="158" t="s">
        <v>525</v>
      </c>
      <c r="G2410" s="159">
        <v>894.07</v>
      </c>
      <c r="H2410" s="159">
        <v>894.07</v>
      </c>
      <c r="I2410" s="159">
        <v>-450.94</v>
      </c>
      <c r="J2410" s="159">
        <v>-50.4</v>
      </c>
      <c r="K2410" t="str">
        <f>VLOOKUP($C2410,Lists!$C$3:$M$118,7,FALSE)</f>
        <v>Squash</v>
      </c>
    </row>
    <row r="2411" spans="1:11" x14ac:dyDescent="0.25">
      <c r="A2411" s="158" t="s">
        <v>928</v>
      </c>
      <c r="B2411" s="158" t="s">
        <v>929</v>
      </c>
      <c r="C2411" s="158" t="s">
        <v>12</v>
      </c>
      <c r="D2411" s="158" t="s">
        <v>13</v>
      </c>
      <c r="E2411" s="157">
        <v>1.45</v>
      </c>
      <c r="F2411" s="158" t="s">
        <v>525</v>
      </c>
      <c r="G2411" s="159">
        <v>10081.56</v>
      </c>
      <c r="H2411" s="159">
        <v>0</v>
      </c>
      <c r="I2411" s="159">
        <v>4826.38</v>
      </c>
      <c r="J2411" s="159">
        <v>47.9</v>
      </c>
      <c r="K2411" t="str">
        <f>VLOOKUP($C2411,Lists!$C$3:$M$118,7,FALSE)</f>
        <v>Beers</v>
      </c>
    </row>
    <row r="2412" spans="1:11" x14ac:dyDescent="0.25">
      <c r="A2412" s="158" t="s">
        <v>928</v>
      </c>
      <c r="B2412" s="158" t="s">
        <v>929</v>
      </c>
      <c r="C2412" s="158" t="s">
        <v>14</v>
      </c>
      <c r="D2412" s="158" t="s">
        <v>15</v>
      </c>
      <c r="E2412" s="157">
        <v>0.9</v>
      </c>
      <c r="F2412" s="158" t="s">
        <v>525</v>
      </c>
      <c r="G2412" s="159">
        <v>7509.02</v>
      </c>
      <c r="H2412" s="159">
        <v>0</v>
      </c>
      <c r="I2412" s="159">
        <v>3989.66</v>
      </c>
      <c r="J2412" s="159">
        <v>53.1</v>
      </c>
      <c r="K2412" t="str">
        <f>VLOOKUP($C2412,Lists!$C$3:$M$118,7,FALSE)</f>
        <v>Beers</v>
      </c>
    </row>
    <row r="2413" spans="1:11" x14ac:dyDescent="0.25">
      <c r="A2413" s="158" t="s">
        <v>928</v>
      </c>
      <c r="B2413" s="158" t="s">
        <v>929</v>
      </c>
      <c r="C2413" s="158" t="s">
        <v>54</v>
      </c>
      <c r="D2413" s="158" t="s">
        <v>55</v>
      </c>
      <c r="E2413" s="157">
        <v>0.24998999999999999</v>
      </c>
      <c r="F2413" s="158" t="s">
        <v>525</v>
      </c>
      <c r="G2413" s="159">
        <v>2085.75</v>
      </c>
      <c r="H2413" s="159">
        <v>0</v>
      </c>
      <c r="I2413" s="159">
        <v>1168.3499999999999</v>
      </c>
      <c r="J2413" s="159">
        <v>56</v>
      </c>
      <c r="K2413" t="str">
        <f>VLOOKUP($C2413,Lists!$C$3:$M$118,7,FALSE)</f>
        <v>Beers</v>
      </c>
    </row>
    <row r="2414" spans="1:11" x14ac:dyDescent="0.25">
      <c r="A2414" s="158" t="s">
        <v>928</v>
      </c>
      <c r="B2414" s="158" t="s">
        <v>929</v>
      </c>
      <c r="C2414" s="158" t="s">
        <v>16</v>
      </c>
      <c r="D2414" s="158" t="s">
        <v>17</v>
      </c>
      <c r="E2414" s="157">
        <v>2.0499999999999998</v>
      </c>
      <c r="F2414" s="158" t="s">
        <v>525</v>
      </c>
      <c r="G2414" s="159">
        <v>17103.87</v>
      </c>
      <c r="H2414" s="159">
        <v>0</v>
      </c>
      <c r="I2414" s="159">
        <v>9087.56</v>
      </c>
      <c r="J2414" s="159">
        <v>53.1</v>
      </c>
      <c r="K2414" t="str">
        <f>VLOOKUP($C2414,Lists!$C$3:$M$118,7,FALSE)</f>
        <v>Beers</v>
      </c>
    </row>
    <row r="2415" spans="1:11" x14ac:dyDescent="0.25">
      <c r="A2415" s="158" t="s">
        <v>928</v>
      </c>
      <c r="B2415" s="158" t="s">
        <v>929</v>
      </c>
      <c r="C2415" s="158" t="s">
        <v>20</v>
      </c>
      <c r="D2415" s="158" t="s">
        <v>21</v>
      </c>
      <c r="E2415" s="157">
        <v>0.85</v>
      </c>
      <c r="F2415" s="158" t="s">
        <v>525</v>
      </c>
      <c r="G2415" s="159">
        <v>3633.46</v>
      </c>
      <c r="H2415" s="159">
        <v>0</v>
      </c>
      <c r="I2415" s="159">
        <v>1682.95</v>
      </c>
      <c r="J2415" s="159">
        <v>46.3</v>
      </c>
      <c r="K2415" t="str">
        <f>VLOOKUP($C2415,Lists!$C$3:$M$118,7,FALSE)</f>
        <v>COKE_RGB</v>
      </c>
    </row>
    <row r="2416" spans="1:11" x14ac:dyDescent="0.25">
      <c r="A2416" s="158" t="s">
        <v>928</v>
      </c>
      <c r="B2416" s="158" t="s">
        <v>929</v>
      </c>
      <c r="C2416" s="158" t="s">
        <v>43</v>
      </c>
      <c r="D2416" s="158" t="s">
        <v>44</v>
      </c>
      <c r="E2416" s="157">
        <v>0.1</v>
      </c>
      <c r="F2416" s="158" t="s">
        <v>525</v>
      </c>
      <c r="G2416" s="159">
        <v>834.34</v>
      </c>
      <c r="H2416" s="159">
        <v>0</v>
      </c>
      <c r="I2416" s="159">
        <v>443.3</v>
      </c>
      <c r="J2416" s="159">
        <v>53.1</v>
      </c>
      <c r="K2416" t="str">
        <f>VLOOKUP($C2416,Lists!$C$3:$M$118,7,FALSE)</f>
        <v>Beers</v>
      </c>
    </row>
    <row r="2417" spans="1:11" x14ac:dyDescent="0.25">
      <c r="A2417" s="158" t="s">
        <v>928</v>
      </c>
      <c r="B2417" s="158" t="s">
        <v>929</v>
      </c>
      <c r="C2417" s="158" t="s">
        <v>22</v>
      </c>
      <c r="D2417" s="158" t="s">
        <v>23</v>
      </c>
      <c r="E2417" s="157">
        <v>0.9</v>
      </c>
      <c r="F2417" s="158" t="s">
        <v>525</v>
      </c>
      <c r="G2417" s="159">
        <v>3847.21</v>
      </c>
      <c r="H2417" s="159">
        <v>0</v>
      </c>
      <c r="I2417" s="159">
        <v>1720.09</v>
      </c>
      <c r="J2417" s="159">
        <v>44.7</v>
      </c>
      <c r="K2417" t="str">
        <f>VLOOKUP($C2417,Lists!$C$3:$M$118,7,FALSE)</f>
        <v>COKE_RGB</v>
      </c>
    </row>
    <row r="2418" spans="1:11" x14ac:dyDescent="0.25">
      <c r="A2418" s="158" t="s">
        <v>928</v>
      </c>
      <c r="B2418" s="158" t="s">
        <v>929</v>
      </c>
      <c r="C2418" s="158" t="s">
        <v>24</v>
      </c>
      <c r="D2418" s="158" t="s">
        <v>25</v>
      </c>
      <c r="E2418" s="157">
        <v>0.25</v>
      </c>
      <c r="F2418" s="158" t="s">
        <v>525</v>
      </c>
      <c r="G2418" s="159">
        <v>1738.2</v>
      </c>
      <c r="H2418" s="159">
        <v>0</v>
      </c>
      <c r="I2418" s="159">
        <v>903.66</v>
      </c>
      <c r="J2418" s="159">
        <v>52</v>
      </c>
      <c r="K2418" t="str">
        <f>VLOOKUP($C2418,Lists!$C$3:$M$118,7,FALSE)</f>
        <v>Beers</v>
      </c>
    </row>
    <row r="2419" spans="1:11" x14ac:dyDescent="0.25">
      <c r="A2419" s="158" t="s">
        <v>928</v>
      </c>
      <c r="B2419" s="158" t="s">
        <v>929</v>
      </c>
      <c r="C2419" s="158" t="s">
        <v>37</v>
      </c>
      <c r="D2419" s="158" t="s">
        <v>38</v>
      </c>
      <c r="E2419" s="157">
        <v>1.35</v>
      </c>
      <c r="F2419" s="158" t="s">
        <v>525</v>
      </c>
      <c r="G2419" s="159">
        <v>4809.0200000000004</v>
      </c>
      <c r="H2419" s="159">
        <v>0</v>
      </c>
      <c r="I2419" s="159">
        <v>2442.1999999999998</v>
      </c>
      <c r="J2419" s="159">
        <v>50.8</v>
      </c>
      <c r="K2419" t="str">
        <f>VLOOKUP($C2419,Lists!$C$3:$M$118,7,FALSE)</f>
        <v>SOBO_RGB</v>
      </c>
    </row>
    <row r="2420" spans="1:11" x14ac:dyDescent="0.25">
      <c r="A2420" s="158" t="s">
        <v>928</v>
      </c>
      <c r="B2420" s="158" t="s">
        <v>929</v>
      </c>
      <c r="C2420" s="158" t="s">
        <v>45</v>
      </c>
      <c r="D2420" s="158" t="s">
        <v>46</v>
      </c>
      <c r="E2420" s="157">
        <v>0.25</v>
      </c>
      <c r="F2420" s="158" t="s">
        <v>525</v>
      </c>
      <c r="G2420" s="159">
        <v>1068.67</v>
      </c>
      <c r="H2420" s="159">
        <v>0</v>
      </c>
      <c r="I2420" s="159">
        <v>566.53</v>
      </c>
      <c r="J2420" s="159">
        <v>53</v>
      </c>
      <c r="K2420" t="str">
        <f>VLOOKUP($C2420,Lists!$C$3:$M$118,7,FALSE)</f>
        <v>SOBO_RGB</v>
      </c>
    </row>
    <row r="2421" spans="1:11" x14ac:dyDescent="0.25">
      <c r="A2421" s="158" t="s">
        <v>930</v>
      </c>
      <c r="B2421" s="158" t="s">
        <v>931</v>
      </c>
      <c r="C2421" s="158" t="s">
        <v>12</v>
      </c>
      <c r="D2421" s="158" t="s">
        <v>13</v>
      </c>
      <c r="E2421" s="157">
        <v>6.5</v>
      </c>
      <c r="F2421" s="158" t="s">
        <v>525</v>
      </c>
      <c r="G2421" s="159">
        <v>45193.15</v>
      </c>
      <c r="H2421" s="159">
        <v>0</v>
      </c>
      <c r="I2421" s="159">
        <v>21635.49</v>
      </c>
      <c r="J2421" s="159">
        <v>47.9</v>
      </c>
      <c r="K2421" t="str">
        <f>VLOOKUP($C2421,Lists!$C$3:$M$118,7,FALSE)</f>
        <v>Beers</v>
      </c>
    </row>
    <row r="2422" spans="1:11" x14ac:dyDescent="0.25">
      <c r="A2422" s="158" t="s">
        <v>930</v>
      </c>
      <c r="B2422" s="158" t="s">
        <v>931</v>
      </c>
      <c r="C2422" s="158" t="s">
        <v>14</v>
      </c>
      <c r="D2422" s="158" t="s">
        <v>15</v>
      </c>
      <c r="E2422" s="157">
        <v>2.95</v>
      </c>
      <c r="F2422" s="158" t="s">
        <v>525</v>
      </c>
      <c r="G2422" s="159">
        <v>24612.91</v>
      </c>
      <c r="H2422" s="159">
        <v>0</v>
      </c>
      <c r="I2422" s="159">
        <v>13077.29</v>
      </c>
      <c r="J2422" s="159">
        <v>53.1</v>
      </c>
      <c r="K2422" t="str">
        <f>VLOOKUP($C2422,Lists!$C$3:$M$118,7,FALSE)</f>
        <v>Beers</v>
      </c>
    </row>
    <row r="2423" spans="1:11" x14ac:dyDescent="0.25">
      <c r="A2423" s="158" t="s">
        <v>930</v>
      </c>
      <c r="B2423" s="158" t="s">
        <v>931</v>
      </c>
      <c r="C2423" s="158" t="s">
        <v>54</v>
      </c>
      <c r="D2423" s="158" t="s">
        <v>55</v>
      </c>
      <c r="E2423" s="157">
        <v>0.5</v>
      </c>
      <c r="F2423" s="158" t="s">
        <v>525</v>
      </c>
      <c r="G2423" s="159">
        <v>4171.68</v>
      </c>
      <c r="H2423" s="159">
        <v>0</v>
      </c>
      <c r="I2423" s="159">
        <v>2336.8000000000002</v>
      </c>
      <c r="J2423" s="159">
        <v>56</v>
      </c>
      <c r="K2423" t="str">
        <f>VLOOKUP($C2423,Lists!$C$3:$M$118,7,FALSE)</f>
        <v>Beers</v>
      </c>
    </row>
    <row r="2424" spans="1:11" x14ac:dyDescent="0.25">
      <c r="A2424" s="158" t="s">
        <v>930</v>
      </c>
      <c r="B2424" s="158" t="s">
        <v>931</v>
      </c>
      <c r="C2424" s="158" t="s">
        <v>16</v>
      </c>
      <c r="D2424" s="158" t="s">
        <v>17</v>
      </c>
      <c r="E2424" s="157">
        <v>6.35</v>
      </c>
      <c r="F2424" s="158" t="s">
        <v>525</v>
      </c>
      <c r="G2424" s="159">
        <v>52980.29</v>
      </c>
      <c r="H2424" s="159">
        <v>0</v>
      </c>
      <c r="I2424" s="159">
        <v>28149.38</v>
      </c>
      <c r="J2424" s="159">
        <v>53.1</v>
      </c>
      <c r="K2424" t="str">
        <f>VLOOKUP($C2424,Lists!$C$3:$M$118,7,FALSE)</f>
        <v>Beers</v>
      </c>
    </row>
    <row r="2425" spans="1:11" x14ac:dyDescent="0.25">
      <c r="A2425" s="158" t="s">
        <v>930</v>
      </c>
      <c r="B2425" s="158" t="s">
        <v>931</v>
      </c>
      <c r="C2425" s="158" t="s">
        <v>56</v>
      </c>
      <c r="D2425" s="158" t="s">
        <v>57</v>
      </c>
      <c r="E2425" s="157">
        <v>0.33333000000000002</v>
      </c>
      <c r="F2425" s="158" t="s">
        <v>525</v>
      </c>
      <c r="G2425" s="159">
        <v>2781.09</v>
      </c>
      <c r="H2425" s="159">
        <v>0</v>
      </c>
      <c r="I2425" s="159">
        <v>1557.85</v>
      </c>
      <c r="J2425" s="159">
        <v>56</v>
      </c>
      <c r="K2425" t="str">
        <f>VLOOKUP($C2425,Lists!$C$3:$M$118,7,FALSE)</f>
        <v>Beers</v>
      </c>
    </row>
    <row r="2426" spans="1:11" x14ac:dyDescent="0.25">
      <c r="A2426" s="158" t="s">
        <v>930</v>
      </c>
      <c r="B2426" s="158" t="s">
        <v>931</v>
      </c>
      <c r="C2426" s="158" t="s">
        <v>18</v>
      </c>
      <c r="D2426" s="158" t="s">
        <v>19</v>
      </c>
      <c r="E2426" s="157">
        <v>0.15</v>
      </c>
      <c r="F2426" s="158" t="s">
        <v>525</v>
      </c>
      <c r="G2426" s="159">
        <v>1668.67</v>
      </c>
      <c r="H2426" s="159">
        <v>0</v>
      </c>
      <c r="I2426" s="159">
        <v>924.74</v>
      </c>
      <c r="J2426" s="159">
        <v>55.4</v>
      </c>
      <c r="K2426" t="str">
        <f>VLOOKUP($C2426,Lists!$C$3:$M$118,7,FALSE)</f>
        <v>Beers</v>
      </c>
    </row>
    <row r="2427" spans="1:11" x14ac:dyDescent="0.25">
      <c r="A2427" s="158" t="s">
        <v>930</v>
      </c>
      <c r="B2427" s="158" t="s">
        <v>931</v>
      </c>
      <c r="C2427" s="158" t="s">
        <v>20</v>
      </c>
      <c r="D2427" s="158" t="s">
        <v>21</v>
      </c>
      <c r="E2427" s="157">
        <v>3.1</v>
      </c>
      <c r="F2427" s="158" t="s">
        <v>525</v>
      </c>
      <c r="G2427" s="159">
        <v>13251.5</v>
      </c>
      <c r="H2427" s="159">
        <v>0</v>
      </c>
      <c r="I2427" s="159">
        <v>6137.91</v>
      </c>
      <c r="J2427" s="159">
        <v>46.3</v>
      </c>
      <c r="K2427" t="str">
        <f>VLOOKUP($C2427,Lists!$C$3:$M$118,7,FALSE)</f>
        <v>COKE_RGB</v>
      </c>
    </row>
    <row r="2428" spans="1:11" x14ac:dyDescent="0.25">
      <c r="A2428" s="158" t="s">
        <v>930</v>
      </c>
      <c r="B2428" s="158" t="s">
        <v>931</v>
      </c>
      <c r="C2428" s="158" t="s">
        <v>58</v>
      </c>
      <c r="D2428" s="158" t="s">
        <v>537</v>
      </c>
      <c r="E2428" s="157">
        <v>1.4166700000000001</v>
      </c>
      <c r="F2428" s="158" t="s">
        <v>525</v>
      </c>
      <c r="G2428" s="159">
        <v>3633.49</v>
      </c>
      <c r="H2428" s="159">
        <v>0</v>
      </c>
      <c r="I2428" s="159">
        <v>2104.8200000000002</v>
      </c>
      <c r="J2428" s="159">
        <v>57.9</v>
      </c>
      <c r="K2428" t="str">
        <f>VLOOKUP($C2428,Lists!$C$3:$M$118,7,FALSE)</f>
        <v>SOBO_PET</v>
      </c>
    </row>
    <row r="2429" spans="1:11" x14ac:dyDescent="0.25">
      <c r="A2429" s="158" t="s">
        <v>930</v>
      </c>
      <c r="B2429" s="158" t="s">
        <v>931</v>
      </c>
      <c r="C2429" s="158" t="s">
        <v>78</v>
      </c>
      <c r="D2429" s="158" t="s">
        <v>526</v>
      </c>
      <c r="E2429" s="157">
        <v>2</v>
      </c>
      <c r="F2429" s="158" t="s">
        <v>525</v>
      </c>
      <c r="G2429" s="159">
        <v>5129.62</v>
      </c>
      <c r="H2429" s="159">
        <v>0</v>
      </c>
      <c r="I2429" s="159">
        <v>2932.54</v>
      </c>
      <c r="J2429" s="159">
        <v>57.2</v>
      </c>
      <c r="K2429" t="str">
        <f>VLOOKUP($C2429,Lists!$C$3:$M$118,7,FALSE)</f>
        <v>SOBO_PET</v>
      </c>
    </row>
    <row r="2430" spans="1:11" x14ac:dyDescent="0.25">
      <c r="A2430" s="158" t="s">
        <v>930</v>
      </c>
      <c r="B2430" s="158" t="s">
        <v>931</v>
      </c>
      <c r="C2430" s="158" t="s">
        <v>43</v>
      </c>
      <c r="D2430" s="158" t="s">
        <v>44</v>
      </c>
      <c r="E2430" s="157">
        <v>0.75</v>
      </c>
      <c r="F2430" s="158" t="s">
        <v>525</v>
      </c>
      <c r="G2430" s="159">
        <v>6257.51</v>
      </c>
      <c r="H2430" s="159">
        <v>0</v>
      </c>
      <c r="I2430" s="159">
        <v>3324.72</v>
      </c>
      <c r="J2430" s="159">
        <v>53.1</v>
      </c>
      <c r="K2430" t="str">
        <f>VLOOKUP($C2430,Lists!$C$3:$M$118,7,FALSE)</f>
        <v>Beers</v>
      </c>
    </row>
    <row r="2431" spans="1:11" x14ac:dyDescent="0.25">
      <c r="A2431" s="158" t="s">
        <v>930</v>
      </c>
      <c r="B2431" s="158" t="s">
        <v>931</v>
      </c>
      <c r="C2431" s="158" t="s">
        <v>59</v>
      </c>
      <c r="D2431" s="158" t="s">
        <v>60</v>
      </c>
      <c r="E2431" s="157">
        <v>0.25</v>
      </c>
      <c r="F2431" s="158" t="s">
        <v>525</v>
      </c>
      <c r="G2431" s="159">
        <v>1068.67</v>
      </c>
      <c r="H2431" s="159">
        <v>0</v>
      </c>
      <c r="I2431" s="159">
        <v>482.06</v>
      </c>
      <c r="J2431" s="159">
        <v>45.1</v>
      </c>
      <c r="K2431" t="str">
        <f>VLOOKUP($C2431,Lists!$C$3:$M$118,7,FALSE)</f>
        <v>COKE_RGB</v>
      </c>
    </row>
    <row r="2432" spans="1:11" x14ac:dyDescent="0.25">
      <c r="A2432" s="158" t="s">
        <v>930</v>
      </c>
      <c r="B2432" s="158" t="s">
        <v>931</v>
      </c>
      <c r="C2432" s="158" t="s">
        <v>22</v>
      </c>
      <c r="D2432" s="158" t="s">
        <v>23</v>
      </c>
      <c r="E2432" s="157">
        <v>2.2999999999999998</v>
      </c>
      <c r="F2432" s="158" t="s">
        <v>525</v>
      </c>
      <c r="G2432" s="159">
        <v>9831.75</v>
      </c>
      <c r="H2432" s="159">
        <v>0</v>
      </c>
      <c r="I2432" s="159">
        <v>4395.76</v>
      </c>
      <c r="J2432" s="159">
        <v>44.7</v>
      </c>
      <c r="K2432" t="str">
        <f>VLOOKUP($C2432,Lists!$C$3:$M$118,7,FALSE)</f>
        <v>COKE_RGB</v>
      </c>
    </row>
    <row r="2433" spans="1:11" x14ac:dyDescent="0.25">
      <c r="A2433" s="158" t="s">
        <v>930</v>
      </c>
      <c r="B2433" s="158" t="s">
        <v>931</v>
      </c>
      <c r="C2433" s="158" t="s">
        <v>24</v>
      </c>
      <c r="D2433" s="158" t="s">
        <v>25</v>
      </c>
      <c r="E2433" s="157">
        <v>1.5</v>
      </c>
      <c r="F2433" s="158" t="s">
        <v>525</v>
      </c>
      <c r="G2433" s="159">
        <v>10429.19</v>
      </c>
      <c r="H2433" s="159">
        <v>0</v>
      </c>
      <c r="I2433" s="159">
        <v>5421.99</v>
      </c>
      <c r="J2433" s="159">
        <v>52</v>
      </c>
      <c r="K2433" t="str">
        <f>VLOOKUP($C2433,Lists!$C$3:$M$118,7,FALSE)</f>
        <v>Beers</v>
      </c>
    </row>
    <row r="2434" spans="1:11" x14ac:dyDescent="0.25">
      <c r="A2434" s="158" t="s">
        <v>930</v>
      </c>
      <c r="B2434" s="158" t="s">
        <v>931</v>
      </c>
      <c r="C2434" s="158" t="s">
        <v>29</v>
      </c>
      <c r="D2434" s="158" t="s">
        <v>30</v>
      </c>
      <c r="E2434" s="157">
        <v>0.50000999999999995</v>
      </c>
      <c r="F2434" s="158" t="s">
        <v>525</v>
      </c>
      <c r="G2434" s="159">
        <v>19647.96</v>
      </c>
      <c r="H2434" s="159">
        <v>0</v>
      </c>
      <c r="I2434" s="159">
        <v>6647.7</v>
      </c>
      <c r="J2434" s="159">
        <v>33.799999999999997</v>
      </c>
      <c r="K2434" t="str">
        <f>VLOOKUP($C2434,Lists!$C$3:$M$118,7,FALSE)</f>
        <v>Spirits</v>
      </c>
    </row>
    <row r="2435" spans="1:11" x14ac:dyDescent="0.25">
      <c r="A2435" s="158" t="s">
        <v>930</v>
      </c>
      <c r="B2435" s="158" t="s">
        <v>931</v>
      </c>
      <c r="C2435" s="158" t="s">
        <v>37</v>
      </c>
      <c r="D2435" s="158" t="s">
        <v>38</v>
      </c>
      <c r="E2435" s="157">
        <v>0.6</v>
      </c>
      <c r="F2435" s="158" t="s">
        <v>525</v>
      </c>
      <c r="G2435" s="159">
        <v>2137.34</v>
      </c>
      <c r="H2435" s="159">
        <v>0</v>
      </c>
      <c r="I2435" s="159">
        <v>1085.42</v>
      </c>
      <c r="J2435" s="159">
        <v>50.8</v>
      </c>
      <c r="K2435" t="str">
        <f>VLOOKUP($C2435,Lists!$C$3:$M$118,7,FALSE)</f>
        <v>SOBO_RGB</v>
      </c>
    </row>
    <row r="2436" spans="1:11" x14ac:dyDescent="0.25">
      <c r="A2436" s="158" t="s">
        <v>930</v>
      </c>
      <c r="B2436" s="158" t="s">
        <v>931</v>
      </c>
      <c r="C2436" s="158" t="s">
        <v>39</v>
      </c>
      <c r="D2436" s="158" t="s">
        <v>40</v>
      </c>
      <c r="E2436" s="157">
        <v>1.75</v>
      </c>
      <c r="F2436" s="158" t="s">
        <v>525</v>
      </c>
      <c r="G2436" s="159">
        <v>6233.9</v>
      </c>
      <c r="H2436" s="159">
        <v>0</v>
      </c>
      <c r="I2436" s="159">
        <v>3141.9</v>
      </c>
      <c r="J2436" s="159">
        <v>50.4</v>
      </c>
      <c r="K2436" t="str">
        <f>VLOOKUP($C2436,Lists!$C$3:$M$118,7,FALSE)</f>
        <v>SOBO_RGB</v>
      </c>
    </row>
    <row r="2437" spans="1:11" x14ac:dyDescent="0.25">
      <c r="A2437" s="158" t="s">
        <v>930</v>
      </c>
      <c r="B2437" s="158" t="s">
        <v>931</v>
      </c>
      <c r="C2437" s="158" t="s">
        <v>45</v>
      </c>
      <c r="D2437" s="158" t="s">
        <v>46</v>
      </c>
      <c r="E2437" s="157">
        <v>0.3</v>
      </c>
      <c r="F2437" s="158" t="s">
        <v>525</v>
      </c>
      <c r="G2437" s="159">
        <v>1282.4000000000001</v>
      </c>
      <c r="H2437" s="159">
        <v>0</v>
      </c>
      <c r="I2437" s="159">
        <v>679.83</v>
      </c>
      <c r="J2437" s="159">
        <v>53</v>
      </c>
      <c r="K2437" t="str">
        <f>VLOOKUP($C2437,Lists!$C$3:$M$118,7,FALSE)</f>
        <v>SOBO_RGB</v>
      </c>
    </row>
    <row r="2438" spans="1:11" x14ac:dyDescent="0.25">
      <c r="A2438" s="158" t="s">
        <v>930</v>
      </c>
      <c r="B2438" s="158" t="s">
        <v>931</v>
      </c>
      <c r="C2438" s="158" t="s">
        <v>47</v>
      </c>
      <c r="D2438" s="158" t="s">
        <v>48</v>
      </c>
      <c r="E2438" s="157">
        <v>0.3</v>
      </c>
      <c r="F2438" s="158" t="s">
        <v>525</v>
      </c>
      <c r="G2438" s="159">
        <v>1282.4000000000001</v>
      </c>
      <c r="H2438" s="159">
        <v>0</v>
      </c>
      <c r="I2438" s="159">
        <v>613.19000000000005</v>
      </c>
      <c r="J2438" s="159">
        <v>47.8</v>
      </c>
      <c r="K2438" t="str">
        <f>VLOOKUP($C2438,Lists!$C$3:$M$118,7,FALSE)</f>
        <v>COKE_RGB</v>
      </c>
    </row>
    <row r="2439" spans="1:11" x14ac:dyDescent="0.25">
      <c r="A2439" s="158" t="s">
        <v>930</v>
      </c>
      <c r="B2439" s="158" t="s">
        <v>931</v>
      </c>
      <c r="C2439" s="158" t="s">
        <v>51</v>
      </c>
      <c r="D2439" s="158" t="s">
        <v>52</v>
      </c>
      <c r="E2439" s="157">
        <v>2</v>
      </c>
      <c r="F2439" s="158" t="s">
        <v>525</v>
      </c>
      <c r="G2439" s="159">
        <v>21458.6</v>
      </c>
      <c r="H2439" s="159">
        <v>0</v>
      </c>
      <c r="I2439" s="159">
        <v>7737.9</v>
      </c>
      <c r="J2439" s="159">
        <v>36.1</v>
      </c>
      <c r="K2439" t="str">
        <f>VLOOKUP($C2439,Lists!$C$3:$M$118,7,FALSE)</f>
        <v>Squash</v>
      </c>
    </row>
    <row r="2440" spans="1:11" x14ac:dyDescent="0.25">
      <c r="A2440" s="158" t="s">
        <v>932</v>
      </c>
      <c r="B2440" s="158" t="s">
        <v>933</v>
      </c>
      <c r="C2440" s="158" t="s">
        <v>12</v>
      </c>
      <c r="D2440" s="158" t="s">
        <v>13</v>
      </c>
      <c r="E2440" s="157">
        <v>0.95</v>
      </c>
      <c r="F2440" s="158" t="s">
        <v>525</v>
      </c>
      <c r="G2440" s="159">
        <v>6605.16</v>
      </c>
      <c r="H2440" s="159">
        <v>0</v>
      </c>
      <c r="I2440" s="159">
        <v>3162.12</v>
      </c>
      <c r="J2440" s="159">
        <v>47.9</v>
      </c>
      <c r="K2440" t="str">
        <f>VLOOKUP($C2440,Lists!$C$3:$M$118,7,FALSE)</f>
        <v>Beers</v>
      </c>
    </row>
    <row r="2441" spans="1:11" x14ac:dyDescent="0.25">
      <c r="A2441" s="158" t="s">
        <v>932</v>
      </c>
      <c r="B2441" s="158" t="s">
        <v>933</v>
      </c>
      <c r="C2441" s="158" t="s">
        <v>14</v>
      </c>
      <c r="D2441" s="158" t="s">
        <v>15</v>
      </c>
      <c r="E2441" s="157">
        <v>2</v>
      </c>
      <c r="F2441" s="158" t="s">
        <v>525</v>
      </c>
      <c r="G2441" s="159">
        <v>16686.71</v>
      </c>
      <c r="H2441" s="159">
        <v>0</v>
      </c>
      <c r="I2441" s="159">
        <v>8865.9500000000007</v>
      </c>
      <c r="J2441" s="159">
        <v>53.1</v>
      </c>
      <c r="K2441" t="str">
        <f>VLOOKUP($C2441,Lists!$C$3:$M$118,7,FALSE)</f>
        <v>Beers</v>
      </c>
    </row>
    <row r="2442" spans="1:11" x14ac:dyDescent="0.25">
      <c r="A2442" s="158" t="s">
        <v>932</v>
      </c>
      <c r="B2442" s="158" t="s">
        <v>933</v>
      </c>
      <c r="C2442" s="158" t="s">
        <v>16</v>
      </c>
      <c r="D2442" s="158" t="s">
        <v>17</v>
      </c>
      <c r="E2442" s="157">
        <v>3.1</v>
      </c>
      <c r="F2442" s="158" t="s">
        <v>525</v>
      </c>
      <c r="G2442" s="159">
        <v>25864.39</v>
      </c>
      <c r="H2442" s="159">
        <v>0</v>
      </c>
      <c r="I2442" s="159">
        <v>13742.2</v>
      </c>
      <c r="J2442" s="159">
        <v>53.1</v>
      </c>
      <c r="K2442" t="str">
        <f>VLOOKUP($C2442,Lists!$C$3:$M$118,7,FALSE)</f>
        <v>Beers</v>
      </c>
    </row>
    <row r="2443" spans="1:11" x14ac:dyDescent="0.25">
      <c r="A2443" s="158" t="s">
        <v>932</v>
      </c>
      <c r="B2443" s="158" t="s">
        <v>933</v>
      </c>
      <c r="C2443" s="158" t="s">
        <v>20</v>
      </c>
      <c r="D2443" s="158" t="s">
        <v>21</v>
      </c>
      <c r="E2443" s="157">
        <v>1.85</v>
      </c>
      <c r="F2443" s="158" t="s">
        <v>525</v>
      </c>
      <c r="G2443" s="159">
        <v>7908.15</v>
      </c>
      <c r="H2443" s="159">
        <v>0</v>
      </c>
      <c r="I2443" s="159">
        <v>3662.93</v>
      </c>
      <c r="J2443" s="159">
        <v>46.3</v>
      </c>
      <c r="K2443" t="str">
        <f>VLOOKUP($C2443,Lists!$C$3:$M$118,7,FALSE)</f>
        <v>COKE_RGB</v>
      </c>
    </row>
    <row r="2444" spans="1:11" x14ac:dyDescent="0.25">
      <c r="A2444" s="158" t="s">
        <v>932</v>
      </c>
      <c r="B2444" s="158" t="s">
        <v>933</v>
      </c>
      <c r="C2444" s="158" t="s">
        <v>78</v>
      </c>
      <c r="D2444" s="158" t="s">
        <v>526</v>
      </c>
      <c r="E2444" s="157">
        <v>1</v>
      </c>
      <c r="F2444" s="158" t="s">
        <v>525</v>
      </c>
      <c r="G2444" s="159">
        <v>2564.81</v>
      </c>
      <c r="H2444" s="159">
        <v>0</v>
      </c>
      <c r="I2444" s="159">
        <v>1466.27</v>
      </c>
      <c r="J2444" s="159">
        <v>57.2</v>
      </c>
      <c r="K2444" t="str">
        <f>VLOOKUP($C2444,Lists!$C$3:$M$118,7,FALSE)</f>
        <v>SOBO_PET</v>
      </c>
    </row>
    <row r="2445" spans="1:11" x14ac:dyDescent="0.25">
      <c r="A2445" s="158" t="s">
        <v>932</v>
      </c>
      <c r="B2445" s="158" t="s">
        <v>933</v>
      </c>
      <c r="C2445" s="158" t="s">
        <v>43</v>
      </c>
      <c r="D2445" s="158" t="s">
        <v>44</v>
      </c>
      <c r="E2445" s="157">
        <v>0.05</v>
      </c>
      <c r="F2445" s="158" t="s">
        <v>525</v>
      </c>
      <c r="G2445" s="159">
        <v>417.17</v>
      </c>
      <c r="H2445" s="159">
        <v>0</v>
      </c>
      <c r="I2445" s="159">
        <v>221.65</v>
      </c>
      <c r="J2445" s="159">
        <v>53.1</v>
      </c>
      <c r="K2445" t="str">
        <f>VLOOKUP($C2445,Lists!$C$3:$M$118,7,FALSE)</f>
        <v>Beers</v>
      </c>
    </row>
    <row r="2446" spans="1:11" x14ac:dyDescent="0.25">
      <c r="A2446" s="158" t="s">
        <v>932</v>
      </c>
      <c r="B2446" s="158" t="s">
        <v>933</v>
      </c>
      <c r="C2446" s="158" t="s">
        <v>59</v>
      </c>
      <c r="D2446" s="158" t="s">
        <v>60</v>
      </c>
      <c r="E2446" s="157">
        <v>0.05</v>
      </c>
      <c r="F2446" s="158" t="s">
        <v>525</v>
      </c>
      <c r="G2446" s="159">
        <v>213.73</v>
      </c>
      <c r="H2446" s="159">
        <v>0</v>
      </c>
      <c r="I2446" s="159">
        <v>96.41</v>
      </c>
      <c r="J2446" s="159">
        <v>45.1</v>
      </c>
      <c r="K2446" t="str">
        <f>VLOOKUP($C2446,Lists!$C$3:$M$118,7,FALSE)</f>
        <v>COKE_RGB</v>
      </c>
    </row>
    <row r="2447" spans="1:11" x14ac:dyDescent="0.25">
      <c r="A2447" s="158" t="s">
        <v>932</v>
      </c>
      <c r="B2447" s="158" t="s">
        <v>933</v>
      </c>
      <c r="C2447" s="158" t="s">
        <v>22</v>
      </c>
      <c r="D2447" s="158" t="s">
        <v>23</v>
      </c>
      <c r="E2447" s="157">
        <v>0.3</v>
      </c>
      <c r="F2447" s="158" t="s">
        <v>525</v>
      </c>
      <c r="G2447" s="159">
        <v>1282.4000000000001</v>
      </c>
      <c r="H2447" s="159">
        <v>0</v>
      </c>
      <c r="I2447" s="159">
        <v>573.36</v>
      </c>
      <c r="J2447" s="159">
        <v>44.7</v>
      </c>
      <c r="K2447" t="str">
        <f>VLOOKUP($C2447,Lists!$C$3:$M$118,7,FALSE)</f>
        <v>COKE_RGB</v>
      </c>
    </row>
    <row r="2448" spans="1:11" x14ac:dyDescent="0.25">
      <c r="A2448" s="158" t="s">
        <v>932</v>
      </c>
      <c r="B2448" s="158" t="s">
        <v>933</v>
      </c>
      <c r="C2448" s="158" t="s">
        <v>37</v>
      </c>
      <c r="D2448" s="158" t="s">
        <v>38</v>
      </c>
      <c r="E2448" s="157">
        <v>0.7</v>
      </c>
      <c r="F2448" s="158" t="s">
        <v>525</v>
      </c>
      <c r="G2448" s="159">
        <v>2493.56</v>
      </c>
      <c r="H2448" s="159">
        <v>0</v>
      </c>
      <c r="I2448" s="159">
        <v>1266.32</v>
      </c>
      <c r="J2448" s="159">
        <v>50.8</v>
      </c>
      <c r="K2448" t="str">
        <f>VLOOKUP($C2448,Lists!$C$3:$M$118,7,FALSE)</f>
        <v>SOBO_RGB</v>
      </c>
    </row>
    <row r="2449" spans="1:11" x14ac:dyDescent="0.25">
      <c r="A2449" s="158" t="s">
        <v>932</v>
      </c>
      <c r="B2449" s="158" t="s">
        <v>933</v>
      </c>
      <c r="C2449" s="158" t="s">
        <v>39</v>
      </c>
      <c r="D2449" s="158" t="s">
        <v>40</v>
      </c>
      <c r="E2449" s="157">
        <v>0.35</v>
      </c>
      <c r="F2449" s="158" t="s">
        <v>525</v>
      </c>
      <c r="G2449" s="159">
        <v>1246.78</v>
      </c>
      <c r="H2449" s="159">
        <v>0</v>
      </c>
      <c r="I2449" s="159">
        <v>628.38</v>
      </c>
      <c r="J2449" s="159">
        <v>50.4</v>
      </c>
      <c r="K2449" t="str">
        <f>VLOOKUP($C2449,Lists!$C$3:$M$118,7,FALSE)</f>
        <v>SOBO_RGB</v>
      </c>
    </row>
    <row r="2450" spans="1:11" x14ac:dyDescent="0.25">
      <c r="A2450" s="158" t="s">
        <v>932</v>
      </c>
      <c r="B2450" s="158" t="s">
        <v>933</v>
      </c>
      <c r="C2450" s="158" t="s">
        <v>51</v>
      </c>
      <c r="D2450" s="158" t="s">
        <v>52</v>
      </c>
      <c r="E2450" s="157">
        <v>1</v>
      </c>
      <c r="F2450" s="158" t="s">
        <v>525</v>
      </c>
      <c r="G2450" s="159">
        <v>10729.3</v>
      </c>
      <c r="H2450" s="159">
        <v>0</v>
      </c>
      <c r="I2450" s="159">
        <v>3868.95</v>
      </c>
      <c r="J2450" s="159">
        <v>36.1</v>
      </c>
      <c r="K2450" t="str">
        <f>VLOOKUP($C2450,Lists!$C$3:$M$118,7,FALSE)</f>
        <v>Squash</v>
      </c>
    </row>
    <row r="2451" spans="1:11" x14ac:dyDescent="0.25">
      <c r="A2451" s="158" t="s">
        <v>932</v>
      </c>
      <c r="B2451" s="158" t="s">
        <v>933</v>
      </c>
      <c r="C2451" s="158" t="s">
        <v>26</v>
      </c>
      <c r="D2451" s="158" t="s">
        <v>27</v>
      </c>
      <c r="E2451" s="157">
        <v>1</v>
      </c>
      <c r="F2451" s="158" t="s">
        <v>525</v>
      </c>
      <c r="G2451" s="159">
        <v>2335.17</v>
      </c>
      <c r="H2451" s="159">
        <v>0</v>
      </c>
      <c r="I2451" s="159">
        <v>1114.93</v>
      </c>
      <c r="J2451" s="159">
        <v>47.7</v>
      </c>
      <c r="K2451" t="str">
        <f>VLOOKUP($C2451,Lists!$C$3:$M$118,7,FALSE)</f>
        <v>Water</v>
      </c>
    </row>
    <row r="2452" spans="1:11" x14ac:dyDescent="0.25">
      <c r="A2452" s="158" t="s">
        <v>934</v>
      </c>
      <c r="B2452" s="158" t="s">
        <v>935</v>
      </c>
      <c r="C2452" s="158" t="s">
        <v>12</v>
      </c>
      <c r="D2452" s="158" t="s">
        <v>13</v>
      </c>
      <c r="E2452" s="157">
        <v>247</v>
      </c>
      <c r="F2452" s="158" t="s">
        <v>525</v>
      </c>
      <c r="G2452" s="159">
        <v>1023074</v>
      </c>
      <c r="H2452" s="159">
        <v>0</v>
      </c>
      <c r="I2452" s="159">
        <v>127884.25</v>
      </c>
      <c r="J2452" s="159">
        <v>12.5</v>
      </c>
      <c r="K2452" t="str">
        <f>VLOOKUP($C2452,Lists!$C$3:$M$118,7,FALSE)</f>
        <v>Beers</v>
      </c>
    </row>
    <row r="2453" spans="1:11" x14ac:dyDescent="0.25">
      <c r="A2453" s="158" t="s">
        <v>934</v>
      </c>
      <c r="B2453" s="158" t="s">
        <v>935</v>
      </c>
      <c r="C2453" s="158" t="s">
        <v>16</v>
      </c>
      <c r="D2453" s="158" t="s">
        <v>17</v>
      </c>
      <c r="E2453" s="157">
        <v>16</v>
      </c>
      <c r="F2453" s="158" t="s">
        <v>525</v>
      </c>
      <c r="G2453" s="159">
        <v>71504</v>
      </c>
      <c r="H2453" s="159">
        <v>0</v>
      </c>
      <c r="I2453" s="159">
        <v>8937.92</v>
      </c>
      <c r="J2453" s="159">
        <v>12.5</v>
      </c>
      <c r="K2453" t="str">
        <f>VLOOKUP($C2453,Lists!$C$3:$M$118,7,FALSE)</f>
        <v>Beers</v>
      </c>
    </row>
    <row r="2454" spans="1:11" x14ac:dyDescent="0.25">
      <c r="A2454" s="158" t="s">
        <v>934</v>
      </c>
      <c r="B2454" s="158" t="s">
        <v>935</v>
      </c>
      <c r="C2454" s="158" t="s">
        <v>282</v>
      </c>
      <c r="D2454" s="158" t="s">
        <v>775</v>
      </c>
      <c r="E2454" s="157">
        <v>43</v>
      </c>
      <c r="F2454" s="158" t="s">
        <v>525</v>
      </c>
      <c r="G2454" s="159">
        <v>52538.69</v>
      </c>
      <c r="H2454" s="159">
        <v>0</v>
      </c>
      <c r="I2454" s="159">
        <v>4776.4399999999996</v>
      </c>
      <c r="J2454" s="159">
        <v>9.1</v>
      </c>
      <c r="K2454" t="str">
        <f>VLOOKUP($C2454,Lists!$C$3:$M$118,7,FALSE)</f>
        <v>SOBO_PET</v>
      </c>
    </row>
    <row r="2455" spans="1:11" x14ac:dyDescent="0.25">
      <c r="A2455" s="158" t="s">
        <v>936</v>
      </c>
      <c r="B2455" s="158" t="s">
        <v>937</v>
      </c>
      <c r="C2455" s="158" t="s">
        <v>12</v>
      </c>
      <c r="D2455" s="158" t="s">
        <v>13</v>
      </c>
      <c r="E2455" s="157">
        <v>50</v>
      </c>
      <c r="F2455" s="158" t="s">
        <v>525</v>
      </c>
      <c r="G2455" s="159">
        <v>207100</v>
      </c>
      <c r="H2455" s="159">
        <v>0</v>
      </c>
      <c r="I2455" s="159">
        <v>25887.5</v>
      </c>
      <c r="J2455" s="159">
        <v>12.5</v>
      </c>
      <c r="K2455" t="str">
        <f>VLOOKUP($C2455,Lists!$C$3:$M$118,7,FALSE)</f>
        <v>Beers</v>
      </c>
    </row>
    <row r="2456" spans="1:11" x14ac:dyDescent="0.25">
      <c r="A2456" s="158" t="s">
        <v>936</v>
      </c>
      <c r="B2456" s="158" t="s">
        <v>937</v>
      </c>
      <c r="C2456" s="158" t="s">
        <v>362</v>
      </c>
      <c r="D2456" s="158" t="s">
        <v>363</v>
      </c>
      <c r="E2456" s="157">
        <v>10</v>
      </c>
      <c r="F2456" s="158" t="s">
        <v>525</v>
      </c>
      <c r="G2456" s="159">
        <v>44385.7</v>
      </c>
      <c r="H2456" s="159">
        <v>0</v>
      </c>
      <c r="I2456" s="159">
        <v>4035.1</v>
      </c>
      <c r="J2456" s="159">
        <v>9.1</v>
      </c>
      <c r="K2456" t="str">
        <f>VLOOKUP($C2456,Lists!$C$3:$M$118,7,FALSE)</f>
        <v>Squash</v>
      </c>
    </row>
    <row r="2457" spans="1:11" x14ac:dyDescent="0.25">
      <c r="A2457" s="158" t="s">
        <v>936</v>
      </c>
      <c r="B2457" s="158" t="s">
        <v>937</v>
      </c>
      <c r="C2457" s="158" t="s">
        <v>26</v>
      </c>
      <c r="D2457" s="158" t="s">
        <v>27</v>
      </c>
      <c r="E2457" s="157">
        <v>1</v>
      </c>
      <c r="F2457" s="158" t="s">
        <v>525</v>
      </c>
      <c r="G2457" s="159">
        <v>1281.25</v>
      </c>
      <c r="H2457" s="159">
        <v>0</v>
      </c>
      <c r="I2457" s="159">
        <v>61.01</v>
      </c>
      <c r="J2457" s="159">
        <v>4.8</v>
      </c>
      <c r="K2457" t="str">
        <f>VLOOKUP($C2457,Lists!$C$3:$M$118,7,FALSE)</f>
        <v>Water</v>
      </c>
    </row>
    <row r="2458" spans="1:11" x14ac:dyDescent="0.25">
      <c r="A2458" s="158" t="s">
        <v>938</v>
      </c>
      <c r="B2458" s="158" t="s">
        <v>939</v>
      </c>
      <c r="C2458" s="158" t="s">
        <v>12</v>
      </c>
      <c r="D2458" s="158" t="s">
        <v>13</v>
      </c>
      <c r="E2458" s="157">
        <v>739</v>
      </c>
      <c r="F2458" s="158" t="s">
        <v>525</v>
      </c>
      <c r="G2458" s="159">
        <v>3060938</v>
      </c>
      <c r="H2458" s="159">
        <v>0</v>
      </c>
      <c r="I2458" s="159">
        <v>382617.25</v>
      </c>
      <c r="J2458" s="159">
        <v>12.5</v>
      </c>
      <c r="K2458" t="str">
        <f>VLOOKUP($C2458,Lists!$C$3:$M$118,7,FALSE)</f>
        <v>Beers</v>
      </c>
    </row>
    <row r="2459" spans="1:11" x14ac:dyDescent="0.25">
      <c r="A2459" s="158" t="s">
        <v>938</v>
      </c>
      <c r="B2459" s="158" t="s">
        <v>939</v>
      </c>
      <c r="C2459" s="158" t="s">
        <v>14</v>
      </c>
      <c r="D2459" s="158" t="s">
        <v>15</v>
      </c>
      <c r="E2459" s="157">
        <v>11</v>
      </c>
      <c r="F2459" s="158" t="s">
        <v>525</v>
      </c>
      <c r="G2459" s="159">
        <v>49159</v>
      </c>
      <c r="H2459" s="159">
        <v>0</v>
      </c>
      <c r="I2459" s="159">
        <v>6144.82</v>
      </c>
      <c r="J2459" s="159">
        <v>12.5</v>
      </c>
      <c r="K2459" t="str">
        <f>VLOOKUP($C2459,Lists!$C$3:$M$118,7,FALSE)</f>
        <v>Beers</v>
      </c>
    </row>
    <row r="2460" spans="1:11" x14ac:dyDescent="0.25">
      <c r="A2460" s="158" t="s">
        <v>938</v>
      </c>
      <c r="B2460" s="158" t="s">
        <v>939</v>
      </c>
      <c r="C2460" s="158" t="s">
        <v>16</v>
      </c>
      <c r="D2460" s="158" t="s">
        <v>17</v>
      </c>
      <c r="E2460" s="157">
        <v>8</v>
      </c>
      <c r="F2460" s="158" t="s">
        <v>525</v>
      </c>
      <c r="G2460" s="159">
        <v>35752</v>
      </c>
      <c r="H2460" s="159">
        <v>0</v>
      </c>
      <c r="I2460" s="159">
        <v>4468.96</v>
      </c>
      <c r="J2460" s="159">
        <v>12.5</v>
      </c>
      <c r="K2460" t="str">
        <f>VLOOKUP($C2460,Lists!$C$3:$M$118,7,FALSE)</f>
        <v>Beers</v>
      </c>
    </row>
    <row r="2461" spans="1:11" x14ac:dyDescent="0.25">
      <c r="A2461" s="158" t="s">
        <v>938</v>
      </c>
      <c r="B2461" s="158" t="s">
        <v>939</v>
      </c>
      <c r="C2461" s="158" t="s">
        <v>18</v>
      </c>
      <c r="D2461" s="158" t="s">
        <v>19</v>
      </c>
      <c r="E2461" s="157">
        <v>4</v>
      </c>
      <c r="F2461" s="158" t="s">
        <v>525</v>
      </c>
      <c r="G2461" s="159">
        <v>22672</v>
      </c>
      <c r="H2461" s="159">
        <v>0</v>
      </c>
      <c r="I2461" s="159">
        <v>2834</v>
      </c>
      <c r="J2461" s="159">
        <v>12.5</v>
      </c>
      <c r="K2461" t="str">
        <f>VLOOKUP($C2461,Lists!$C$3:$M$118,7,FALSE)</f>
        <v>Beers</v>
      </c>
    </row>
    <row r="2462" spans="1:11" x14ac:dyDescent="0.25">
      <c r="A2462" s="158" t="s">
        <v>938</v>
      </c>
      <c r="B2462" s="158" t="s">
        <v>939</v>
      </c>
      <c r="C2462" s="158" t="s">
        <v>20</v>
      </c>
      <c r="D2462" s="158" t="s">
        <v>21</v>
      </c>
      <c r="E2462" s="157">
        <v>3</v>
      </c>
      <c r="F2462" s="158" t="s">
        <v>525</v>
      </c>
      <c r="G2462" s="159">
        <v>7572.51</v>
      </c>
      <c r="H2462" s="159">
        <v>0</v>
      </c>
      <c r="I2462" s="159">
        <v>688.41</v>
      </c>
      <c r="J2462" s="159">
        <v>9.1</v>
      </c>
      <c r="K2462" t="str">
        <f>VLOOKUP($C2462,Lists!$C$3:$M$118,7,FALSE)</f>
        <v>COKE_RGB</v>
      </c>
    </row>
    <row r="2463" spans="1:11" x14ac:dyDescent="0.25">
      <c r="A2463" s="158" t="s">
        <v>938</v>
      </c>
      <c r="B2463" s="158" t="s">
        <v>939</v>
      </c>
      <c r="C2463" s="158" t="s">
        <v>28</v>
      </c>
      <c r="D2463" s="158" t="s">
        <v>530</v>
      </c>
      <c r="E2463" s="157">
        <v>2</v>
      </c>
      <c r="F2463" s="158" t="s">
        <v>525</v>
      </c>
      <c r="G2463" s="159">
        <v>3077.92</v>
      </c>
      <c r="H2463" s="159">
        <v>0</v>
      </c>
      <c r="I2463" s="159">
        <v>279.82</v>
      </c>
      <c r="J2463" s="159">
        <v>9.1</v>
      </c>
      <c r="K2463" t="str">
        <f>VLOOKUP($C2463,Lists!$C$3:$M$118,7,FALSE)</f>
        <v>COKE_PET</v>
      </c>
    </row>
    <row r="2464" spans="1:11" x14ac:dyDescent="0.25">
      <c r="A2464" s="158" t="s">
        <v>938</v>
      </c>
      <c r="B2464" s="158" t="s">
        <v>939</v>
      </c>
      <c r="C2464" s="158" t="s">
        <v>78</v>
      </c>
      <c r="D2464" s="158" t="s">
        <v>526</v>
      </c>
      <c r="E2464" s="157">
        <v>3</v>
      </c>
      <c r="F2464" s="158" t="s">
        <v>525</v>
      </c>
      <c r="G2464" s="159">
        <v>3625.17</v>
      </c>
      <c r="H2464" s="159">
        <v>0</v>
      </c>
      <c r="I2464" s="159">
        <v>329.55</v>
      </c>
      <c r="J2464" s="159">
        <v>9.1</v>
      </c>
      <c r="K2464" t="str">
        <f>VLOOKUP($C2464,Lists!$C$3:$M$118,7,FALSE)</f>
        <v>SOBO_PET</v>
      </c>
    </row>
    <row r="2465" spans="1:11" x14ac:dyDescent="0.25">
      <c r="A2465" s="158" t="s">
        <v>938</v>
      </c>
      <c r="B2465" s="158" t="s">
        <v>939</v>
      </c>
      <c r="C2465" s="158" t="s">
        <v>43</v>
      </c>
      <c r="D2465" s="158" t="s">
        <v>44</v>
      </c>
      <c r="E2465" s="157">
        <v>1</v>
      </c>
      <c r="F2465" s="158" t="s">
        <v>525</v>
      </c>
      <c r="G2465" s="159">
        <v>4469</v>
      </c>
      <c r="H2465" s="159">
        <v>0</v>
      </c>
      <c r="I2465" s="159">
        <v>558.62</v>
      </c>
      <c r="J2465" s="159">
        <v>12.5</v>
      </c>
      <c r="K2465" t="str">
        <f>VLOOKUP($C2465,Lists!$C$3:$M$118,7,FALSE)</f>
        <v>Beers</v>
      </c>
    </row>
    <row r="2466" spans="1:11" x14ac:dyDescent="0.25">
      <c r="A2466" s="158" t="s">
        <v>938</v>
      </c>
      <c r="B2466" s="158" t="s">
        <v>939</v>
      </c>
      <c r="C2466" s="158" t="s">
        <v>22</v>
      </c>
      <c r="D2466" s="158" t="s">
        <v>23</v>
      </c>
      <c r="E2466" s="157">
        <v>3</v>
      </c>
      <c r="F2466" s="158" t="s">
        <v>525</v>
      </c>
      <c r="G2466" s="159">
        <v>7799.46</v>
      </c>
      <c r="H2466" s="159">
        <v>0</v>
      </c>
      <c r="I2466" s="159">
        <v>709.05</v>
      </c>
      <c r="J2466" s="159">
        <v>9.1</v>
      </c>
      <c r="K2466" t="str">
        <f>VLOOKUP($C2466,Lists!$C$3:$M$118,7,FALSE)</f>
        <v>COKE_RGB</v>
      </c>
    </row>
    <row r="2467" spans="1:11" x14ac:dyDescent="0.25">
      <c r="A2467" s="158" t="s">
        <v>938</v>
      </c>
      <c r="B2467" s="158" t="s">
        <v>939</v>
      </c>
      <c r="C2467" s="158" t="s">
        <v>67</v>
      </c>
      <c r="D2467" s="158" t="s">
        <v>533</v>
      </c>
      <c r="E2467" s="157">
        <v>3</v>
      </c>
      <c r="F2467" s="158" t="s">
        <v>525</v>
      </c>
      <c r="G2467" s="159">
        <v>4733.13</v>
      </c>
      <c r="H2467" s="159">
        <v>0</v>
      </c>
      <c r="I2467" s="159">
        <v>430.29</v>
      </c>
      <c r="J2467" s="159">
        <v>9.1</v>
      </c>
      <c r="K2467" t="str">
        <f>VLOOKUP($C2467,Lists!$C$3:$M$118,7,FALSE)</f>
        <v>COKE_PET</v>
      </c>
    </row>
    <row r="2468" spans="1:11" x14ac:dyDescent="0.25">
      <c r="A2468" s="158" t="s">
        <v>938</v>
      </c>
      <c r="B2468" s="158" t="s">
        <v>939</v>
      </c>
      <c r="C2468" s="158" t="s">
        <v>261</v>
      </c>
      <c r="D2468" s="158" t="s">
        <v>538</v>
      </c>
      <c r="E2468" s="157">
        <v>1</v>
      </c>
      <c r="F2468" s="158" t="s">
        <v>525</v>
      </c>
      <c r="G2468" s="159">
        <v>2599.8200000000002</v>
      </c>
      <c r="H2468" s="159">
        <v>0</v>
      </c>
      <c r="I2468" s="159">
        <v>236.35</v>
      </c>
      <c r="J2468" s="159">
        <v>9.1</v>
      </c>
      <c r="K2468" t="str">
        <f>VLOOKUP($C2468,Lists!$C$3:$M$118,7,FALSE)</f>
        <v>COKE_RGB</v>
      </c>
    </row>
    <row r="2469" spans="1:11" x14ac:dyDescent="0.25">
      <c r="A2469" s="158" t="s">
        <v>938</v>
      </c>
      <c r="B2469" s="158" t="s">
        <v>939</v>
      </c>
      <c r="C2469" s="158" t="s">
        <v>29</v>
      </c>
      <c r="D2469" s="158" t="s">
        <v>30</v>
      </c>
      <c r="E2469" s="157">
        <v>1</v>
      </c>
      <c r="F2469" s="158" t="s">
        <v>525</v>
      </c>
      <c r="G2469" s="159">
        <v>26000</v>
      </c>
      <c r="H2469" s="159">
        <v>0</v>
      </c>
      <c r="I2469" s="159">
        <v>0</v>
      </c>
      <c r="J2469" s="159">
        <v>0</v>
      </c>
      <c r="K2469" t="str">
        <f>VLOOKUP($C2469,Lists!$C$3:$M$118,7,FALSE)</f>
        <v>Spirits</v>
      </c>
    </row>
    <row r="2470" spans="1:11" x14ac:dyDescent="0.25">
      <c r="A2470" s="158" t="s">
        <v>938</v>
      </c>
      <c r="B2470" s="158" t="s">
        <v>939</v>
      </c>
      <c r="C2470" s="158" t="s">
        <v>31</v>
      </c>
      <c r="D2470" s="158" t="s">
        <v>32</v>
      </c>
      <c r="E2470" s="157">
        <v>1</v>
      </c>
      <c r="F2470" s="158" t="s">
        <v>525</v>
      </c>
      <c r="G2470" s="159">
        <v>24000</v>
      </c>
      <c r="H2470" s="159">
        <v>0</v>
      </c>
      <c r="I2470" s="159">
        <v>0</v>
      </c>
      <c r="J2470" s="159">
        <v>0</v>
      </c>
      <c r="K2470" t="str">
        <f>VLOOKUP($C2470,Lists!$C$3:$M$118,7,FALSE)</f>
        <v>Spirits</v>
      </c>
    </row>
    <row r="2471" spans="1:11" x14ac:dyDescent="0.25">
      <c r="A2471" s="158" t="s">
        <v>938</v>
      </c>
      <c r="B2471" s="158" t="s">
        <v>939</v>
      </c>
      <c r="C2471" s="158" t="s">
        <v>33</v>
      </c>
      <c r="D2471" s="158" t="s">
        <v>34</v>
      </c>
      <c r="E2471" s="157">
        <v>1</v>
      </c>
      <c r="F2471" s="158" t="s">
        <v>525</v>
      </c>
      <c r="G2471" s="159">
        <v>45000</v>
      </c>
      <c r="H2471" s="159">
        <v>0</v>
      </c>
      <c r="I2471" s="159">
        <v>0</v>
      </c>
      <c r="J2471" s="159">
        <v>0</v>
      </c>
      <c r="K2471" t="str">
        <f>VLOOKUP($C2471,Lists!$C$3:$M$118,7,FALSE)</f>
        <v>Spirits</v>
      </c>
    </row>
    <row r="2472" spans="1:11" x14ac:dyDescent="0.25">
      <c r="A2472" s="158" t="s">
        <v>938</v>
      </c>
      <c r="B2472" s="158" t="s">
        <v>939</v>
      </c>
      <c r="C2472" s="158" t="s">
        <v>39</v>
      </c>
      <c r="D2472" s="158" t="s">
        <v>40</v>
      </c>
      <c r="E2472" s="157">
        <v>1</v>
      </c>
      <c r="F2472" s="158" t="s">
        <v>525</v>
      </c>
      <c r="G2472" s="159">
        <v>1943.54</v>
      </c>
      <c r="H2472" s="159">
        <v>0</v>
      </c>
      <c r="I2472" s="159">
        <v>176.69</v>
      </c>
      <c r="J2472" s="159">
        <v>9.1</v>
      </c>
      <c r="K2472" t="str">
        <f>VLOOKUP($C2472,Lists!$C$3:$M$118,7,FALSE)</f>
        <v>SOBO_RGB</v>
      </c>
    </row>
    <row r="2473" spans="1:11" x14ac:dyDescent="0.25">
      <c r="A2473" s="158" t="s">
        <v>938</v>
      </c>
      <c r="B2473" s="158" t="s">
        <v>939</v>
      </c>
      <c r="C2473" s="158" t="s">
        <v>88</v>
      </c>
      <c r="D2473" s="158" t="s">
        <v>527</v>
      </c>
      <c r="E2473" s="157">
        <v>3</v>
      </c>
      <c r="F2473" s="158" t="s">
        <v>525</v>
      </c>
      <c r="G2473" s="159">
        <v>3850.11</v>
      </c>
      <c r="H2473" s="159">
        <v>0</v>
      </c>
      <c r="I2473" s="159">
        <v>350.01</v>
      </c>
      <c r="J2473" s="159">
        <v>9.1</v>
      </c>
      <c r="K2473" t="str">
        <f>VLOOKUP($C2473,Lists!$C$3:$M$118,7,FALSE)</f>
        <v>SOBO_PET</v>
      </c>
    </row>
    <row r="2474" spans="1:11" x14ac:dyDescent="0.25">
      <c r="A2474" s="158" t="s">
        <v>938</v>
      </c>
      <c r="B2474" s="158" t="s">
        <v>939</v>
      </c>
      <c r="C2474" s="158" t="s">
        <v>47</v>
      </c>
      <c r="D2474" s="158" t="s">
        <v>48</v>
      </c>
      <c r="E2474" s="157">
        <v>1</v>
      </c>
      <c r="F2474" s="158" t="s">
        <v>525</v>
      </c>
      <c r="G2474" s="159">
        <v>2453.77</v>
      </c>
      <c r="H2474" s="159">
        <v>0</v>
      </c>
      <c r="I2474" s="159">
        <v>223.07</v>
      </c>
      <c r="J2474" s="159">
        <v>9.1</v>
      </c>
      <c r="K2474" t="str">
        <f>VLOOKUP($C2474,Lists!$C$3:$M$118,7,FALSE)</f>
        <v>COKE_RGB</v>
      </c>
    </row>
    <row r="2475" spans="1:11" x14ac:dyDescent="0.25">
      <c r="A2475" s="158" t="s">
        <v>938</v>
      </c>
      <c r="B2475" s="158" t="s">
        <v>939</v>
      </c>
      <c r="C2475" s="158" t="s">
        <v>68</v>
      </c>
      <c r="D2475" s="158" t="s">
        <v>534</v>
      </c>
      <c r="E2475" s="157">
        <v>-1</v>
      </c>
      <c r="F2475" s="158" t="s">
        <v>525</v>
      </c>
      <c r="G2475" s="159">
        <v>-1592.07</v>
      </c>
      <c r="H2475" s="159">
        <v>0</v>
      </c>
      <c r="I2475" s="159">
        <v>-144.72999999999999</v>
      </c>
      <c r="J2475" s="159">
        <v>9.1</v>
      </c>
      <c r="K2475" t="str">
        <f>VLOOKUP($C2475,Lists!$C$3:$M$118,7,FALSE)</f>
        <v>COKE_PET</v>
      </c>
    </row>
    <row r="2476" spans="1:11" x14ac:dyDescent="0.25">
      <c r="A2476" s="158" t="s">
        <v>938</v>
      </c>
      <c r="B2476" s="158" t="s">
        <v>939</v>
      </c>
      <c r="C2476" s="158" t="s">
        <v>65</v>
      </c>
      <c r="D2476" s="158" t="s">
        <v>66</v>
      </c>
      <c r="E2476" s="157">
        <v>3</v>
      </c>
      <c r="F2476" s="158" t="s">
        <v>525</v>
      </c>
      <c r="G2476" s="159">
        <v>13315.71</v>
      </c>
      <c r="H2476" s="159">
        <v>0</v>
      </c>
      <c r="I2476" s="159">
        <v>1210.53</v>
      </c>
      <c r="J2476" s="159">
        <v>9.1</v>
      </c>
      <c r="K2476" t="str">
        <f>VLOOKUP($C2476,Lists!$C$3:$M$118,7,FALSE)</f>
        <v>Squash</v>
      </c>
    </row>
    <row r="2477" spans="1:11" x14ac:dyDescent="0.25">
      <c r="A2477" s="158" t="s">
        <v>938</v>
      </c>
      <c r="B2477" s="158" t="s">
        <v>939</v>
      </c>
      <c r="C2477" s="158" t="s">
        <v>49</v>
      </c>
      <c r="D2477" s="158" t="s">
        <v>50</v>
      </c>
      <c r="E2477" s="157">
        <v>69.333330000000004</v>
      </c>
      <c r="F2477" s="158" t="s">
        <v>525</v>
      </c>
      <c r="G2477" s="159">
        <v>521180.72</v>
      </c>
      <c r="H2477" s="159">
        <v>0</v>
      </c>
      <c r="I2477" s="159">
        <v>47380.31</v>
      </c>
      <c r="J2477" s="159">
        <v>9.1</v>
      </c>
      <c r="K2477" t="str">
        <f>VLOOKUP($C2477,Lists!$C$3:$M$118,7,FALSE)</f>
        <v>Squash</v>
      </c>
    </row>
    <row r="2478" spans="1:11" x14ac:dyDescent="0.25">
      <c r="A2478" s="158" t="s">
        <v>938</v>
      </c>
      <c r="B2478" s="158" t="s">
        <v>939</v>
      </c>
      <c r="C2478" s="158" t="s">
        <v>362</v>
      </c>
      <c r="D2478" s="158" t="s">
        <v>363</v>
      </c>
      <c r="E2478" s="157">
        <v>2</v>
      </c>
      <c r="F2478" s="158" t="s">
        <v>525</v>
      </c>
      <c r="G2478" s="159">
        <v>8877.14</v>
      </c>
      <c r="H2478" s="159">
        <v>0</v>
      </c>
      <c r="I2478" s="159">
        <v>807.02</v>
      </c>
      <c r="J2478" s="159">
        <v>9.1</v>
      </c>
      <c r="K2478" t="str">
        <f>VLOOKUP($C2478,Lists!$C$3:$M$118,7,FALSE)</f>
        <v>Squash</v>
      </c>
    </row>
    <row r="2479" spans="1:11" x14ac:dyDescent="0.25">
      <c r="A2479" s="158" t="s">
        <v>938</v>
      </c>
      <c r="B2479" s="158" t="s">
        <v>939</v>
      </c>
      <c r="C2479" s="158" t="s">
        <v>51</v>
      </c>
      <c r="D2479" s="158" t="s">
        <v>52</v>
      </c>
      <c r="E2479" s="157">
        <v>96.333330000000004</v>
      </c>
      <c r="F2479" s="158" t="s">
        <v>525</v>
      </c>
      <c r="G2479" s="159">
        <v>726968.88</v>
      </c>
      <c r="H2479" s="159">
        <v>0</v>
      </c>
      <c r="I2479" s="159">
        <v>66088.52</v>
      </c>
      <c r="J2479" s="159">
        <v>9.1</v>
      </c>
      <c r="K2479" t="str">
        <f>VLOOKUP($C2479,Lists!$C$3:$M$118,7,FALSE)</f>
        <v>Squash</v>
      </c>
    </row>
    <row r="2480" spans="1:11" x14ac:dyDescent="0.25">
      <c r="A2480" s="158" t="s">
        <v>938</v>
      </c>
      <c r="B2480" s="158" t="s">
        <v>939</v>
      </c>
      <c r="C2480" s="158" t="s">
        <v>282</v>
      </c>
      <c r="D2480" s="158" t="s">
        <v>775</v>
      </c>
      <c r="E2480" s="157">
        <v>12</v>
      </c>
      <c r="F2480" s="158" t="s">
        <v>525</v>
      </c>
      <c r="G2480" s="159">
        <v>14661.96</v>
      </c>
      <c r="H2480" s="159">
        <v>0</v>
      </c>
      <c r="I2480" s="159">
        <v>1332.96</v>
      </c>
      <c r="J2480" s="159">
        <v>9.1</v>
      </c>
      <c r="K2480" t="str">
        <f>VLOOKUP($C2480,Lists!$C$3:$M$118,7,FALSE)</f>
        <v>SOBO_PET</v>
      </c>
    </row>
    <row r="2481" spans="1:11" x14ac:dyDescent="0.25">
      <c r="A2481" s="158" t="s">
        <v>938</v>
      </c>
      <c r="B2481" s="158" t="s">
        <v>939</v>
      </c>
      <c r="C2481" s="158" t="s">
        <v>104</v>
      </c>
      <c r="D2481" s="158" t="s">
        <v>105</v>
      </c>
      <c r="E2481" s="157">
        <v>13</v>
      </c>
      <c r="F2481" s="158" t="s">
        <v>525</v>
      </c>
      <c r="G2481" s="159">
        <v>26874.38</v>
      </c>
      <c r="H2481" s="159">
        <v>0</v>
      </c>
      <c r="I2481" s="159">
        <v>2443.09</v>
      </c>
      <c r="J2481" s="159">
        <v>9.1</v>
      </c>
      <c r="K2481" t="str">
        <f>VLOOKUP($C2481,Lists!$C$3:$M$118,7,FALSE)</f>
        <v>SOBO_RGB</v>
      </c>
    </row>
    <row r="2482" spans="1:11" x14ac:dyDescent="0.25">
      <c r="A2482" s="158" t="s">
        <v>938</v>
      </c>
      <c r="B2482" s="158" t="s">
        <v>939</v>
      </c>
      <c r="C2482" s="158" t="s">
        <v>120</v>
      </c>
      <c r="D2482" s="158" t="s">
        <v>121</v>
      </c>
      <c r="E2482" s="157">
        <v>5</v>
      </c>
      <c r="F2482" s="158" t="s">
        <v>525</v>
      </c>
      <c r="G2482" s="159">
        <v>10677.1</v>
      </c>
      <c r="H2482" s="159">
        <v>0</v>
      </c>
      <c r="I2482" s="159">
        <v>508.45</v>
      </c>
      <c r="J2482" s="159">
        <v>4.8</v>
      </c>
      <c r="K2482" t="str">
        <f>VLOOKUP($C2482,Lists!$C$3:$M$118,7,FALSE)</f>
        <v>Water</v>
      </c>
    </row>
    <row r="2483" spans="1:11" x14ac:dyDescent="0.25">
      <c r="A2483" s="158" t="s">
        <v>940</v>
      </c>
      <c r="B2483" s="158" t="s">
        <v>941</v>
      </c>
      <c r="C2483" s="158" t="s">
        <v>12</v>
      </c>
      <c r="D2483" s="158" t="s">
        <v>13</v>
      </c>
      <c r="E2483" s="157">
        <v>2</v>
      </c>
      <c r="F2483" s="158" t="s">
        <v>525</v>
      </c>
      <c r="G2483" s="159">
        <v>8284</v>
      </c>
      <c r="H2483" s="159">
        <v>0</v>
      </c>
      <c r="I2483" s="159">
        <v>1035.5</v>
      </c>
      <c r="J2483" s="159">
        <v>12.5</v>
      </c>
      <c r="K2483" t="str">
        <f>VLOOKUP($C2483,Lists!$C$3:$M$118,7,FALSE)</f>
        <v>Beers</v>
      </c>
    </row>
    <row r="2484" spans="1:11" x14ac:dyDescent="0.25">
      <c r="A2484" s="158" t="s">
        <v>940</v>
      </c>
      <c r="B2484" s="158" t="s">
        <v>941</v>
      </c>
      <c r="C2484" s="158" t="s">
        <v>14</v>
      </c>
      <c r="D2484" s="158" t="s">
        <v>15</v>
      </c>
      <c r="E2484" s="157">
        <v>10</v>
      </c>
      <c r="F2484" s="158" t="s">
        <v>525</v>
      </c>
      <c r="G2484" s="159">
        <v>44690</v>
      </c>
      <c r="H2484" s="159">
        <v>0</v>
      </c>
      <c r="I2484" s="159">
        <v>5586.2</v>
      </c>
      <c r="J2484" s="159">
        <v>12.5</v>
      </c>
      <c r="K2484" t="str">
        <f>VLOOKUP($C2484,Lists!$C$3:$M$118,7,FALSE)</f>
        <v>Beers</v>
      </c>
    </row>
    <row r="2485" spans="1:11" x14ac:dyDescent="0.25">
      <c r="A2485" s="158" t="s">
        <v>940</v>
      </c>
      <c r="B2485" s="158" t="s">
        <v>941</v>
      </c>
      <c r="C2485" s="158" t="s">
        <v>78</v>
      </c>
      <c r="D2485" s="158" t="s">
        <v>526</v>
      </c>
      <c r="E2485" s="157">
        <v>3</v>
      </c>
      <c r="F2485" s="158" t="s">
        <v>525</v>
      </c>
      <c r="G2485" s="159">
        <v>3625.17</v>
      </c>
      <c r="H2485" s="159">
        <v>0</v>
      </c>
      <c r="I2485" s="159">
        <v>329.55</v>
      </c>
      <c r="J2485" s="159">
        <v>9.1</v>
      </c>
      <c r="K2485" t="str">
        <f>VLOOKUP($C2485,Lists!$C$3:$M$118,7,FALSE)</f>
        <v>SOBO_PET</v>
      </c>
    </row>
    <row r="2486" spans="1:11" x14ac:dyDescent="0.25">
      <c r="A2486" s="158" t="s">
        <v>940</v>
      </c>
      <c r="B2486" s="158" t="s">
        <v>941</v>
      </c>
      <c r="C2486" s="158" t="s">
        <v>88</v>
      </c>
      <c r="D2486" s="158" t="s">
        <v>527</v>
      </c>
      <c r="E2486" s="157">
        <v>3</v>
      </c>
      <c r="F2486" s="158" t="s">
        <v>525</v>
      </c>
      <c r="G2486" s="159">
        <v>3850.11</v>
      </c>
      <c r="H2486" s="159">
        <v>0</v>
      </c>
      <c r="I2486" s="159">
        <v>350.01</v>
      </c>
      <c r="J2486" s="159">
        <v>9.1</v>
      </c>
      <c r="K2486" t="str">
        <f>VLOOKUP($C2486,Lists!$C$3:$M$118,7,FALSE)</f>
        <v>SOBO_PET</v>
      </c>
    </row>
    <row r="2487" spans="1:11" x14ac:dyDescent="0.25">
      <c r="A2487" s="158" t="s">
        <v>940</v>
      </c>
      <c r="B2487" s="158" t="s">
        <v>941</v>
      </c>
      <c r="C2487" s="158" t="s">
        <v>68</v>
      </c>
      <c r="D2487" s="158" t="s">
        <v>534</v>
      </c>
      <c r="E2487" s="157">
        <v>2</v>
      </c>
      <c r="F2487" s="158" t="s">
        <v>525</v>
      </c>
      <c r="G2487" s="159">
        <v>3184.14</v>
      </c>
      <c r="H2487" s="159">
        <v>0</v>
      </c>
      <c r="I2487" s="159">
        <v>289.45999999999998</v>
      </c>
      <c r="J2487" s="159">
        <v>9.1</v>
      </c>
      <c r="K2487" t="str">
        <f>VLOOKUP($C2487,Lists!$C$3:$M$118,7,FALSE)</f>
        <v>COKE_PET</v>
      </c>
    </row>
    <row r="2488" spans="1:11" x14ac:dyDescent="0.25">
      <c r="A2488" s="158" t="s">
        <v>940</v>
      </c>
      <c r="B2488" s="158" t="s">
        <v>941</v>
      </c>
      <c r="C2488" s="158" t="s">
        <v>49</v>
      </c>
      <c r="D2488" s="158" t="s">
        <v>50</v>
      </c>
      <c r="E2488" s="157">
        <v>3</v>
      </c>
      <c r="F2488" s="158" t="s">
        <v>525</v>
      </c>
      <c r="G2488" s="159">
        <v>22551.09</v>
      </c>
      <c r="H2488" s="159">
        <v>0</v>
      </c>
      <c r="I2488" s="159">
        <v>2050.11</v>
      </c>
      <c r="J2488" s="159">
        <v>9.1</v>
      </c>
      <c r="K2488" t="str">
        <f>VLOOKUP($C2488,Lists!$C$3:$M$118,7,FALSE)</f>
        <v>Squash</v>
      </c>
    </row>
    <row r="2489" spans="1:11" x14ac:dyDescent="0.25">
      <c r="A2489" s="158" t="s">
        <v>940</v>
      </c>
      <c r="B2489" s="158" t="s">
        <v>941</v>
      </c>
      <c r="C2489" s="158" t="s">
        <v>51</v>
      </c>
      <c r="D2489" s="158" t="s">
        <v>52</v>
      </c>
      <c r="E2489" s="157">
        <v>2</v>
      </c>
      <c r="F2489" s="158" t="s">
        <v>525</v>
      </c>
      <c r="G2489" s="159">
        <v>15092.78</v>
      </c>
      <c r="H2489" s="159">
        <v>0</v>
      </c>
      <c r="I2489" s="159">
        <v>1372.08</v>
      </c>
      <c r="J2489" s="159">
        <v>9.1</v>
      </c>
      <c r="K2489" t="str">
        <f>VLOOKUP($C2489,Lists!$C$3:$M$118,7,FALSE)</f>
        <v>Squash</v>
      </c>
    </row>
    <row r="2490" spans="1:11" x14ac:dyDescent="0.25">
      <c r="A2490" s="158" t="s">
        <v>940</v>
      </c>
      <c r="B2490" s="158" t="s">
        <v>941</v>
      </c>
      <c r="C2490" s="158" t="s">
        <v>282</v>
      </c>
      <c r="D2490" s="158" t="s">
        <v>775</v>
      </c>
      <c r="E2490" s="157">
        <v>3</v>
      </c>
      <c r="F2490" s="158" t="s">
        <v>525</v>
      </c>
      <c r="G2490" s="159">
        <v>3665.49</v>
      </c>
      <c r="H2490" s="159">
        <v>0</v>
      </c>
      <c r="I2490" s="159">
        <v>333.24</v>
      </c>
      <c r="J2490" s="159">
        <v>9.1</v>
      </c>
      <c r="K2490" t="str">
        <f>VLOOKUP($C2490,Lists!$C$3:$M$118,7,FALSE)</f>
        <v>SOBO_PET</v>
      </c>
    </row>
    <row r="2491" spans="1:11" x14ac:dyDescent="0.25">
      <c r="A2491" s="158" t="s">
        <v>940</v>
      </c>
      <c r="B2491" s="158" t="s">
        <v>941</v>
      </c>
      <c r="C2491" s="158" t="s">
        <v>26</v>
      </c>
      <c r="D2491" s="158" t="s">
        <v>27</v>
      </c>
      <c r="E2491" s="157">
        <v>12</v>
      </c>
      <c r="F2491" s="158" t="s">
        <v>525</v>
      </c>
      <c r="G2491" s="159">
        <v>15375</v>
      </c>
      <c r="H2491" s="159">
        <v>0</v>
      </c>
      <c r="I2491" s="159">
        <v>732.12</v>
      </c>
      <c r="J2491" s="159">
        <v>4.8</v>
      </c>
      <c r="K2491" t="str">
        <f>VLOOKUP($C2491,Lists!$C$3:$M$118,7,FALSE)</f>
        <v>Water</v>
      </c>
    </row>
    <row r="2492" spans="1:11" x14ac:dyDescent="0.25">
      <c r="A2492" s="158" t="s">
        <v>940</v>
      </c>
      <c r="B2492" s="158" t="s">
        <v>941</v>
      </c>
      <c r="C2492" s="158" t="s">
        <v>120</v>
      </c>
      <c r="D2492" s="158" t="s">
        <v>121</v>
      </c>
      <c r="E2492" s="157">
        <v>9</v>
      </c>
      <c r="F2492" s="158" t="s">
        <v>525</v>
      </c>
      <c r="G2492" s="159">
        <v>19218.78</v>
      </c>
      <c r="H2492" s="159">
        <v>0</v>
      </c>
      <c r="I2492" s="159">
        <v>915.21</v>
      </c>
      <c r="J2492" s="159">
        <v>4.8</v>
      </c>
      <c r="K2492" t="str">
        <f>VLOOKUP($C2492,Lists!$C$3:$M$118,7,FALSE)</f>
        <v>Water</v>
      </c>
    </row>
    <row r="2493" spans="1:11" x14ac:dyDescent="0.25">
      <c r="A2493" s="158" t="s">
        <v>942</v>
      </c>
      <c r="B2493" s="158" t="s">
        <v>943</v>
      </c>
      <c r="C2493" s="158" t="s">
        <v>14</v>
      </c>
      <c r="D2493" s="158" t="s">
        <v>15</v>
      </c>
      <c r="E2493" s="157">
        <v>0.9</v>
      </c>
      <c r="F2493" s="158" t="s">
        <v>525</v>
      </c>
      <c r="G2493" s="159">
        <v>6952.79</v>
      </c>
      <c r="H2493" s="159">
        <v>0</v>
      </c>
      <c r="I2493" s="159">
        <v>3433.44</v>
      </c>
      <c r="J2493" s="159">
        <v>49.4</v>
      </c>
      <c r="K2493" t="str">
        <f>VLOOKUP($C2493,Lists!$C$3:$M$118,7,FALSE)</f>
        <v>Beers</v>
      </c>
    </row>
    <row r="2494" spans="1:11" x14ac:dyDescent="0.25">
      <c r="A2494" s="158" t="s">
        <v>942</v>
      </c>
      <c r="B2494" s="158" t="s">
        <v>943</v>
      </c>
      <c r="C2494" s="158" t="s">
        <v>18</v>
      </c>
      <c r="D2494" s="158" t="s">
        <v>19</v>
      </c>
      <c r="E2494" s="157">
        <v>0.3</v>
      </c>
      <c r="F2494" s="158" t="s">
        <v>525</v>
      </c>
      <c r="G2494" s="159">
        <v>3090.13</v>
      </c>
      <c r="H2494" s="159">
        <v>0</v>
      </c>
      <c r="I2494" s="159">
        <v>1602.28</v>
      </c>
      <c r="J2494" s="159">
        <v>51.9</v>
      </c>
      <c r="K2494" t="str">
        <f>VLOOKUP($C2494,Lists!$C$3:$M$118,7,FALSE)</f>
        <v>Beers</v>
      </c>
    </row>
    <row r="2495" spans="1:11" x14ac:dyDescent="0.25">
      <c r="A2495" s="158" t="s">
        <v>942</v>
      </c>
      <c r="B2495" s="158" t="s">
        <v>943</v>
      </c>
      <c r="C2495" s="158" t="s">
        <v>20</v>
      </c>
      <c r="D2495" s="158" t="s">
        <v>21</v>
      </c>
      <c r="E2495" s="157">
        <v>3.15</v>
      </c>
      <c r="F2495" s="158" t="s">
        <v>525</v>
      </c>
      <c r="G2495" s="159">
        <v>12467.8</v>
      </c>
      <c r="H2495" s="159">
        <v>0</v>
      </c>
      <c r="I2495" s="159">
        <v>5239.49</v>
      </c>
      <c r="J2495" s="159">
        <v>42</v>
      </c>
      <c r="K2495" t="str">
        <f>VLOOKUP($C2495,Lists!$C$3:$M$118,7,FALSE)</f>
        <v>COKE_RGB</v>
      </c>
    </row>
    <row r="2496" spans="1:11" x14ac:dyDescent="0.25">
      <c r="A2496" s="158" t="s">
        <v>942</v>
      </c>
      <c r="B2496" s="158" t="s">
        <v>943</v>
      </c>
      <c r="C2496" s="158" t="s">
        <v>43</v>
      </c>
      <c r="D2496" s="158" t="s">
        <v>44</v>
      </c>
      <c r="E2496" s="157">
        <v>0.6</v>
      </c>
      <c r="F2496" s="158" t="s">
        <v>525</v>
      </c>
      <c r="G2496" s="159">
        <v>4635.1899999999996</v>
      </c>
      <c r="H2496" s="159">
        <v>0</v>
      </c>
      <c r="I2496" s="159">
        <v>2288.96</v>
      </c>
      <c r="J2496" s="159">
        <v>49.4</v>
      </c>
      <c r="K2496" t="str">
        <f>VLOOKUP($C2496,Lists!$C$3:$M$118,7,FALSE)</f>
        <v>Beers</v>
      </c>
    </row>
    <row r="2497" spans="1:11" x14ac:dyDescent="0.25">
      <c r="A2497" s="158" t="s">
        <v>944</v>
      </c>
      <c r="B2497" s="158" t="s">
        <v>945</v>
      </c>
      <c r="C2497" s="158" t="s">
        <v>41</v>
      </c>
      <c r="D2497" s="158" t="s">
        <v>42</v>
      </c>
      <c r="E2497" s="157">
        <v>0.2</v>
      </c>
      <c r="F2497" s="158" t="s">
        <v>525</v>
      </c>
      <c r="G2497" s="159">
        <v>1545.06</v>
      </c>
      <c r="H2497" s="159">
        <v>0</v>
      </c>
      <c r="I2497" s="159">
        <v>648.05999999999995</v>
      </c>
      <c r="J2497" s="159">
        <v>41.9</v>
      </c>
      <c r="K2497" t="str">
        <f>VLOOKUP($C2497,Lists!$C$3:$M$118,7,FALSE)</f>
        <v>Alcomix</v>
      </c>
    </row>
    <row r="2498" spans="1:11" x14ac:dyDescent="0.25">
      <c r="A2498" s="158" t="s">
        <v>944</v>
      </c>
      <c r="B2498" s="158" t="s">
        <v>945</v>
      </c>
      <c r="C2498" s="158" t="s">
        <v>10</v>
      </c>
      <c r="D2498" s="158" t="s">
        <v>11</v>
      </c>
      <c r="E2498" s="157">
        <v>0.2</v>
      </c>
      <c r="F2498" s="158" t="s">
        <v>525</v>
      </c>
      <c r="G2498" s="159">
        <v>1545.06</v>
      </c>
      <c r="H2498" s="159">
        <v>0</v>
      </c>
      <c r="I2498" s="159">
        <v>648.05999999999995</v>
      </c>
      <c r="J2498" s="159">
        <v>41.9</v>
      </c>
      <c r="K2498" t="str">
        <f>VLOOKUP($C2498,Lists!$C$3:$M$118,7,FALSE)</f>
        <v>Alcomix</v>
      </c>
    </row>
    <row r="2499" spans="1:11" x14ac:dyDescent="0.25">
      <c r="A2499" s="158" t="s">
        <v>944</v>
      </c>
      <c r="B2499" s="158" t="s">
        <v>945</v>
      </c>
      <c r="C2499" s="158" t="s">
        <v>12</v>
      </c>
      <c r="D2499" s="158" t="s">
        <v>13</v>
      </c>
      <c r="E2499" s="157">
        <v>26.5</v>
      </c>
      <c r="F2499" s="158" t="s">
        <v>525</v>
      </c>
      <c r="G2499" s="159">
        <v>170600.92</v>
      </c>
      <c r="H2499" s="159">
        <v>0</v>
      </c>
      <c r="I2499" s="159">
        <v>74558.259999999995</v>
      </c>
      <c r="J2499" s="159">
        <v>43.7</v>
      </c>
      <c r="K2499" t="str">
        <f>VLOOKUP($C2499,Lists!$C$3:$M$118,7,FALSE)</f>
        <v>Beers</v>
      </c>
    </row>
    <row r="2500" spans="1:11" x14ac:dyDescent="0.25">
      <c r="A2500" s="158" t="s">
        <v>944</v>
      </c>
      <c r="B2500" s="158" t="s">
        <v>945</v>
      </c>
      <c r="C2500" s="158" t="s">
        <v>14</v>
      </c>
      <c r="D2500" s="158" t="s">
        <v>15</v>
      </c>
      <c r="E2500" s="157">
        <v>21.7</v>
      </c>
      <c r="F2500" s="158" t="s">
        <v>525</v>
      </c>
      <c r="G2500" s="159">
        <v>167639.45000000001</v>
      </c>
      <c r="H2500" s="159">
        <v>0</v>
      </c>
      <c r="I2500" s="159">
        <v>82784.210000000006</v>
      </c>
      <c r="J2500" s="159">
        <v>49.4</v>
      </c>
      <c r="K2500" t="str">
        <f>VLOOKUP($C2500,Lists!$C$3:$M$118,7,FALSE)</f>
        <v>Beers</v>
      </c>
    </row>
    <row r="2501" spans="1:11" x14ac:dyDescent="0.25">
      <c r="A2501" s="158" t="s">
        <v>944</v>
      </c>
      <c r="B2501" s="158" t="s">
        <v>945</v>
      </c>
      <c r="C2501" s="158" t="s">
        <v>16</v>
      </c>
      <c r="D2501" s="158" t="s">
        <v>17</v>
      </c>
      <c r="E2501" s="157">
        <v>24.4</v>
      </c>
      <c r="F2501" s="158" t="s">
        <v>525</v>
      </c>
      <c r="G2501" s="159">
        <v>188497.8</v>
      </c>
      <c r="H2501" s="159">
        <v>0</v>
      </c>
      <c r="I2501" s="159">
        <v>93084.52</v>
      </c>
      <c r="J2501" s="159">
        <v>49.4</v>
      </c>
      <c r="K2501" t="str">
        <f>VLOOKUP($C2501,Lists!$C$3:$M$118,7,FALSE)</f>
        <v>Beers</v>
      </c>
    </row>
    <row r="2502" spans="1:11" x14ac:dyDescent="0.25">
      <c r="A2502" s="158" t="s">
        <v>944</v>
      </c>
      <c r="B2502" s="158" t="s">
        <v>945</v>
      </c>
      <c r="C2502" s="158" t="s">
        <v>56</v>
      </c>
      <c r="D2502" s="158" t="s">
        <v>57</v>
      </c>
      <c r="E2502" s="157">
        <v>4.9166600000000003</v>
      </c>
      <c r="F2502" s="158" t="s">
        <v>525</v>
      </c>
      <c r="G2502" s="159">
        <v>37982.769999999997</v>
      </c>
      <c r="H2502" s="159">
        <v>0</v>
      </c>
      <c r="I2502" s="159">
        <v>19939.86</v>
      </c>
      <c r="J2502" s="159">
        <v>52.5</v>
      </c>
      <c r="K2502" t="str">
        <f>VLOOKUP($C2502,Lists!$C$3:$M$118,7,FALSE)</f>
        <v>Beers</v>
      </c>
    </row>
    <row r="2503" spans="1:11" x14ac:dyDescent="0.25">
      <c r="A2503" s="158" t="s">
        <v>944</v>
      </c>
      <c r="B2503" s="158" t="s">
        <v>945</v>
      </c>
      <c r="C2503" s="158" t="s">
        <v>18</v>
      </c>
      <c r="D2503" s="158" t="s">
        <v>19</v>
      </c>
      <c r="E2503" s="157">
        <v>5.2</v>
      </c>
      <c r="F2503" s="158" t="s">
        <v>525</v>
      </c>
      <c r="G2503" s="159">
        <v>53562.25</v>
      </c>
      <c r="H2503" s="159">
        <v>0</v>
      </c>
      <c r="I2503" s="159">
        <v>27772.84</v>
      </c>
      <c r="J2503" s="159">
        <v>51.9</v>
      </c>
      <c r="K2503" t="str">
        <f>VLOOKUP($C2503,Lists!$C$3:$M$118,7,FALSE)</f>
        <v>Beers</v>
      </c>
    </row>
    <row r="2504" spans="1:11" x14ac:dyDescent="0.25">
      <c r="A2504" s="158" t="s">
        <v>944</v>
      </c>
      <c r="B2504" s="158" t="s">
        <v>945</v>
      </c>
      <c r="C2504" s="158" t="s">
        <v>20</v>
      </c>
      <c r="D2504" s="158" t="s">
        <v>21</v>
      </c>
      <c r="E2504" s="157">
        <v>5.5</v>
      </c>
      <c r="F2504" s="158" t="s">
        <v>525</v>
      </c>
      <c r="G2504" s="159">
        <v>21769.17</v>
      </c>
      <c r="H2504" s="159">
        <v>0</v>
      </c>
      <c r="I2504" s="159">
        <v>9148.31</v>
      </c>
      <c r="J2504" s="159">
        <v>42</v>
      </c>
      <c r="K2504" t="str">
        <f>VLOOKUP($C2504,Lists!$C$3:$M$118,7,FALSE)</f>
        <v>COKE_RGB</v>
      </c>
    </row>
    <row r="2505" spans="1:11" x14ac:dyDescent="0.25">
      <c r="A2505" s="158" t="s">
        <v>944</v>
      </c>
      <c r="B2505" s="158" t="s">
        <v>945</v>
      </c>
      <c r="C2505" s="158" t="s">
        <v>43</v>
      </c>
      <c r="D2505" s="158" t="s">
        <v>44</v>
      </c>
      <c r="E2505" s="157">
        <v>5.4</v>
      </c>
      <c r="F2505" s="158" t="s">
        <v>525</v>
      </c>
      <c r="G2505" s="159">
        <v>41716.720000000001</v>
      </c>
      <c r="H2505" s="159">
        <v>0</v>
      </c>
      <c r="I2505" s="159">
        <v>20600.669999999998</v>
      </c>
      <c r="J2505" s="159">
        <v>49.4</v>
      </c>
      <c r="K2505" t="str">
        <f>VLOOKUP($C2505,Lists!$C$3:$M$118,7,FALSE)</f>
        <v>Beers</v>
      </c>
    </row>
    <row r="2506" spans="1:11" x14ac:dyDescent="0.25">
      <c r="A2506" s="158" t="s">
        <v>944</v>
      </c>
      <c r="B2506" s="158" t="s">
        <v>945</v>
      </c>
      <c r="C2506" s="158" t="s">
        <v>59</v>
      </c>
      <c r="D2506" s="158" t="s">
        <v>60</v>
      </c>
      <c r="E2506" s="157">
        <v>2.2000000000000002</v>
      </c>
      <c r="F2506" s="158" t="s">
        <v>525</v>
      </c>
      <c r="G2506" s="159">
        <v>8707.67</v>
      </c>
      <c r="H2506" s="159">
        <v>0</v>
      </c>
      <c r="I2506" s="159">
        <v>3545.48</v>
      </c>
      <c r="J2506" s="159">
        <v>40.700000000000003</v>
      </c>
      <c r="K2506" t="str">
        <f>VLOOKUP($C2506,Lists!$C$3:$M$118,7,FALSE)</f>
        <v>COKE_RGB</v>
      </c>
    </row>
    <row r="2507" spans="1:11" x14ac:dyDescent="0.25">
      <c r="A2507" s="158" t="s">
        <v>944</v>
      </c>
      <c r="B2507" s="158" t="s">
        <v>945</v>
      </c>
      <c r="C2507" s="158" t="s">
        <v>22</v>
      </c>
      <c r="D2507" s="158" t="s">
        <v>23</v>
      </c>
      <c r="E2507" s="157">
        <v>2.15</v>
      </c>
      <c r="F2507" s="158" t="s">
        <v>525</v>
      </c>
      <c r="G2507" s="159">
        <v>8509.76</v>
      </c>
      <c r="H2507" s="159">
        <v>0</v>
      </c>
      <c r="I2507" s="159">
        <v>3428.3</v>
      </c>
      <c r="J2507" s="159">
        <v>40.299999999999997</v>
      </c>
      <c r="K2507" t="str">
        <f>VLOOKUP($C2507,Lists!$C$3:$M$118,7,FALSE)</f>
        <v>COKE_RGB</v>
      </c>
    </row>
    <row r="2508" spans="1:11" x14ac:dyDescent="0.25">
      <c r="A2508" s="158" t="s">
        <v>944</v>
      </c>
      <c r="B2508" s="158" t="s">
        <v>945</v>
      </c>
      <c r="C2508" s="158" t="s">
        <v>261</v>
      </c>
      <c r="D2508" s="158" t="s">
        <v>538</v>
      </c>
      <c r="E2508" s="157">
        <v>5.45</v>
      </c>
      <c r="F2508" s="158" t="s">
        <v>525</v>
      </c>
      <c r="G2508" s="159">
        <v>21571.26</v>
      </c>
      <c r="H2508" s="159">
        <v>0</v>
      </c>
      <c r="I2508" s="159">
        <v>8690.35</v>
      </c>
      <c r="J2508" s="159">
        <v>40.299999999999997</v>
      </c>
      <c r="K2508" t="str">
        <f>VLOOKUP($C2508,Lists!$C$3:$M$118,7,FALSE)</f>
        <v>COKE_RGB</v>
      </c>
    </row>
    <row r="2509" spans="1:11" x14ac:dyDescent="0.25">
      <c r="A2509" s="158" t="s">
        <v>944</v>
      </c>
      <c r="B2509" s="158" t="s">
        <v>945</v>
      </c>
      <c r="C2509" s="158" t="s">
        <v>24</v>
      </c>
      <c r="D2509" s="158" t="s">
        <v>25</v>
      </c>
      <c r="E2509" s="157">
        <v>20.149999999999999</v>
      </c>
      <c r="F2509" s="158" t="s">
        <v>525</v>
      </c>
      <c r="G2509" s="159">
        <v>129721.06</v>
      </c>
      <c r="H2509" s="159">
        <v>0</v>
      </c>
      <c r="I2509" s="159">
        <v>62457.73</v>
      </c>
      <c r="J2509" s="159">
        <v>48.1</v>
      </c>
      <c r="K2509" t="str">
        <f>VLOOKUP($C2509,Lists!$C$3:$M$118,7,FALSE)</f>
        <v>Beers</v>
      </c>
    </row>
    <row r="2510" spans="1:11" x14ac:dyDescent="0.25">
      <c r="A2510" s="158" t="s">
        <v>944</v>
      </c>
      <c r="B2510" s="158" t="s">
        <v>945</v>
      </c>
      <c r="C2510" s="158" t="s">
        <v>37</v>
      </c>
      <c r="D2510" s="158" t="s">
        <v>38</v>
      </c>
      <c r="E2510" s="157">
        <v>1.5</v>
      </c>
      <c r="F2510" s="158" t="s">
        <v>525</v>
      </c>
      <c r="G2510" s="159">
        <v>4947.54</v>
      </c>
      <c r="H2510" s="159">
        <v>0</v>
      </c>
      <c r="I2510" s="159">
        <v>2317.7600000000002</v>
      </c>
      <c r="J2510" s="159">
        <v>46.8</v>
      </c>
      <c r="K2510" t="str">
        <f>VLOOKUP($C2510,Lists!$C$3:$M$118,7,FALSE)</f>
        <v>SOBO_RGB</v>
      </c>
    </row>
    <row r="2511" spans="1:11" x14ac:dyDescent="0.25">
      <c r="A2511" s="158" t="s">
        <v>944</v>
      </c>
      <c r="B2511" s="158" t="s">
        <v>945</v>
      </c>
      <c r="C2511" s="158" t="s">
        <v>39</v>
      </c>
      <c r="D2511" s="158" t="s">
        <v>40</v>
      </c>
      <c r="E2511" s="157">
        <v>0.2</v>
      </c>
      <c r="F2511" s="158" t="s">
        <v>525</v>
      </c>
      <c r="G2511" s="159">
        <v>659.67</v>
      </c>
      <c r="H2511" s="159">
        <v>0</v>
      </c>
      <c r="I2511" s="159">
        <v>306.3</v>
      </c>
      <c r="J2511" s="159">
        <v>46.4</v>
      </c>
      <c r="K2511" t="str">
        <f>VLOOKUP($C2511,Lists!$C$3:$M$118,7,FALSE)</f>
        <v>SOBO_RGB</v>
      </c>
    </row>
    <row r="2512" spans="1:11" x14ac:dyDescent="0.25">
      <c r="A2512" s="158" t="s">
        <v>944</v>
      </c>
      <c r="B2512" s="158" t="s">
        <v>945</v>
      </c>
      <c r="C2512" s="158" t="s">
        <v>45</v>
      </c>
      <c r="D2512" s="158" t="s">
        <v>46</v>
      </c>
      <c r="E2512" s="157">
        <v>1.1499999999999999</v>
      </c>
      <c r="F2512" s="158" t="s">
        <v>525</v>
      </c>
      <c r="G2512" s="159">
        <v>4551.74</v>
      </c>
      <c r="H2512" s="159">
        <v>0</v>
      </c>
      <c r="I2512" s="159">
        <v>2241.9</v>
      </c>
      <c r="J2512" s="159">
        <v>49.3</v>
      </c>
      <c r="K2512" t="str">
        <f>VLOOKUP($C2512,Lists!$C$3:$M$118,7,FALSE)</f>
        <v>SOBO_RGB</v>
      </c>
    </row>
    <row r="2513" spans="1:11" x14ac:dyDescent="0.25">
      <c r="A2513" s="158" t="s">
        <v>944</v>
      </c>
      <c r="B2513" s="158" t="s">
        <v>945</v>
      </c>
      <c r="C2513" s="158" t="s">
        <v>47</v>
      </c>
      <c r="D2513" s="158" t="s">
        <v>48</v>
      </c>
      <c r="E2513" s="157">
        <v>0.25</v>
      </c>
      <c r="F2513" s="158" t="s">
        <v>525</v>
      </c>
      <c r="G2513" s="159">
        <v>989.51</v>
      </c>
      <c r="H2513" s="159">
        <v>0</v>
      </c>
      <c r="I2513" s="159">
        <v>431.83</v>
      </c>
      <c r="J2513" s="159">
        <v>43.6</v>
      </c>
      <c r="K2513" t="str">
        <f>VLOOKUP($C2513,Lists!$C$3:$M$118,7,FALSE)</f>
        <v>COKE_RGB</v>
      </c>
    </row>
    <row r="2514" spans="1:11" x14ac:dyDescent="0.25">
      <c r="A2514" s="158" t="s">
        <v>944</v>
      </c>
      <c r="B2514" s="158" t="s">
        <v>945</v>
      </c>
      <c r="C2514" s="158" t="s">
        <v>26</v>
      </c>
      <c r="D2514" s="158" t="s">
        <v>27</v>
      </c>
      <c r="E2514" s="157">
        <v>8.3330000000000001E-2</v>
      </c>
      <c r="F2514" s="158" t="s">
        <v>525</v>
      </c>
      <c r="G2514" s="159">
        <v>181.86</v>
      </c>
      <c r="H2514" s="159">
        <v>0</v>
      </c>
      <c r="I2514" s="159">
        <v>80.180000000000007</v>
      </c>
      <c r="J2514" s="159">
        <v>44.1</v>
      </c>
      <c r="K2514" t="str">
        <f>VLOOKUP($C2514,Lists!$C$3:$M$118,7,FALSE)</f>
        <v>Water</v>
      </c>
    </row>
    <row r="2515" spans="1:11" x14ac:dyDescent="0.25">
      <c r="A2515" s="158" t="s">
        <v>946</v>
      </c>
      <c r="B2515" s="158" t="s">
        <v>947</v>
      </c>
      <c r="C2515" s="158" t="s">
        <v>41</v>
      </c>
      <c r="D2515" s="158" t="s">
        <v>42</v>
      </c>
      <c r="E2515" s="157">
        <v>0.3</v>
      </c>
      <c r="F2515" s="158" t="s">
        <v>525</v>
      </c>
      <c r="G2515" s="159">
        <v>2317.6</v>
      </c>
      <c r="H2515" s="159">
        <v>0</v>
      </c>
      <c r="I2515" s="159">
        <v>972.1</v>
      </c>
      <c r="J2515" s="159">
        <v>41.9</v>
      </c>
      <c r="K2515" t="str">
        <f>VLOOKUP($C2515,Lists!$C$3:$M$118,7,FALSE)</f>
        <v>Alcomix</v>
      </c>
    </row>
    <row r="2516" spans="1:11" x14ac:dyDescent="0.25">
      <c r="A2516" s="158" t="s">
        <v>946</v>
      </c>
      <c r="B2516" s="158" t="s">
        <v>947</v>
      </c>
      <c r="C2516" s="158" t="s">
        <v>12</v>
      </c>
      <c r="D2516" s="158" t="s">
        <v>13</v>
      </c>
      <c r="E2516" s="157">
        <v>4.05</v>
      </c>
      <c r="F2516" s="158" t="s">
        <v>525</v>
      </c>
      <c r="G2516" s="159">
        <v>26072.959999999999</v>
      </c>
      <c r="H2516" s="159">
        <v>0</v>
      </c>
      <c r="I2516" s="159">
        <v>11394.75</v>
      </c>
      <c r="J2516" s="159">
        <v>43.7</v>
      </c>
      <c r="K2516" t="str">
        <f>VLOOKUP($C2516,Lists!$C$3:$M$118,7,FALSE)</f>
        <v>Beers</v>
      </c>
    </row>
    <row r="2517" spans="1:11" x14ac:dyDescent="0.25">
      <c r="A2517" s="158" t="s">
        <v>946</v>
      </c>
      <c r="B2517" s="158" t="s">
        <v>947</v>
      </c>
      <c r="C2517" s="158" t="s">
        <v>14</v>
      </c>
      <c r="D2517" s="158" t="s">
        <v>15</v>
      </c>
      <c r="E2517" s="157">
        <v>1.85</v>
      </c>
      <c r="F2517" s="158" t="s">
        <v>525</v>
      </c>
      <c r="G2517" s="159">
        <v>14291.84</v>
      </c>
      <c r="H2517" s="159">
        <v>0</v>
      </c>
      <c r="I2517" s="159">
        <v>7057.64</v>
      </c>
      <c r="J2517" s="159">
        <v>49.4</v>
      </c>
      <c r="K2517" t="str">
        <f>VLOOKUP($C2517,Lists!$C$3:$M$118,7,FALSE)</f>
        <v>Beers</v>
      </c>
    </row>
    <row r="2518" spans="1:11" x14ac:dyDescent="0.25">
      <c r="A2518" s="158" t="s">
        <v>946</v>
      </c>
      <c r="B2518" s="158" t="s">
        <v>947</v>
      </c>
      <c r="C2518" s="158" t="s">
        <v>16</v>
      </c>
      <c r="D2518" s="158" t="s">
        <v>17</v>
      </c>
      <c r="E2518" s="157">
        <v>5.4</v>
      </c>
      <c r="F2518" s="158" t="s">
        <v>525</v>
      </c>
      <c r="G2518" s="159">
        <v>41716.720000000001</v>
      </c>
      <c r="H2518" s="159">
        <v>0</v>
      </c>
      <c r="I2518" s="159">
        <v>20600.66</v>
      </c>
      <c r="J2518" s="159">
        <v>49.4</v>
      </c>
      <c r="K2518" t="str">
        <f>VLOOKUP($C2518,Lists!$C$3:$M$118,7,FALSE)</f>
        <v>Beers</v>
      </c>
    </row>
    <row r="2519" spans="1:11" x14ac:dyDescent="0.25">
      <c r="A2519" s="158" t="s">
        <v>946</v>
      </c>
      <c r="B2519" s="158" t="s">
        <v>947</v>
      </c>
      <c r="C2519" s="158" t="s">
        <v>18</v>
      </c>
      <c r="D2519" s="158" t="s">
        <v>19</v>
      </c>
      <c r="E2519" s="157">
        <v>2</v>
      </c>
      <c r="F2519" s="158" t="s">
        <v>525</v>
      </c>
      <c r="G2519" s="159">
        <v>20600.86</v>
      </c>
      <c r="H2519" s="159">
        <v>0</v>
      </c>
      <c r="I2519" s="159">
        <v>10681.86</v>
      </c>
      <c r="J2519" s="159">
        <v>51.9</v>
      </c>
      <c r="K2519" t="str">
        <f>VLOOKUP($C2519,Lists!$C$3:$M$118,7,FALSE)</f>
        <v>Beers</v>
      </c>
    </row>
    <row r="2520" spans="1:11" x14ac:dyDescent="0.25">
      <c r="A2520" s="158" t="s">
        <v>946</v>
      </c>
      <c r="B2520" s="158" t="s">
        <v>947</v>
      </c>
      <c r="C2520" s="158" t="s">
        <v>20</v>
      </c>
      <c r="D2520" s="158" t="s">
        <v>21</v>
      </c>
      <c r="E2520" s="157">
        <v>0.3</v>
      </c>
      <c r="F2520" s="158" t="s">
        <v>525</v>
      </c>
      <c r="G2520" s="159">
        <v>1187.4100000000001</v>
      </c>
      <c r="H2520" s="159">
        <v>0</v>
      </c>
      <c r="I2520" s="159">
        <v>499</v>
      </c>
      <c r="J2520" s="159">
        <v>42</v>
      </c>
      <c r="K2520" t="str">
        <f>VLOOKUP($C2520,Lists!$C$3:$M$118,7,FALSE)</f>
        <v>COKE_RGB</v>
      </c>
    </row>
    <row r="2521" spans="1:11" x14ac:dyDescent="0.25">
      <c r="A2521" s="158" t="s">
        <v>946</v>
      </c>
      <c r="B2521" s="158" t="s">
        <v>947</v>
      </c>
      <c r="C2521" s="158" t="s">
        <v>43</v>
      </c>
      <c r="D2521" s="158" t="s">
        <v>44</v>
      </c>
      <c r="E2521" s="157">
        <v>1.45</v>
      </c>
      <c r="F2521" s="158" t="s">
        <v>525</v>
      </c>
      <c r="G2521" s="159">
        <v>11201.71</v>
      </c>
      <c r="H2521" s="159">
        <v>0</v>
      </c>
      <c r="I2521" s="159">
        <v>5531.65</v>
      </c>
      <c r="J2521" s="159">
        <v>49.4</v>
      </c>
      <c r="K2521" t="str">
        <f>VLOOKUP($C2521,Lists!$C$3:$M$118,7,FALSE)</f>
        <v>Beers</v>
      </c>
    </row>
    <row r="2522" spans="1:11" x14ac:dyDescent="0.25">
      <c r="A2522" s="158" t="s">
        <v>946</v>
      </c>
      <c r="B2522" s="158" t="s">
        <v>947</v>
      </c>
      <c r="C2522" s="158" t="s">
        <v>22</v>
      </c>
      <c r="D2522" s="158" t="s">
        <v>23</v>
      </c>
      <c r="E2522" s="157">
        <v>1.35</v>
      </c>
      <c r="F2522" s="158" t="s">
        <v>525</v>
      </c>
      <c r="G2522" s="159">
        <v>5343.34</v>
      </c>
      <c r="H2522" s="159">
        <v>0</v>
      </c>
      <c r="I2522" s="159">
        <v>2152.66</v>
      </c>
      <c r="J2522" s="159">
        <v>40.299999999999997</v>
      </c>
      <c r="K2522" t="str">
        <f>VLOOKUP($C2522,Lists!$C$3:$M$118,7,FALSE)</f>
        <v>COKE_RGB</v>
      </c>
    </row>
    <row r="2523" spans="1:11" x14ac:dyDescent="0.25">
      <c r="A2523" s="158" t="s">
        <v>946</v>
      </c>
      <c r="B2523" s="158" t="s">
        <v>947</v>
      </c>
      <c r="C2523" s="158" t="s">
        <v>261</v>
      </c>
      <c r="D2523" s="158" t="s">
        <v>538</v>
      </c>
      <c r="E2523" s="157">
        <v>0.15</v>
      </c>
      <c r="F2523" s="158" t="s">
        <v>525</v>
      </c>
      <c r="G2523" s="159">
        <v>593.70000000000005</v>
      </c>
      <c r="H2523" s="159">
        <v>0</v>
      </c>
      <c r="I2523" s="159">
        <v>239.18</v>
      </c>
      <c r="J2523" s="159">
        <v>40.299999999999997</v>
      </c>
      <c r="K2523" t="str">
        <f>VLOOKUP($C2523,Lists!$C$3:$M$118,7,FALSE)</f>
        <v>COKE_RGB</v>
      </c>
    </row>
    <row r="2524" spans="1:11" x14ac:dyDescent="0.25">
      <c r="A2524" s="158" t="s">
        <v>946</v>
      </c>
      <c r="B2524" s="158" t="s">
        <v>947</v>
      </c>
      <c r="C2524" s="158" t="s">
        <v>24</v>
      </c>
      <c r="D2524" s="158" t="s">
        <v>25</v>
      </c>
      <c r="E2524" s="157">
        <v>1.35</v>
      </c>
      <c r="F2524" s="158" t="s">
        <v>525</v>
      </c>
      <c r="G2524" s="159">
        <v>8690.99</v>
      </c>
      <c r="H2524" s="159">
        <v>0</v>
      </c>
      <c r="I2524" s="159">
        <v>4184.51</v>
      </c>
      <c r="J2524" s="159">
        <v>48.1</v>
      </c>
      <c r="K2524" t="str">
        <f>VLOOKUP($C2524,Lists!$C$3:$M$118,7,FALSE)</f>
        <v>Beers</v>
      </c>
    </row>
    <row r="2525" spans="1:11" x14ac:dyDescent="0.25">
      <c r="A2525" s="158" t="s">
        <v>946</v>
      </c>
      <c r="B2525" s="158" t="s">
        <v>947</v>
      </c>
      <c r="C2525" s="158" t="s">
        <v>39</v>
      </c>
      <c r="D2525" s="158" t="s">
        <v>40</v>
      </c>
      <c r="E2525" s="157">
        <v>1.25</v>
      </c>
      <c r="F2525" s="158" t="s">
        <v>525</v>
      </c>
      <c r="G2525" s="159">
        <v>4122.95</v>
      </c>
      <c r="H2525" s="159">
        <v>0</v>
      </c>
      <c r="I2525" s="159">
        <v>1914.39</v>
      </c>
      <c r="J2525" s="159">
        <v>46.4</v>
      </c>
      <c r="K2525" t="str">
        <f>VLOOKUP($C2525,Lists!$C$3:$M$118,7,FALSE)</f>
        <v>SOBO_RGB</v>
      </c>
    </row>
    <row r="2526" spans="1:11" x14ac:dyDescent="0.25">
      <c r="A2526" s="158" t="s">
        <v>946</v>
      </c>
      <c r="B2526" s="158" t="s">
        <v>947</v>
      </c>
      <c r="C2526" s="158" t="s">
        <v>47</v>
      </c>
      <c r="D2526" s="158" t="s">
        <v>48</v>
      </c>
      <c r="E2526" s="157">
        <v>0.85</v>
      </c>
      <c r="F2526" s="158" t="s">
        <v>525</v>
      </c>
      <c r="G2526" s="159">
        <v>3364.33</v>
      </c>
      <c r="H2526" s="159">
        <v>0</v>
      </c>
      <c r="I2526" s="159">
        <v>1468.23</v>
      </c>
      <c r="J2526" s="159">
        <v>43.6</v>
      </c>
      <c r="K2526" t="str">
        <f>VLOOKUP($C2526,Lists!$C$3:$M$118,7,FALSE)</f>
        <v>COKE_RGB</v>
      </c>
    </row>
    <row r="2527" spans="1:11" x14ac:dyDescent="0.25">
      <c r="A2527" s="158" t="s">
        <v>948</v>
      </c>
      <c r="B2527" s="158" t="s">
        <v>949</v>
      </c>
      <c r="C2527" s="158" t="s">
        <v>41</v>
      </c>
      <c r="D2527" s="158" t="s">
        <v>42</v>
      </c>
      <c r="E2527" s="157">
        <v>0.1</v>
      </c>
      <c r="F2527" s="158" t="s">
        <v>525</v>
      </c>
      <c r="G2527" s="159">
        <v>772.53</v>
      </c>
      <c r="H2527" s="159">
        <v>0</v>
      </c>
      <c r="I2527" s="159">
        <v>324.02999999999997</v>
      </c>
      <c r="J2527" s="159">
        <v>41.9</v>
      </c>
      <c r="K2527" t="str">
        <f>VLOOKUP($C2527,Lists!$C$3:$M$118,7,FALSE)</f>
        <v>Alcomix</v>
      </c>
    </row>
    <row r="2528" spans="1:11" x14ac:dyDescent="0.25">
      <c r="A2528" s="158" t="s">
        <v>948</v>
      </c>
      <c r="B2528" s="158" t="s">
        <v>949</v>
      </c>
      <c r="C2528" s="158" t="s">
        <v>10</v>
      </c>
      <c r="D2528" s="158" t="s">
        <v>11</v>
      </c>
      <c r="E2528" s="157">
        <v>0.05</v>
      </c>
      <c r="F2528" s="158" t="s">
        <v>525</v>
      </c>
      <c r="G2528" s="159">
        <v>386.27</v>
      </c>
      <c r="H2528" s="159">
        <v>0</v>
      </c>
      <c r="I2528" s="159">
        <v>162.02000000000001</v>
      </c>
      <c r="J2528" s="159">
        <v>41.9</v>
      </c>
      <c r="K2528" t="str">
        <f>VLOOKUP($C2528,Lists!$C$3:$M$118,7,FALSE)</f>
        <v>Alcomix</v>
      </c>
    </row>
    <row r="2529" spans="1:11" x14ac:dyDescent="0.25">
      <c r="A2529" s="158" t="s">
        <v>948</v>
      </c>
      <c r="B2529" s="158" t="s">
        <v>949</v>
      </c>
      <c r="C2529" s="158" t="s">
        <v>12</v>
      </c>
      <c r="D2529" s="158" t="s">
        <v>13</v>
      </c>
      <c r="E2529" s="157">
        <v>13.1</v>
      </c>
      <c r="F2529" s="158" t="s">
        <v>525</v>
      </c>
      <c r="G2529" s="159">
        <v>84334.8</v>
      </c>
      <c r="H2529" s="159">
        <v>0</v>
      </c>
      <c r="I2529" s="159">
        <v>36857.11</v>
      </c>
      <c r="J2529" s="159">
        <v>43.7</v>
      </c>
      <c r="K2529" t="str">
        <f>VLOOKUP($C2529,Lists!$C$3:$M$118,7,FALSE)</f>
        <v>Beers</v>
      </c>
    </row>
    <row r="2530" spans="1:11" x14ac:dyDescent="0.25">
      <c r="A2530" s="158" t="s">
        <v>948</v>
      </c>
      <c r="B2530" s="158" t="s">
        <v>949</v>
      </c>
      <c r="C2530" s="158" t="s">
        <v>14</v>
      </c>
      <c r="D2530" s="158" t="s">
        <v>15</v>
      </c>
      <c r="E2530" s="157">
        <v>26.85</v>
      </c>
      <c r="F2530" s="158" t="s">
        <v>525</v>
      </c>
      <c r="G2530" s="159">
        <v>207424.83</v>
      </c>
      <c r="H2530" s="159">
        <v>0</v>
      </c>
      <c r="I2530" s="159">
        <v>102431.11</v>
      </c>
      <c r="J2530" s="159">
        <v>49.4</v>
      </c>
      <c r="K2530" t="str">
        <f>VLOOKUP($C2530,Lists!$C$3:$M$118,7,FALSE)</f>
        <v>Beers</v>
      </c>
    </row>
    <row r="2531" spans="1:11" x14ac:dyDescent="0.25">
      <c r="A2531" s="158" t="s">
        <v>948</v>
      </c>
      <c r="B2531" s="158" t="s">
        <v>949</v>
      </c>
      <c r="C2531" s="158" t="s">
        <v>54</v>
      </c>
      <c r="D2531" s="158" t="s">
        <v>55</v>
      </c>
      <c r="E2531" s="157">
        <v>2</v>
      </c>
      <c r="F2531" s="158" t="s">
        <v>525</v>
      </c>
      <c r="G2531" s="159">
        <v>15450.64</v>
      </c>
      <c r="H2531" s="159">
        <v>0</v>
      </c>
      <c r="I2531" s="159">
        <v>8111.14</v>
      </c>
      <c r="J2531" s="159">
        <v>52.5</v>
      </c>
      <c r="K2531" t="str">
        <f>VLOOKUP($C2531,Lists!$C$3:$M$118,7,FALSE)</f>
        <v>Beers</v>
      </c>
    </row>
    <row r="2532" spans="1:11" x14ac:dyDescent="0.25">
      <c r="A2532" s="158" t="s">
        <v>948</v>
      </c>
      <c r="B2532" s="158" t="s">
        <v>949</v>
      </c>
      <c r="C2532" s="158" t="s">
        <v>16</v>
      </c>
      <c r="D2532" s="158" t="s">
        <v>17</v>
      </c>
      <c r="E2532" s="157">
        <v>31.75</v>
      </c>
      <c r="F2532" s="158" t="s">
        <v>525</v>
      </c>
      <c r="G2532" s="159">
        <v>245278.91</v>
      </c>
      <c r="H2532" s="159">
        <v>0</v>
      </c>
      <c r="I2532" s="159">
        <v>121124.35</v>
      </c>
      <c r="J2532" s="159">
        <v>49.4</v>
      </c>
      <c r="K2532" t="str">
        <f>VLOOKUP($C2532,Lists!$C$3:$M$118,7,FALSE)</f>
        <v>Beers</v>
      </c>
    </row>
    <row r="2533" spans="1:11" x14ac:dyDescent="0.25">
      <c r="A2533" s="158" t="s">
        <v>948</v>
      </c>
      <c r="B2533" s="158" t="s">
        <v>949</v>
      </c>
      <c r="C2533" s="158" t="s">
        <v>56</v>
      </c>
      <c r="D2533" s="158" t="s">
        <v>57</v>
      </c>
      <c r="E2533" s="157">
        <v>6.8333399999999997</v>
      </c>
      <c r="F2533" s="158" t="s">
        <v>525</v>
      </c>
      <c r="G2533" s="159">
        <v>52789.74</v>
      </c>
      <c r="H2533" s="159">
        <v>0</v>
      </c>
      <c r="I2533" s="159">
        <v>27713.09</v>
      </c>
      <c r="J2533" s="159">
        <v>52.5</v>
      </c>
      <c r="K2533" t="str">
        <f>VLOOKUP($C2533,Lists!$C$3:$M$118,7,FALSE)</f>
        <v>Beers</v>
      </c>
    </row>
    <row r="2534" spans="1:11" x14ac:dyDescent="0.25">
      <c r="A2534" s="158" t="s">
        <v>948</v>
      </c>
      <c r="B2534" s="158" t="s">
        <v>949</v>
      </c>
      <c r="C2534" s="158" t="s">
        <v>18</v>
      </c>
      <c r="D2534" s="158" t="s">
        <v>19</v>
      </c>
      <c r="E2534" s="157">
        <v>7.8</v>
      </c>
      <c r="F2534" s="158" t="s">
        <v>525</v>
      </c>
      <c r="G2534" s="159">
        <v>80343.350000000006</v>
      </c>
      <c r="H2534" s="159">
        <v>0</v>
      </c>
      <c r="I2534" s="159">
        <v>41659.230000000003</v>
      </c>
      <c r="J2534" s="159">
        <v>51.9</v>
      </c>
      <c r="K2534" t="str">
        <f>VLOOKUP($C2534,Lists!$C$3:$M$118,7,FALSE)</f>
        <v>Beers</v>
      </c>
    </row>
    <row r="2535" spans="1:11" x14ac:dyDescent="0.25">
      <c r="A2535" s="158" t="s">
        <v>948</v>
      </c>
      <c r="B2535" s="158" t="s">
        <v>949</v>
      </c>
      <c r="C2535" s="158" t="s">
        <v>20</v>
      </c>
      <c r="D2535" s="158" t="s">
        <v>21</v>
      </c>
      <c r="E2535" s="157">
        <v>14.25</v>
      </c>
      <c r="F2535" s="158" t="s">
        <v>525</v>
      </c>
      <c r="G2535" s="159">
        <v>56401.93</v>
      </c>
      <c r="H2535" s="159">
        <v>0</v>
      </c>
      <c r="I2535" s="159">
        <v>23702.44</v>
      </c>
      <c r="J2535" s="159">
        <v>42</v>
      </c>
      <c r="K2535" t="str">
        <f>VLOOKUP($C2535,Lists!$C$3:$M$118,7,FALSE)</f>
        <v>COKE_RGB</v>
      </c>
    </row>
    <row r="2536" spans="1:11" x14ac:dyDescent="0.25">
      <c r="A2536" s="158" t="s">
        <v>948</v>
      </c>
      <c r="B2536" s="158" t="s">
        <v>949</v>
      </c>
      <c r="C2536" s="158" t="s">
        <v>59</v>
      </c>
      <c r="D2536" s="158" t="s">
        <v>60</v>
      </c>
      <c r="E2536" s="157">
        <v>0.75</v>
      </c>
      <c r="F2536" s="158" t="s">
        <v>525</v>
      </c>
      <c r="G2536" s="159">
        <v>2968.52</v>
      </c>
      <c r="H2536" s="159">
        <v>0</v>
      </c>
      <c r="I2536" s="159">
        <v>1208.68</v>
      </c>
      <c r="J2536" s="159">
        <v>40.700000000000003</v>
      </c>
      <c r="K2536" t="str">
        <f>VLOOKUP($C2536,Lists!$C$3:$M$118,7,FALSE)</f>
        <v>COKE_RGB</v>
      </c>
    </row>
    <row r="2537" spans="1:11" x14ac:dyDescent="0.25">
      <c r="A2537" s="158" t="s">
        <v>948</v>
      </c>
      <c r="B2537" s="158" t="s">
        <v>949</v>
      </c>
      <c r="C2537" s="158" t="s">
        <v>22</v>
      </c>
      <c r="D2537" s="158" t="s">
        <v>23</v>
      </c>
      <c r="E2537" s="157">
        <v>1.45</v>
      </c>
      <c r="F2537" s="158" t="s">
        <v>525</v>
      </c>
      <c r="G2537" s="159">
        <v>5739.14</v>
      </c>
      <c r="H2537" s="159">
        <v>0</v>
      </c>
      <c r="I2537" s="159">
        <v>2312.11</v>
      </c>
      <c r="J2537" s="159">
        <v>40.299999999999997</v>
      </c>
      <c r="K2537" t="str">
        <f>VLOOKUP($C2537,Lists!$C$3:$M$118,7,FALSE)</f>
        <v>COKE_RGB</v>
      </c>
    </row>
    <row r="2538" spans="1:11" x14ac:dyDescent="0.25">
      <c r="A2538" s="158" t="s">
        <v>948</v>
      </c>
      <c r="B2538" s="158" t="s">
        <v>949</v>
      </c>
      <c r="C2538" s="158" t="s">
        <v>261</v>
      </c>
      <c r="D2538" s="158" t="s">
        <v>538</v>
      </c>
      <c r="E2538" s="157">
        <v>3.6</v>
      </c>
      <c r="F2538" s="158" t="s">
        <v>525</v>
      </c>
      <c r="G2538" s="159">
        <v>14248.91</v>
      </c>
      <c r="H2538" s="159">
        <v>0</v>
      </c>
      <c r="I2538" s="159">
        <v>5740.41</v>
      </c>
      <c r="J2538" s="159">
        <v>40.299999999999997</v>
      </c>
      <c r="K2538" t="str">
        <f>VLOOKUP($C2538,Lists!$C$3:$M$118,7,FALSE)</f>
        <v>COKE_RGB</v>
      </c>
    </row>
    <row r="2539" spans="1:11" x14ac:dyDescent="0.25">
      <c r="A2539" s="158" t="s">
        <v>948</v>
      </c>
      <c r="B2539" s="158" t="s">
        <v>949</v>
      </c>
      <c r="C2539" s="158" t="s">
        <v>24</v>
      </c>
      <c r="D2539" s="158" t="s">
        <v>25</v>
      </c>
      <c r="E2539" s="157">
        <v>7.35</v>
      </c>
      <c r="F2539" s="158" t="s">
        <v>525</v>
      </c>
      <c r="G2539" s="159">
        <v>47317.61</v>
      </c>
      <c r="H2539" s="159">
        <v>0</v>
      </c>
      <c r="I2539" s="159">
        <v>22782.35</v>
      </c>
      <c r="J2539" s="159">
        <v>48.1</v>
      </c>
      <c r="K2539" t="str">
        <f>VLOOKUP($C2539,Lists!$C$3:$M$118,7,FALSE)</f>
        <v>Beers</v>
      </c>
    </row>
    <row r="2540" spans="1:11" x14ac:dyDescent="0.25">
      <c r="A2540" s="158" t="s">
        <v>948</v>
      </c>
      <c r="B2540" s="158" t="s">
        <v>949</v>
      </c>
      <c r="C2540" s="158" t="s">
        <v>37</v>
      </c>
      <c r="D2540" s="158" t="s">
        <v>38</v>
      </c>
      <c r="E2540" s="157">
        <v>10.45</v>
      </c>
      <c r="F2540" s="158" t="s">
        <v>525</v>
      </c>
      <c r="G2540" s="159">
        <v>34467.870000000003</v>
      </c>
      <c r="H2540" s="159">
        <v>0</v>
      </c>
      <c r="I2540" s="159">
        <v>16147.03</v>
      </c>
      <c r="J2540" s="159">
        <v>46.8</v>
      </c>
      <c r="K2540" t="str">
        <f>VLOOKUP($C2540,Lists!$C$3:$M$118,7,FALSE)</f>
        <v>SOBO_RGB</v>
      </c>
    </row>
    <row r="2541" spans="1:11" x14ac:dyDescent="0.25">
      <c r="A2541" s="158" t="s">
        <v>948</v>
      </c>
      <c r="B2541" s="158" t="s">
        <v>949</v>
      </c>
      <c r="C2541" s="158" t="s">
        <v>39</v>
      </c>
      <c r="D2541" s="158" t="s">
        <v>40</v>
      </c>
      <c r="E2541" s="157">
        <v>3.1</v>
      </c>
      <c r="F2541" s="158" t="s">
        <v>525</v>
      </c>
      <c r="G2541" s="159">
        <v>10224.91</v>
      </c>
      <c r="H2541" s="159">
        <v>0</v>
      </c>
      <c r="I2541" s="159">
        <v>4747.67</v>
      </c>
      <c r="J2541" s="159">
        <v>46.4</v>
      </c>
      <c r="K2541" t="str">
        <f>VLOOKUP($C2541,Lists!$C$3:$M$118,7,FALSE)</f>
        <v>SOBO_RGB</v>
      </c>
    </row>
    <row r="2542" spans="1:11" x14ac:dyDescent="0.25">
      <c r="A2542" s="158" t="s">
        <v>948</v>
      </c>
      <c r="B2542" s="158" t="s">
        <v>949</v>
      </c>
      <c r="C2542" s="158" t="s">
        <v>45</v>
      </c>
      <c r="D2542" s="158" t="s">
        <v>46</v>
      </c>
      <c r="E2542" s="157">
        <v>1.25</v>
      </c>
      <c r="F2542" s="158" t="s">
        <v>525</v>
      </c>
      <c r="G2542" s="159">
        <v>4947.54</v>
      </c>
      <c r="H2542" s="159">
        <v>0</v>
      </c>
      <c r="I2542" s="159">
        <v>2436.84</v>
      </c>
      <c r="J2542" s="159">
        <v>49.3</v>
      </c>
      <c r="K2542" t="str">
        <f>VLOOKUP($C2542,Lists!$C$3:$M$118,7,FALSE)</f>
        <v>SOBO_RGB</v>
      </c>
    </row>
    <row r="2543" spans="1:11" x14ac:dyDescent="0.25">
      <c r="A2543" s="158" t="s">
        <v>948</v>
      </c>
      <c r="B2543" s="158" t="s">
        <v>949</v>
      </c>
      <c r="C2543" s="158" t="s">
        <v>47</v>
      </c>
      <c r="D2543" s="158" t="s">
        <v>48</v>
      </c>
      <c r="E2543" s="157">
        <v>0.55000000000000004</v>
      </c>
      <c r="F2543" s="158" t="s">
        <v>525</v>
      </c>
      <c r="G2543" s="159">
        <v>2176.91</v>
      </c>
      <c r="H2543" s="159">
        <v>0</v>
      </c>
      <c r="I2543" s="159">
        <v>950.02</v>
      </c>
      <c r="J2543" s="159">
        <v>43.6</v>
      </c>
      <c r="K2543" t="str">
        <f>VLOOKUP($C2543,Lists!$C$3:$M$118,7,FALSE)</f>
        <v>COKE_RGB</v>
      </c>
    </row>
    <row r="2544" spans="1:11" x14ac:dyDescent="0.25">
      <c r="A2544" s="158" t="s">
        <v>950</v>
      </c>
      <c r="B2544" s="158" t="s">
        <v>951</v>
      </c>
      <c r="C2544" s="158" t="s">
        <v>10</v>
      </c>
      <c r="D2544" s="158" t="s">
        <v>11</v>
      </c>
      <c r="E2544" s="157">
        <v>0.25</v>
      </c>
      <c r="F2544" s="158" t="s">
        <v>525</v>
      </c>
      <c r="G2544" s="159">
        <v>1931.33</v>
      </c>
      <c r="H2544" s="159">
        <v>0</v>
      </c>
      <c r="I2544" s="159">
        <v>810.08</v>
      </c>
      <c r="J2544" s="159">
        <v>41.9</v>
      </c>
      <c r="K2544" t="str">
        <f>VLOOKUP($C2544,Lists!$C$3:$M$118,7,FALSE)</f>
        <v>Alcomix</v>
      </c>
    </row>
    <row r="2545" spans="1:11" x14ac:dyDescent="0.25">
      <c r="A2545" s="158" t="s">
        <v>950</v>
      </c>
      <c r="B2545" s="158" t="s">
        <v>951</v>
      </c>
      <c r="C2545" s="158" t="s">
        <v>12</v>
      </c>
      <c r="D2545" s="158" t="s">
        <v>13</v>
      </c>
      <c r="E2545" s="157">
        <v>0.5</v>
      </c>
      <c r="F2545" s="158" t="s">
        <v>525</v>
      </c>
      <c r="G2545" s="159">
        <v>3218.89</v>
      </c>
      <c r="H2545" s="159">
        <v>0</v>
      </c>
      <c r="I2545" s="159">
        <v>1406.76</v>
      </c>
      <c r="J2545" s="159">
        <v>43.7</v>
      </c>
      <c r="K2545" t="str">
        <f>VLOOKUP($C2545,Lists!$C$3:$M$118,7,FALSE)</f>
        <v>Beers</v>
      </c>
    </row>
    <row r="2546" spans="1:11" x14ac:dyDescent="0.25">
      <c r="A2546" s="158" t="s">
        <v>950</v>
      </c>
      <c r="B2546" s="158" t="s">
        <v>951</v>
      </c>
      <c r="C2546" s="158" t="s">
        <v>20</v>
      </c>
      <c r="D2546" s="158" t="s">
        <v>21</v>
      </c>
      <c r="E2546" s="157">
        <v>1.05</v>
      </c>
      <c r="F2546" s="158" t="s">
        <v>525</v>
      </c>
      <c r="G2546" s="159">
        <v>4155.93</v>
      </c>
      <c r="H2546" s="159">
        <v>0</v>
      </c>
      <c r="I2546" s="159">
        <v>1746.49</v>
      </c>
      <c r="J2546" s="159">
        <v>42</v>
      </c>
      <c r="K2546" t="str">
        <f>VLOOKUP($C2546,Lists!$C$3:$M$118,7,FALSE)</f>
        <v>COKE_RGB</v>
      </c>
    </row>
    <row r="2547" spans="1:11" x14ac:dyDescent="0.25">
      <c r="A2547" s="158" t="s">
        <v>950</v>
      </c>
      <c r="B2547" s="158" t="s">
        <v>951</v>
      </c>
      <c r="C2547" s="158" t="s">
        <v>43</v>
      </c>
      <c r="D2547" s="158" t="s">
        <v>44</v>
      </c>
      <c r="E2547" s="157">
        <v>0.45</v>
      </c>
      <c r="F2547" s="158" t="s">
        <v>525</v>
      </c>
      <c r="G2547" s="159">
        <v>3476.39</v>
      </c>
      <c r="H2547" s="159">
        <v>0</v>
      </c>
      <c r="I2547" s="159">
        <v>1716.72</v>
      </c>
      <c r="J2547" s="159">
        <v>49.4</v>
      </c>
      <c r="K2547" t="str">
        <f>VLOOKUP($C2547,Lists!$C$3:$M$118,7,FALSE)</f>
        <v>Beers</v>
      </c>
    </row>
    <row r="2548" spans="1:11" x14ac:dyDescent="0.25">
      <c r="A2548" s="158" t="s">
        <v>950</v>
      </c>
      <c r="B2548" s="158" t="s">
        <v>951</v>
      </c>
      <c r="C2548" s="158" t="s">
        <v>24</v>
      </c>
      <c r="D2548" s="158" t="s">
        <v>25</v>
      </c>
      <c r="E2548" s="157">
        <v>2.0499999999999998</v>
      </c>
      <c r="F2548" s="158" t="s">
        <v>525</v>
      </c>
      <c r="G2548" s="159">
        <v>13197.43</v>
      </c>
      <c r="H2548" s="159">
        <v>0</v>
      </c>
      <c r="I2548" s="159">
        <v>6354.26</v>
      </c>
      <c r="J2548" s="159">
        <v>48.1</v>
      </c>
      <c r="K2548" t="str">
        <f>VLOOKUP($C2548,Lists!$C$3:$M$118,7,FALSE)</f>
        <v>Beers</v>
      </c>
    </row>
    <row r="2549" spans="1:11" x14ac:dyDescent="0.25">
      <c r="A2549" s="158" t="s">
        <v>952</v>
      </c>
      <c r="B2549" s="158" t="s">
        <v>953</v>
      </c>
      <c r="C2549" s="158" t="s">
        <v>14</v>
      </c>
      <c r="D2549" s="158" t="s">
        <v>15</v>
      </c>
      <c r="E2549" s="157">
        <v>1.25</v>
      </c>
      <c r="F2549" s="158" t="s">
        <v>525</v>
      </c>
      <c r="G2549" s="159">
        <v>9656.65</v>
      </c>
      <c r="H2549" s="159">
        <v>0</v>
      </c>
      <c r="I2549" s="159">
        <v>4768.67</v>
      </c>
      <c r="J2549" s="159">
        <v>49.4</v>
      </c>
      <c r="K2549" t="str">
        <f>VLOOKUP($C2549,Lists!$C$3:$M$118,7,FALSE)</f>
        <v>Beers</v>
      </c>
    </row>
    <row r="2550" spans="1:11" x14ac:dyDescent="0.25">
      <c r="A2550" s="158" t="s">
        <v>952</v>
      </c>
      <c r="B2550" s="158" t="s">
        <v>953</v>
      </c>
      <c r="C2550" s="158" t="s">
        <v>18</v>
      </c>
      <c r="D2550" s="158" t="s">
        <v>19</v>
      </c>
      <c r="E2550" s="157">
        <v>1.4</v>
      </c>
      <c r="F2550" s="158" t="s">
        <v>525</v>
      </c>
      <c r="G2550" s="159">
        <v>14420.6</v>
      </c>
      <c r="H2550" s="159">
        <v>0</v>
      </c>
      <c r="I2550" s="159">
        <v>7477.3</v>
      </c>
      <c r="J2550" s="159">
        <v>51.9</v>
      </c>
      <c r="K2550" t="str">
        <f>VLOOKUP($C2550,Lists!$C$3:$M$118,7,FALSE)</f>
        <v>Beers</v>
      </c>
    </row>
    <row r="2551" spans="1:11" x14ac:dyDescent="0.25">
      <c r="A2551" s="158" t="s">
        <v>952</v>
      </c>
      <c r="B2551" s="158" t="s">
        <v>953</v>
      </c>
      <c r="C2551" s="158" t="s">
        <v>20</v>
      </c>
      <c r="D2551" s="158" t="s">
        <v>21</v>
      </c>
      <c r="E2551" s="157">
        <v>3.5</v>
      </c>
      <c r="F2551" s="158" t="s">
        <v>525</v>
      </c>
      <c r="G2551" s="159">
        <v>13853.11</v>
      </c>
      <c r="H2551" s="159">
        <v>0</v>
      </c>
      <c r="I2551" s="159">
        <v>5821.65</v>
      </c>
      <c r="J2551" s="159">
        <v>42</v>
      </c>
      <c r="K2551" t="str">
        <f>VLOOKUP($C2551,Lists!$C$3:$M$118,7,FALSE)</f>
        <v>COKE_RGB</v>
      </c>
    </row>
    <row r="2552" spans="1:11" x14ac:dyDescent="0.25">
      <c r="A2552" s="158" t="s">
        <v>952</v>
      </c>
      <c r="B2552" s="158" t="s">
        <v>953</v>
      </c>
      <c r="C2552" s="158" t="s">
        <v>43</v>
      </c>
      <c r="D2552" s="158" t="s">
        <v>44</v>
      </c>
      <c r="E2552" s="157">
        <v>0.65</v>
      </c>
      <c r="F2552" s="158" t="s">
        <v>525</v>
      </c>
      <c r="G2552" s="159">
        <v>5021.45</v>
      </c>
      <c r="H2552" s="159">
        <v>0</v>
      </c>
      <c r="I2552" s="159">
        <v>2479.6999999999998</v>
      </c>
      <c r="J2552" s="159">
        <v>49.4</v>
      </c>
      <c r="K2552" t="str">
        <f>VLOOKUP($C2552,Lists!$C$3:$M$118,7,FALSE)</f>
        <v>Beers</v>
      </c>
    </row>
    <row r="2553" spans="1:11" x14ac:dyDescent="0.25">
      <c r="A2553" s="158" t="s">
        <v>952</v>
      </c>
      <c r="B2553" s="158" t="s">
        <v>953</v>
      </c>
      <c r="C2553" s="158" t="s">
        <v>45</v>
      </c>
      <c r="D2553" s="158" t="s">
        <v>46</v>
      </c>
      <c r="E2553" s="157">
        <v>0.45</v>
      </c>
      <c r="F2553" s="158" t="s">
        <v>525</v>
      </c>
      <c r="G2553" s="159">
        <v>1781.11</v>
      </c>
      <c r="H2553" s="159">
        <v>0</v>
      </c>
      <c r="I2553" s="159">
        <v>877.26</v>
      </c>
      <c r="J2553" s="159">
        <v>49.3</v>
      </c>
      <c r="K2553" t="str">
        <f>VLOOKUP($C2553,Lists!$C$3:$M$118,7,FALSE)</f>
        <v>SOBO_RGB</v>
      </c>
    </row>
    <row r="2554" spans="1:11" x14ac:dyDescent="0.25">
      <c r="A2554" s="158" t="s">
        <v>952</v>
      </c>
      <c r="B2554" s="158" t="s">
        <v>953</v>
      </c>
      <c r="C2554" s="158" t="s">
        <v>47</v>
      </c>
      <c r="D2554" s="158" t="s">
        <v>48</v>
      </c>
      <c r="E2554" s="157">
        <v>1.1000000000000001</v>
      </c>
      <c r="F2554" s="158" t="s">
        <v>525</v>
      </c>
      <c r="G2554" s="159">
        <v>4353.83</v>
      </c>
      <c r="H2554" s="159">
        <v>0</v>
      </c>
      <c r="I2554" s="159">
        <v>1900.06</v>
      </c>
      <c r="J2554" s="159">
        <v>43.6</v>
      </c>
      <c r="K2554" t="str">
        <f>VLOOKUP($C2554,Lists!$C$3:$M$118,7,FALSE)</f>
        <v>COKE_RGB</v>
      </c>
    </row>
    <row r="2555" spans="1:11" x14ac:dyDescent="0.25">
      <c r="A2555" s="158" t="s">
        <v>954</v>
      </c>
      <c r="B2555" s="158" t="s">
        <v>955</v>
      </c>
      <c r="C2555" s="158" t="s">
        <v>12</v>
      </c>
      <c r="D2555" s="158" t="s">
        <v>13</v>
      </c>
      <c r="E2555" s="157">
        <v>0.05</v>
      </c>
      <c r="F2555" s="158" t="s">
        <v>525</v>
      </c>
      <c r="G2555" s="159">
        <v>321.89</v>
      </c>
      <c r="H2555" s="159">
        <v>0</v>
      </c>
      <c r="I2555" s="159">
        <v>140.68</v>
      </c>
      <c r="J2555" s="159">
        <v>43.7</v>
      </c>
      <c r="K2555" t="str">
        <f>VLOOKUP($C2555,Lists!$C$3:$M$118,7,FALSE)</f>
        <v>Beers</v>
      </c>
    </row>
    <row r="2556" spans="1:11" x14ac:dyDescent="0.25">
      <c r="A2556" s="158" t="s">
        <v>954</v>
      </c>
      <c r="B2556" s="158" t="s">
        <v>955</v>
      </c>
      <c r="C2556" s="158" t="s">
        <v>14</v>
      </c>
      <c r="D2556" s="158" t="s">
        <v>15</v>
      </c>
      <c r="E2556" s="157">
        <v>0.3</v>
      </c>
      <c r="F2556" s="158" t="s">
        <v>525</v>
      </c>
      <c r="G2556" s="159">
        <v>2317.6</v>
      </c>
      <c r="H2556" s="159">
        <v>0</v>
      </c>
      <c r="I2556" s="159">
        <v>1144.49</v>
      </c>
      <c r="J2556" s="159">
        <v>49.4</v>
      </c>
      <c r="K2556" t="str">
        <f>VLOOKUP($C2556,Lists!$C$3:$M$118,7,FALSE)</f>
        <v>Beers</v>
      </c>
    </row>
    <row r="2557" spans="1:11" x14ac:dyDescent="0.25">
      <c r="A2557" s="158" t="s">
        <v>954</v>
      </c>
      <c r="B2557" s="158" t="s">
        <v>955</v>
      </c>
      <c r="C2557" s="158" t="s">
        <v>16</v>
      </c>
      <c r="D2557" s="158" t="s">
        <v>17</v>
      </c>
      <c r="E2557" s="157">
        <v>0</v>
      </c>
      <c r="F2557" s="158" t="s">
        <v>525</v>
      </c>
      <c r="G2557" s="159">
        <v>0</v>
      </c>
      <c r="H2557" s="159">
        <v>0</v>
      </c>
      <c r="I2557" s="159">
        <v>0</v>
      </c>
      <c r="J2557" s="159">
        <v>0</v>
      </c>
      <c r="K2557" t="str">
        <f>VLOOKUP($C2557,Lists!$C$3:$M$118,7,FALSE)</f>
        <v>Beers</v>
      </c>
    </row>
    <row r="2558" spans="1:11" x14ac:dyDescent="0.25">
      <c r="A2558" s="158" t="s">
        <v>954</v>
      </c>
      <c r="B2558" s="158" t="s">
        <v>955</v>
      </c>
      <c r="C2558" s="158" t="s">
        <v>56</v>
      </c>
      <c r="D2558" s="158" t="s">
        <v>57</v>
      </c>
      <c r="E2558" s="157">
        <v>0</v>
      </c>
      <c r="F2558" s="158" t="s">
        <v>525</v>
      </c>
      <c r="G2558" s="159">
        <v>0</v>
      </c>
      <c r="H2558" s="159">
        <v>0</v>
      </c>
      <c r="I2558" s="159">
        <v>0</v>
      </c>
      <c r="J2558" s="159">
        <v>0</v>
      </c>
      <c r="K2558" t="str">
        <f>VLOOKUP($C2558,Lists!$C$3:$M$118,7,FALSE)</f>
        <v>Beers</v>
      </c>
    </row>
    <row r="2559" spans="1:11" x14ac:dyDescent="0.25">
      <c r="A2559" s="158" t="s">
        <v>954</v>
      </c>
      <c r="B2559" s="158" t="s">
        <v>955</v>
      </c>
      <c r="C2559" s="158" t="s">
        <v>18</v>
      </c>
      <c r="D2559" s="158" t="s">
        <v>19</v>
      </c>
      <c r="E2559" s="157">
        <v>1.2</v>
      </c>
      <c r="F2559" s="158" t="s">
        <v>525</v>
      </c>
      <c r="G2559" s="159">
        <v>12360.52</v>
      </c>
      <c r="H2559" s="159">
        <v>0</v>
      </c>
      <c r="I2559" s="159">
        <v>6409.12</v>
      </c>
      <c r="J2559" s="159">
        <v>51.9</v>
      </c>
      <c r="K2559" t="str">
        <f>VLOOKUP($C2559,Lists!$C$3:$M$118,7,FALSE)</f>
        <v>Beers</v>
      </c>
    </row>
    <row r="2560" spans="1:11" x14ac:dyDescent="0.25">
      <c r="A2560" s="158" t="s">
        <v>954</v>
      </c>
      <c r="B2560" s="158" t="s">
        <v>955</v>
      </c>
      <c r="C2560" s="158" t="s">
        <v>20</v>
      </c>
      <c r="D2560" s="158" t="s">
        <v>21</v>
      </c>
      <c r="E2560" s="157">
        <v>0.15</v>
      </c>
      <c r="F2560" s="158" t="s">
        <v>525</v>
      </c>
      <c r="G2560" s="159">
        <v>593.70000000000005</v>
      </c>
      <c r="H2560" s="159">
        <v>0</v>
      </c>
      <c r="I2560" s="159">
        <v>249.49</v>
      </c>
      <c r="J2560" s="159">
        <v>42</v>
      </c>
      <c r="K2560" t="str">
        <f>VLOOKUP($C2560,Lists!$C$3:$M$118,7,FALSE)</f>
        <v>COKE_RGB</v>
      </c>
    </row>
    <row r="2561" spans="1:11" x14ac:dyDescent="0.25">
      <c r="A2561" s="158" t="s">
        <v>954</v>
      </c>
      <c r="B2561" s="158" t="s">
        <v>955</v>
      </c>
      <c r="C2561" s="158" t="s">
        <v>22</v>
      </c>
      <c r="D2561" s="158" t="s">
        <v>23</v>
      </c>
      <c r="E2561" s="157">
        <v>0.15</v>
      </c>
      <c r="F2561" s="158" t="s">
        <v>525</v>
      </c>
      <c r="G2561" s="159">
        <v>593.70000000000005</v>
      </c>
      <c r="H2561" s="159">
        <v>0</v>
      </c>
      <c r="I2561" s="159">
        <v>239.18</v>
      </c>
      <c r="J2561" s="159">
        <v>40.299999999999997</v>
      </c>
      <c r="K2561" t="str">
        <f>VLOOKUP($C2561,Lists!$C$3:$M$118,7,FALSE)</f>
        <v>COKE_RGB</v>
      </c>
    </row>
    <row r="2562" spans="1:11" x14ac:dyDescent="0.25">
      <c r="A2562" s="158" t="s">
        <v>954</v>
      </c>
      <c r="B2562" s="158" t="s">
        <v>955</v>
      </c>
      <c r="C2562" s="158" t="s">
        <v>24</v>
      </c>
      <c r="D2562" s="158" t="s">
        <v>25</v>
      </c>
      <c r="E2562" s="157">
        <v>1.35</v>
      </c>
      <c r="F2562" s="158" t="s">
        <v>525</v>
      </c>
      <c r="G2562" s="159">
        <v>8690.99</v>
      </c>
      <c r="H2562" s="159">
        <v>0</v>
      </c>
      <c r="I2562" s="159">
        <v>4184.51</v>
      </c>
      <c r="J2562" s="159">
        <v>48.1</v>
      </c>
      <c r="K2562" t="str">
        <f>VLOOKUP($C2562,Lists!$C$3:$M$118,7,FALSE)</f>
        <v>Beers</v>
      </c>
    </row>
    <row r="2563" spans="1:11" x14ac:dyDescent="0.25">
      <c r="A2563" s="158" t="s">
        <v>954</v>
      </c>
      <c r="B2563" s="158" t="s">
        <v>955</v>
      </c>
      <c r="C2563" s="158" t="s">
        <v>37</v>
      </c>
      <c r="D2563" s="158" t="s">
        <v>38</v>
      </c>
      <c r="E2563" s="157">
        <v>0.2</v>
      </c>
      <c r="F2563" s="158" t="s">
        <v>525</v>
      </c>
      <c r="G2563" s="159">
        <v>659.67</v>
      </c>
      <c r="H2563" s="159">
        <v>0</v>
      </c>
      <c r="I2563" s="159">
        <v>309.02999999999997</v>
      </c>
      <c r="J2563" s="159">
        <v>46.8</v>
      </c>
      <c r="K2563" t="str">
        <f>VLOOKUP($C2563,Lists!$C$3:$M$118,7,FALSE)</f>
        <v>SOBO_RGB</v>
      </c>
    </row>
    <row r="2564" spans="1:11" x14ac:dyDescent="0.25">
      <c r="A2564" s="158" t="s">
        <v>954</v>
      </c>
      <c r="B2564" s="158" t="s">
        <v>955</v>
      </c>
      <c r="C2564" s="158" t="s">
        <v>47</v>
      </c>
      <c r="D2564" s="158" t="s">
        <v>48</v>
      </c>
      <c r="E2564" s="157">
        <v>0.15</v>
      </c>
      <c r="F2564" s="158" t="s">
        <v>525</v>
      </c>
      <c r="G2564" s="159">
        <v>593.70000000000005</v>
      </c>
      <c r="H2564" s="159">
        <v>0</v>
      </c>
      <c r="I2564" s="159">
        <v>259.08999999999997</v>
      </c>
      <c r="J2564" s="159">
        <v>43.6</v>
      </c>
      <c r="K2564" t="str">
        <f>VLOOKUP($C2564,Lists!$C$3:$M$118,7,FALSE)</f>
        <v>COKE_RGB</v>
      </c>
    </row>
    <row r="2565" spans="1:11" x14ac:dyDescent="0.25">
      <c r="A2565" s="158" t="s">
        <v>954</v>
      </c>
      <c r="B2565" s="158" t="s">
        <v>955</v>
      </c>
      <c r="C2565" s="158" t="s">
        <v>49</v>
      </c>
      <c r="D2565" s="158" t="s">
        <v>50</v>
      </c>
      <c r="E2565" s="157">
        <v>17</v>
      </c>
      <c r="F2565" s="158" t="s">
        <v>525</v>
      </c>
      <c r="G2565" s="159">
        <v>170465.46</v>
      </c>
      <c r="H2565" s="159">
        <v>0</v>
      </c>
      <c r="I2565" s="159">
        <v>54293.24</v>
      </c>
      <c r="J2565" s="159">
        <v>31.8</v>
      </c>
      <c r="K2565" t="str">
        <f>VLOOKUP($C2565,Lists!$C$3:$M$118,7,FALSE)</f>
        <v>Squash</v>
      </c>
    </row>
  </sheetData>
  <autoFilter ref="A1:K2565" xr:uid="{A457E0DF-86D5-4FA7-A9F0-22ECCCB4F4A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EB62-8A51-4A7D-8BB7-318E8182088C}">
  <sheetPr codeName="Sheet6">
    <outlinePr summaryBelow="0" summaryRight="0"/>
  </sheetPr>
  <dimension ref="A1:I48"/>
  <sheetViews>
    <sheetView workbookViewId="0">
      <pane ySplit="1" topLeftCell="A2" activePane="bottomLeft" state="frozen"/>
      <selection activeCell="E18" sqref="E18"/>
      <selection pane="bottomLeft" activeCell="B2" sqref="B2:B47"/>
    </sheetView>
  </sheetViews>
  <sheetFormatPr defaultColWidth="9.140625" defaultRowHeight="15" x14ac:dyDescent="0.25"/>
  <cols>
    <col min="1" max="1" width="17.5703125" style="69" bestFit="1" customWidth="1"/>
    <col min="2" max="2" width="39.28515625" style="69" customWidth="1"/>
    <col min="3" max="3" width="14.5703125" style="69" bestFit="1" customWidth="1"/>
    <col min="4" max="4" width="18.42578125" style="69" bestFit="1" customWidth="1"/>
    <col min="5" max="5" width="20.85546875" style="69" bestFit="1" customWidth="1"/>
    <col min="6" max="6" width="15.140625" style="69" bestFit="1" customWidth="1"/>
    <col min="7" max="7" width="20" style="69" bestFit="1" customWidth="1"/>
    <col min="8" max="8" width="22.28515625" style="69" bestFit="1" customWidth="1"/>
    <col min="9" max="9" width="16.5703125" style="69" bestFit="1" customWidth="1"/>
    <col min="10" max="16384" width="9.140625" style="69"/>
  </cols>
  <sheetData>
    <row r="1" spans="1:9" s="70" customFormat="1" x14ac:dyDescent="0.25">
      <c r="A1" s="85" t="s">
        <v>400</v>
      </c>
      <c r="B1" s="85" t="s">
        <v>401</v>
      </c>
      <c r="C1" s="85" t="s">
        <v>402</v>
      </c>
      <c r="D1" s="86" t="s">
        <v>403</v>
      </c>
      <c r="E1" s="85" t="s">
        <v>404</v>
      </c>
      <c r="F1" s="85" t="s">
        <v>405</v>
      </c>
      <c r="G1" s="85" t="s">
        <v>406</v>
      </c>
      <c r="H1" s="85" t="s">
        <v>407</v>
      </c>
      <c r="I1" s="85" t="s">
        <v>408</v>
      </c>
    </row>
    <row r="2" spans="1:9" x14ac:dyDescent="0.25">
      <c r="A2" s="87" t="s">
        <v>499</v>
      </c>
      <c r="B2" s="88" t="s">
        <v>500</v>
      </c>
      <c r="C2" s="89" t="s">
        <v>494</v>
      </c>
      <c r="D2" s="90">
        <v>444240</v>
      </c>
      <c r="E2" s="91">
        <v>408304</v>
      </c>
      <c r="F2" s="92">
        <v>0.91910678912299659</v>
      </c>
      <c r="G2" s="91">
        <v>22332</v>
      </c>
      <c r="H2" s="91">
        <v>20388</v>
      </c>
      <c r="I2" s="92">
        <v>0.91295002686727567</v>
      </c>
    </row>
    <row r="3" spans="1:9" x14ac:dyDescent="0.25">
      <c r="A3" s="87" t="s">
        <v>483</v>
      </c>
      <c r="B3" s="88" t="s">
        <v>484</v>
      </c>
      <c r="C3" s="89" t="s">
        <v>494</v>
      </c>
      <c r="D3" s="90">
        <v>218040</v>
      </c>
      <c r="E3" s="91">
        <v>218040</v>
      </c>
      <c r="F3" s="92">
        <v>1</v>
      </c>
      <c r="G3" s="91">
        <v>11162</v>
      </c>
      <c r="H3" s="91">
        <v>11162</v>
      </c>
      <c r="I3" s="92">
        <v>1</v>
      </c>
    </row>
    <row r="4" spans="1:9" x14ac:dyDescent="0.25">
      <c r="A4" s="87" t="s">
        <v>481</v>
      </c>
      <c r="B4" s="88" t="s">
        <v>482</v>
      </c>
      <c r="C4" s="89" t="s">
        <v>494</v>
      </c>
      <c r="D4" s="90">
        <v>34560</v>
      </c>
      <c r="E4" s="91">
        <v>34558.905982905984</v>
      </c>
      <c r="F4" s="92">
        <v>0.99996834441278892</v>
      </c>
      <c r="G4" s="91">
        <v>1728</v>
      </c>
      <c r="H4" s="91">
        <v>12756</v>
      </c>
      <c r="I4" s="92">
        <v>7.3819444444444446</v>
      </c>
    </row>
    <row r="5" spans="1:9" x14ac:dyDescent="0.25">
      <c r="A5" s="87" t="s">
        <v>485</v>
      </c>
      <c r="B5" s="88" t="s">
        <v>415</v>
      </c>
      <c r="C5" s="89" t="s">
        <v>494</v>
      </c>
      <c r="D5" s="90">
        <v>218160</v>
      </c>
      <c r="E5" s="91">
        <v>218153.09401709403</v>
      </c>
      <c r="F5" s="92">
        <v>0.99996834441278892</v>
      </c>
      <c r="G5" s="91">
        <v>11028</v>
      </c>
      <c r="H5" s="91">
        <v>0</v>
      </c>
      <c r="I5" s="92">
        <v>0</v>
      </c>
    </row>
    <row r="6" spans="1:9" x14ac:dyDescent="0.25">
      <c r="A6" s="87" t="s">
        <v>467</v>
      </c>
      <c r="B6" s="88" t="s">
        <v>93</v>
      </c>
      <c r="C6" s="89" t="s">
        <v>494</v>
      </c>
      <c r="D6" s="90">
        <v>298080</v>
      </c>
      <c r="E6" s="91">
        <v>268848</v>
      </c>
      <c r="F6" s="92">
        <v>0.90193236714975844</v>
      </c>
      <c r="G6" s="91">
        <v>14904</v>
      </c>
      <c r="H6" s="91">
        <v>13464</v>
      </c>
      <c r="I6" s="92">
        <v>0.90338164251207731</v>
      </c>
    </row>
    <row r="7" spans="1:9" x14ac:dyDescent="0.25">
      <c r="A7" s="87" t="s">
        <v>444</v>
      </c>
      <c r="B7" s="88" t="s">
        <v>83</v>
      </c>
      <c r="C7" s="89" t="s">
        <v>494</v>
      </c>
      <c r="D7" s="90">
        <v>306360</v>
      </c>
      <c r="E7" s="91">
        <v>304112</v>
      </c>
      <c r="F7" s="92">
        <v>0.99266222744483612</v>
      </c>
      <c r="G7" s="91">
        <v>15498</v>
      </c>
      <c r="H7" s="91">
        <v>15404</v>
      </c>
      <c r="I7" s="92">
        <v>0.99393470125177441</v>
      </c>
    </row>
    <row r="8" spans="1:9" x14ac:dyDescent="0.25">
      <c r="A8" s="87" t="s">
        <v>486</v>
      </c>
      <c r="B8" s="88" t="s">
        <v>108</v>
      </c>
      <c r="C8" s="89" t="s">
        <v>494</v>
      </c>
      <c r="D8" s="90">
        <v>237480</v>
      </c>
      <c r="E8" s="91">
        <v>236808</v>
      </c>
      <c r="F8" s="92">
        <v>0.99717028802425467</v>
      </c>
      <c r="G8" s="91">
        <v>11934</v>
      </c>
      <c r="H8" s="91">
        <v>11934</v>
      </c>
      <c r="I8" s="92">
        <v>1</v>
      </c>
    </row>
    <row r="9" spans="1:9" x14ac:dyDescent="0.25">
      <c r="A9" s="87" t="s">
        <v>491</v>
      </c>
      <c r="B9" s="88" t="s">
        <v>117</v>
      </c>
      <c r="C9" s="89" t="s">
        <v>494</v>
      </c>
      <c r="D9" s="90">
        <v>272400</v>
      </c>
      <c r="E9" s="91">
        <v>271168</v>
      </c>
      <c r="F9" s="92">
        <v>0.99547723935389132</v>
      </c>
      <c r="G9" s="91">
        <v>13740</v>
      </c>
      <c r="H9" s="91">
        <v>13740</v>
      </c>
      <c r="I9" s="92">
        <v>1</v>
      </c>
    </row>
    <row r="10" spans="1:9" x14ac:dyDescent="0.25">
      <c r="A10" s="87" t="s">
        <v>488</v>
      </c>
      <c r="B10" s="88" t="s">
        <v>113</v>
      </c>
      <c r="C10" s="89" t="s">
        <v>494</v>
      </c>
      <c r="D10" s="90">
        <v>321100</v>
      </c>
      <c r="E10" s="91">
        <v>275948</v>
      </c>
      <c r="F10" s="92">
        <v>0.85938336966677042</v>
      </c>
      <c r="G10" s="91">
        <v>16415</v>
      </c>
      <c r="H10" s="91">
        <v>14085</v>
      </c>
      <c r="I10" s="92">
        <v>0.85805665549802013</v>
      </c>
    </row>
    <row r="11" spans="1:9" x14ac:dyDescent="0.25">
      <c r="A11" s="87">
        <v>2300004649</v>
      </c>
      <c r="B11" s="88" t="s">
        <v>518</v>
      </c>
      <c r="C11" s="89" t="s">
        <v>494</v>
      </c>
      <c r="D11" s="90">
        <v>198240</v>
      </c>
      <c r="E11" s="91">
        <v>86592</v>
      </c>
      <c r="F11" s="92">
        <v>0.43680387409200966</v>
      </c>
      <c r="G11" s="91">
        <v>9992</v>
      </c>
      <c r="H11" s="91">
        <v>4330</v>
      </c>
      <c r="I11" s="92">
        <v>0.43334667734187349</v>
      </c>
    </row>
    <row r="12" spans="1:9" x14ac:dyDescent="0.25">
      <c r="A12" s="87">
        <v>1300006461</v>
      </c>
      <c r="B12" s="88" t="s">
        <v>517</v>
      </c>
      <c r="C12" s="89" t="s">
        <v>494</v>
      </c>
      <c r="D12" s="90">
        <v>205200</v>
      </c>
      <c r="E12" s="91">
        <v>114349</v>
      </c>
      <c r="F12" s="92">
        <v>0.55725633528265106</v>
      </c>
      <c r="G12" s="91">
        <v>10380</v>
      </c>
      <c r="H12" s="91">
        <v>5718</v>
      </c>
      <c r="I12" s="92">
        <v>0.55086705202312136</v>
      </c>
    </row>
    <row r="13" spans="1:9" x14ac:dyDescent="0.25">
      <c r="A13" s="87" t="s">
        <v>493</v>
      </c>
      <c r="B13" s="88" t="s">
        <v>119</v>
      </c>
      <c r="C13" s="89" t="s">
        <v>494</v>
      </c>
      <c r="D13" s="90">
        <v>385080</v>
      </c>
      <c r="E13" s="91">
        <v>319440</v>
      </c>
      <c r="F13" s="92">
        <v>0.82954191336865069</v>
      </c>
      <c r="G13" s="91">
        <v>19370</v>
      </c>
      <c r="H13" s="91">
        <v>16028</v>
      </c>
      <c r="I13" s="92">
        <v>0.82746515229736706</v>
      </c>
    </row>
    <row r="14" spans="1:9" x14ac:dyDescent="0.25">
      <c r="A14" s="87" t="s">
        <v>445</v>
      </c>
      <c r="B14" s="88" t="s">
        <v>84</v>
      </c>
      <c r="C14" s="89" t="s">
        <v>494</v>
      </c>
      <c r="D14" s="90">
        <v>832200</v>
      </c>
      <c r="E14" s="91">
        <v>881024</v>
      </c>
      <c r="F14" s="92">
        <v>1.0586685892814227</v>
      </c>
      <c r="G14" s="91">
        <v>41990</v>
      </c>
      <c r="H14" s="91">
        <v>44603</v>
      </c>
      <c r="I14" s="92">
        <v>1.0622291021671826</v>
      </c>
    </row>
    <row r="15" spans="1:9" x14ac:dyDescent="0.25">
      <c r="A15" s="87" t="s">
        <v>464</v>
      </c>
      <c r="B15" s="88" t="s">
        <v>92</v>
      </c>
      <c r="C15" s="89" t="s">
        <v>494</v>
      </c>
      <c r="D15" s="90">
        <v>309720</v>
      </c>
      <c r="E15" s="91">
        <v>288072</v>
      </c>
      <c r="F15" s="92">
        <v>0.93010461061604033</v>
      </c>
      <c r="G15" s="91">
        <v>15586</v>
      </c>
      <c r="H15" s="91">
        <v>14578</v>
      </c>
      <c r="I15" s="92">
        <v>0.93532657513152828</v>
      </c>
    </row>
    <row r="16" spans="1:9" x14ac:dyDescent="0.25">
      <c r="A16" s="87" t="s">
        <v>470</v>
      </c>
      <c r="B16" s="88" t="s">
        <v>102</v>
      </c>
      <c r="C16" s="89" t="s">
        <v>494</v>
      </c>
      <c r="D16" s="90">
        <v>169080</v>
      </c>
      <c r="E16" s="91">
        <v>152064</v>
      </c>
      <c r="F16" s="92">
        <v>0.89936124911284598</v>
      </c>
      <c r="G16" s="91">
        <v>8474</v>
      </c>
      <c r="H16" s="91">
        <v>7633</v>
      </c>
      <c r="I16" s="92">
        <v>0.90075525135709233</v>
      </c>
    </row>
    <row r="17" spans="1:9" x14ac:dyDescent="0.25">
      <c r="A17" s="87" t="s">
        <v>477</v>
      </c>
      <c r="B17" s="88" t="s">
        <v>345</v>
      </c>
      <c r="C17" s="89" t="s">
        <v>494</v>
      </c>
      <c r="D17" s="90">
        <v>307680</v>
      </c>
      <c r="E17" s="91">
        <v>292800</v>
      </c>
      <c r="F17" s="92">
        <v>0.95163806552262087</v>
      </c>
      <c r="G17" s="91">
        <v>15464</v>
      </c>
      <c r="H17" s="91">
        <v>14744</v>
      </c>
      <c r="I17" s="92">
        <v>0.95344024831867569</v>
      </c>
    </row>
    <row r="18" spans="1:9" x14ac:dyDescent="0.25">
      <c r="A18" s="87" t="s">
        <v>489</v>
      </c>
      <c r="B18" s="88" t="s">
        <v>115</v>
      </c>
      <c r="C18" s="89" t="s">
        <v>494</v>
      </c>
      <c r="D18" s="90">
        <v>540120</v>
      </c>
      <c r="E18" s="91">
        <v>456912</v>
      </c>
      <c r="F18" s="92">
        <v>0.84594534547878253</v>
      </c>
      <c r="G18" s="91">
        <v>27346</v>
      </c>
      <c r="H18" s="91">
        <v>23174</v>
      </c>
      <c r="I18" s="92">
        <v>0.84743655379214511</v>
      </c>
    </row>
    <row r="19" spans="1:9" x14ac:dyDescent="0.25">
      <c r="A19" s="87" t="s">
        <v>459</v>
      </c>
      <c r="B19" s="88" t="s">
        <v>89</v>
      </c>
      <c r="C19" s="89" t="s">
        <v>494</v>
      </c>
      <c r="D19" s="90">
        <v>411600</v>
      </c>
      <c r="E19" s="91">
        <v>410736</v>
      </c>
      <c r="F19" s="92">
        <v>0.99790087463556854</v>
      </c>
      <c r="G19" s="91">
        <v>20860</v>
      </c>
      <c r="H19" s="91">
        <v>20858</v>
      </c>
      <c r="I19" s="92">
        <v>0.99990412272291462</v>
      </c>
    </row>
    <row r="20" spans="1:9" x14ac:dyDescent="0.25">
      <c r="A20" s="87" t="s">
        <v>475</v>
      </c>
      <c r="B20" s="88" t="s">
        <v>476</v>
      </c>
      <c r="C20" s="89" t="s">
        <v>494</v>
      </c>
      <c r="D20" s="90">
        <v>198840</v>
      </c>
      <c r="E20" s="91">
        <v>198552</v>
      </c>
      <c r="F20" s="92">
        <v>0.99855159927579962</v>
      </c>
      <c r="G20" s="91">
        <v>10042</v>
      </c>
      <c r="H20" s="91">
        <v>10042</v>
      </c>
      <c r="I20" s="92">
        <v>1</v>
      </c>
    </row>
    <row r="21" spans="1:9" x14ac:dyDescent="0.25">
      <c r="A21" s="87" t="s">
        <v>446</v>
      </c>
      <c r="B21" s="88" t="s">
        <v>447</v>
      </c>
      <c r="C21" s="89" t="s">
        <v>494</v>
      </c>
      <c r="D21" s="90">
        <v>927600</v>
      </c>
      <c r="E21" s="91">
        <v>906904</v>
      </c>
      <c r="F21" s="92">
        <v>0.97768865890470025</v>
      </c>
      <c r="G21" s="91">
        <v>46820</v>
      </c>
      <c r="H21" s="91">
        <v>45812</v>
      </c>
      <c r="I21" s="92">
        <v>0.97847073900042714</v>
      </c>
    </row>
    <row r="22" spans="1:9" x14ac:dyDescent="0.25">
      <c r="A22" s="87" t="s">
        <v>465</v>
      </c>
      <c r="B22" s="88" t="s">
        <v>466</v>
      </c>
      <c r="C22" s="89" t="s">
        <v>494</v>
      </c>
      <c r="D22" s="90">
        <v>456240</v>
      </c>
      <c r="E22" s="91">
        <v>456224</v>
      </c>
      <c r="F22" s="92">
        <v>0.99996493073820791</v>
      </c>
      <c r="G22" s="91">
        <v>23332</v>
      </c>
      <c r="H22" s="91">
        <v>23332</v>
      </c>
      <c r="I22" s="92">
        <v>1</v>
      </c>
    </row>
    <row r="23" spans="1:9" x14ac:dyDescent="0.25">
      <c r="A23" s="87" t="s">
        <v>495</v>
      </c>
      <c r="B23" s="88" t="s">
        <v>114</v>
      </c>
      <c r="C23" s="89" t="s">
        <v>494</v>
      </c>
      <c r="D23" s="90">
        <v>28800</v>
      </c>
      <c r="E23" s="91">
        <v>19776</v>
      </c>
      <c r="F23" s="92">
        <v>0.68666666666666665</v>
      </c>
      <c r="G23" s="91">
        <v>1440</v>
      </c>
      <c r="H23" s="91">
        <v>1308</v>
      </c>
      <c r="I23" s="92">
        <v>0.90833333333333333</v>
      </c>
    </row>
    <row r="24" spans="1:9" x14ac:dyDescent="0.25">
      <c r="A24" s="87" t="s">
        <v>471</v>
      </c>
      <c r="B24" s="88" t="s">
        <v>103</v>
      </c>
      <c r="C24" s="89" t="s">
        <v>494</v>
      </c>
      <c r="D24" s="90">
        <v>511640</v>
      </c>
      <c r="E24" s="91">
        <v>510140</v>
      </c>
      <c r="F24" s="92">
        <v>0.99706825111406461</v>
      </c>
      <c r="G24" s="91">
        <v>25922</v>
      </c>
      <c r="H24" s="91">
        <v>25957</v>
      </c>
      <c r="I24" s="92">
        <v>1.0013502044595324</v>
      </c>
    </row>
    <row r="25" spans="1:9" x14ac:dyDescent="0.25">
      <c r="A25" s="87" t="s">
        <v>474</v>
      </c>
      <c r="B25" s="88" t="s">
        <v>106</v>
      </c>
      <c r="C25" s="89" t="s">
        <v>494</v>
      </c>
      <c r="D25" s="90">
        <v>267360</v>
      </c>
      <c r="E25" s="91">
        <v>246040</v>
      </c>
      <c r="F25" s="92">
        <v>0.92025733093955719</v>
      </c>
      <c r="G25" s="91">
        <v>13448</v>
      </c>
      <c r="H25" s="91">
        <v>12462</v>
      </c>
      <c r="I25" s="92">
        <v>0.92668054729327776</v>
      </c>
    </row>
    <row r="26" spans="1:9" x14ac:dyDescent="0.25">
      <c r="A26" s="87" t="s">
        <v>439</v>
      </c>
      <c r="B26" s="88" t="s">
        <v>76</v>
      </c>
      <c r="C26" s="89" t="s">
        <v>494</v>
      </c>
      <c r="D26" s="90">
        <v>743520</v>
      </c>
      <c r="E26" s="91">
        <v>819676</v>
      </c>
      <c r="F26" s="92">
        <v>1.1024262965353993</v>
      </c>
      <c r="G26" s="91">
        <v>38056</v>
      </c>
      <c r="H26" s="91">
        <v>42012</v>
      </c>
      <c r="I26" s="92">
        <v>1.1039520706327517</v>
      </c>
    </row>
    <row r="27" spans="1:9" x14ac:dyDescent="0.25">
      <c r="A27" s="87" t="s">
        <v>490</v>
      </c>
      <c r="B27" s="88" t="s">
        <v>116</v>
      </c>
      <c r="C27" s="89" t="s">
        <v>494</v>
      </c>
      <c r="D27" s="90">
        <v>198720</v>
      </c>
      <c r="E27" s="91">
        <v>193080</v>
      </c>
      <c r="F27" s="92">
        <v>0.97161835748792269</v>
      </c>
      <c r="G27" s="91">
        <v>9936</v>
      </c>
      <c r="H27" s="91">
        <v>9720</v>
      </c>
      <c r="I27" s="92">
        <v>0.97826086956521741</v>
      </c>
    </row>
    <row r="28" spans="1:9" x14ac:dyDescent="0.25">
      <c r="A28" s="87" t="s">
        <v>455</v>
      </c>
      <c r="B28" s="88" t="s">
        <v>456</v>
      </c>
      <c r="C28" s="89" t="s">
        <v>494</v>
      </c>
      <c r="D28" s="90">
        <v>171960</v>
      </c>
      <c r="E28" s="91">
        <v>205960</v>
      </c>
      <c r="F28" s="92">
        <v>1.1977204000930448</v>
      </c>
      <c r="G28" s="91">
        <v>8618</v>
      </c>
      <c r="H28" s="91">
        <v>10346</v>
      </c>
      <c r="I28" s="92">
        <v>1.2005105592944998</v>
      </c>
    </row>
    <row r="29" spans="1:9" x14ac:dyDescent="0.25">
      <c r="A29" s="87" t="s">
        <v>451</v>
      </c>
      <c r="B29" s="88" t="s">
        <v>452</v>
      </c>
      <c r="C29" s="89" t="s">
        <v>494</v>
      </c>
      <c r="D29" s="90">
        <v>168480</v>
      </c>
      <c r="E29" s="91">
        <v>168472</v>
      </c>
      <c r="F29" s="92">
        <v>0.99995251661918327</v>
      </c>
      <c r="G29" s="91">
        <v>8424</v>
      </c>
      <c r="H29" s="91">
        <v>8424</v>
      </c>
      <c r="I29" s="92">
        <v>1</v>
      </c>
    </row>
    <row r="30" spans="1:9" x14ac:dyDescent="0.25">
      <c r="A30" s="87" t="s">
        <v>453</v>
      </c>
      <c r="B30" s="88" t="s">
        <v>454</v>
      </c>
      <c r="C30" s="89" t="s">
        <v>494</v>
      </c>
      <c r="D30" s="90">
        <v>163680</v>
      </c>
      <c r="E30" s="91">
        <v>178240</v>
      </c>
      <c r="F30" s="92">
        <v>1.0889540566959921</v>
      </c>
      <c r="G30" s="91">
        <v>8264</v>
      </c>
      <c r="H30" s="91">
        <v>9012</v>
      </c>
      <c r="I30" s="92">
        <v>1.0905130687318489</v>
      </c>
    </row>
    <row r="31" spans="1:9" x14ac:dyDescent="0.25">
      <c r="A31" s="87" t="s">
        <v>462</v>
      </c>
      <c r="B31" s="88" t="s">
        <v>90</v>
      </c>
      <c r="C31" s="89" t="s">
        <v>494</v>
      </c>
      <c r="D31" s="90">
        <v>511800</v>
      </c>
      <c r="E31" s="91">
        <v>512696</v>
      </c>
      <c r="F31" s="92">
        <v>1.0017506838608832</v>
      </c>
      <c r="G31" s="91">
        <v>25850</v>
      </c>
      <c r="H31" s="91">
        <v>25922</v>
      </c>
      <c r="I31" s="92">
        <v>1.0027852998065765</v>
      </c>
    </row>
    <row r="32" spans="1:9" x14ac:dyDescent="0.25">
      <c r="A32" s="87" t="s">
        <v>438</v>
      </c>
      <c r="B32" s="88" t="s">
        <v>75</v>
      </c>
      <c r="C32" s="89" t="s">
        <v>494</v>
      </c>
      <c r="D32" s="90">
        <v>682200</v>
      </c>
      <c r="E32" s="91">
        <v>599948</v>
      </c>
      <c r="F32" s="92">
        <v>0.87943125183230719</v>
      </c>
      <c r="G32" s="91">
        <v>35010</v>
      </c>
      <c r="H32" s="91">
        <v>30931</v>
      </c>
      <c r="I32" s="92">
        <v>0.88349043130534133</v>
      </c>
    </row>
    <row r="33" spans="1:9" x14ac:dyDescent="0.25">
      <c r="A33" s="87" t="s">
        <v>478</v>
      </c>
      <c r="B33" s="88" t="s">
        <v>107</v>
      </c>
      <c r="C33" s="89" t="s">
        <v>494</v>
      </c>
      <c r="D33" s="90">
        <v>493320</v>
      </c>
      <c r="E33" s="91">
        <v>477844</v>
      </c>
      <c r="F33" s="92">
        <v>0.96862888186167195</v>
      </c>
      <c r="G33" s="91">
        <v>25126</v>
      </c>
      <c r="H33" s="91">
        <v>24477</v>
      </c>
      <c r="I33" s="92">
        <v>0.97417018228130225</v>
      </c>
    </row>
    <row r="34" spans="1:9" x14ac:dyDescent="0.25">
      <c r="A34" s="87" t="s">
        <v>487</v>
      </c>
      <c r="B34" s="88" t="s">
        <v>112</v>
      </c>
      <c r="C34" s="89" t="s">
        <v>494</v>
      </c>
      <c r="D34" s="90">
        <v>314920</v>
      </c>
      <c r="E34" s="91">
        <v>286440</v>
      </c>
      <c r="F34" s="92">
        <v>0.9095643337990601</v>
      </c>
      <c r="G34" s="91">
        <v>15966</v>
      </c>
      <c r="H34" s="91">
        <v>14462</v>
      </c>
      <c r="I34" s="92">
        <v>0.90579982462733311</v>
      </c>
    </row>
    <row r="35" spans="1:9" x14ac:dyDescent="0.25">
      <c r="A35" s="87">
        <v>1300006460</v>
      </c>
      <c r="B35" s="88" t="s">
        <v>516</v>
      </c>
      <c r="C35" s="89" t="s">
        <v>494</v>
      </c>
      <c r="D35" s="90">
        <v>554400</v>
      </c>
      <c r="E35" s="91">
        <v>92968</v>
      </c>
      <c r="F35" s="92">
        <v>0.1676911976911977</v>
      </c>
      <c r="G35" s="91">
        <v>27720</v>
      </c>
      <c r="H35" s="91">
        <v>4710</v>
      </c>
      <c r="I35" s="92">
        <v>0.16991341991341991</v>
      </c>
    </row>
    <row r="36" spans="1:9" x14ac:dyDescent="0.25">
      <c r="A36" s="87" t="s">
        <v>437</v>
      </c>
      <c r="B36" s="88" t="s">
        <v>72</v>
      </c>
      <c r="C36" s="89" t="s">
        <v>494</v>
      </c>
      <c r="D36" s="90">
        <v>390000</v>
      </c>
      <c r="E36" s="91">
        <v>396800</v>
      </c>
      <c r="F36" s="92">
        <v>1.0174358974358975</v>
      </c>
      <c r="G36" s="91">
        <v>19780</v>
      </c>
      <c r="H36" s="91">
        <v>20114</v>
      </c>
      <c r="I36" s="92">
        <v>1.0168857431749241</v>
      </c>
    </row>
    <row r="37" spans="1:9" x14ac:dyDescent="0.25">
      <c r="A37" s="87" t="s">
        <v>472</v>
      </c>
      <c r="B37" s="88" t="s">
        <v>473</v>
      </c>
      <c r="C37" s="89" t="s">
        <v>494</v>
      </c>
      <c r="D37" s="90">
        <v>386280</v>
      </c>
      <c r="E37" s="91">
        <v>387324</v>
      </c>
      <c r="F37" s="92">
        <v>1.0027027027027027</v>
      </c>
      <c r="G37" s="91">
        <v>19614</v>
      </c>
      <c r="H37" s="91">
        <v>19614</v>
      </c>
      <c r="I37" s="92">
        <v>1</v>
      </c>
    </row>
    <row r="38" spans="1:9" x14ac:dyDescent="0.25">
      <c r="A38" s="87" t="s">
        <v>436</v>
      </c>
      <c r="B38" s="88" t="s">
        <v>53</v>
      </c>
      <c r="C38" s="89" t="s">
        <v>494</v>
      </c>
      <c r="D38" s="90">
        <v>34560</v>
      </c>
      <c r="E38" s="91">
        <v>26040</v>
      </c>
      <c r="F38" s="92">
        <v>0.75347222222222221</v>
      </c>
      <c r="G38" s="91">
        <v>1728</v>
      </c>
      <c r="H38" s="91">
        <v>1402</v>
      </c>
      <c r="I38" s="92">
        <v>0.81134259259259256</v>
      </c>
    </row>
    <row r="39" spans="1:9" x14ac:dyDescent="0.25">
      <c r="A39" s="87" t="s">
        <v>443</v>
      </c>
      <c r="B39" s="88" t="s">
        <v>82</v>
      </c>
      <c r="C39" s="89" t="s">
        <v>494</v>
      </c>
      <c r="D39" s="90">
        <v>212400</v>
      </c>
      <c r="E39" s="91">
        <v>175252</v>
      </c>
      <c r="F39" s="92">
        <v>0.82510357815442559</v>
      </c>
      <c r="G39" s="91">
        <v>10788</v>
      </c>
      <c r="H39" s="91">
        <v>8923</v>
      </c>
      <c r="I39" s="92">
        <v>0.82712272895810157</v>
      </c>
    </row>
    <row r="40" spans="1:9" x14ac:dyDescent="0.25">
      <c r="A40" s="87" t="s">
        <v>441</v>
      </c>
      <c r="B40" s="88" t="s">
        <v>442</v>
      </c>
      <c r="C40" s="89" t="s">
        <v>494</v>
      </c>
      <c r="D40" s="90">
        <v>209160</v>
      </c>
      <c r="E40" s="91">
        <v>245036</v>
      </c>
      <c r="F40" s="92">
        <v>1.1715241920061197</v>
      </c>
      <c r="G40" s="91">
        <v>10686</v>
      </c>
      <c r="H40" s="91">
        <v>12547</v>
      </c>
      <c r="I40" s="92">
        <v>1.1741530975107617</v>
      </c>
    </row>
    <row r="41" spans="1:9" x14ac:dyDescent="0.25">
      <c r="A41" s="87" t="s">
        <v>440</v>
      </c>
      <c r="B41" s="88" t="s">
        <v>77</v>
      </c>
      <c r="C41" s="89" t="s">
        <v>494</v>
      </c>
      <c r="D41" s="90">
        <v>335880</v>
      </c>
      <c r="E41" s="91">
        <v>338128</v>
      </c>
      <c r="F41" s="92">
        <v>1.0066928664999404</v>
      </c>
      <c r="G41" s="91">
        <v>17334</v>
      </c>
      <c r="H41" s="91">
        <v>17740</v>
      </c>
      <c r="I41" s="92">
        <v>1.0234221760701512</v>
      </c>
    </row>
    <row r="42" spans="1:9" x14ac:dyDescent="0.25">
      <c r="A42" s="87" t="s">
        <v>449</v>
      </c>
      <c r="B42" s="88" t="s">
        <v>86</v>
      </c>
      <c r="C42" s="89" t="s">
        <v>494</v>
      </c>
      <c r="D42" s="90">
        <v>490686</v>
      </c>
      <c r="E42" s="91">
        <v>526242</v>
      </c>
      <c r="F42" s="92">
        <v>1.0724618187598587</v>
      </c>
      <c r="G42" s="91">
        <v>24730.300000000003</v>
      </c>
      <c r="H42" s="91">
        <v>26911</v>
      </c>
      <c r="I42" s="92">
        <v>1.0881792780516208</v>
      </c>
    </row>
    <row r="43" spans="1:9" x14ac:dyDescent="0.25">
      <c r="A43" s="87" t="s">
        <v>492</v>
      </c>
      <c r="B43" s="88" t="s">
        <v>118</v>
      </c>
      <c r="C43" s="89" t="s">
        <v>494</v>
      </c>
      <c r="D43" s="90">
        <v>413520</v>
      </c>
      <c r="E43" s="91">
        <v>413520</v>
      </c>
      <c r="F43" s="92">
        <v>1</v>
      </c>
      <c r="G43" s="91">
        <v>20796</v>
      </c>
      <c r="H43" s="91">
        <v>20796</v>
      </c>
      <c r="I43" s="92">
        <v>1</v>
      </c>
    </row>
    <row r="44" spans="1:9" x14ac:dyDescent="0.25">
      <c r="A44" s="87" t="s">
        <v>463</v>
      </c>
      <c r="B44" s="88" t="s">
        <v>91</v>
      </c>
      <c r="C44" s="89" t="s">
        <v>494</v>
      </c>
      <c r="D44" s="90">
        <v>313080</v>
      </c>
      <c r="E44" s="91">
        <v>298384</v>
      </c>
      <c r="F44" s="92">
        <v>0.95305992078701929</v>
      </c>
      <c r="G44" s="91">
        <v>15914</v>
      </c>
      <c r="H44" s="91">
        <v>15122</v>
      </c>
      <c r="I44" s="92">
        <v>0.95023249968581125</v>
      </c>
    </row>
    <row r="45" spans="1:9" x14ac:dyDescent="0.25">
      <c r="A45" s="87" t="s">
        <v>479</v>
      </c>
      <c r="B45" s="88" t="s">
        <v>480</v>
      </c>
      <c r="C45" s="89" t="s">
        <v>494</v>
      </c>
      <c r="D45" s="90">
        <v>635600</v>
      </c>
      <c r="E45" s="91">
        <v>599664</v>
      </c>
      <c r="F45" s="92">
        <v>0.94346129641283827</v>
      </c>
      <c r="G45" s="91">
        <v>32100</v>
      </c>
      <c r="H45" s="91">
        <v>30372</v>
      </c>
      <c r="I45" s="92">
        <v>0.94616822429906544</v>
      </c>
    </row>
    <row r="46" spans="1:9" x14ac:dyDescent="0.25">
      <c r="A46" s="87">
        <v>3300002030</v>
      </c>
      <c r="B46" s="88" t="s">
        <v>760</v>
      </c>
      <c r="C46" s="89" t="s">
        <v>494</v>
      </c>
      <c r="D46" s="90">
        <v>153000</v>
      </c>
      <c r="E46" s="91">
        <v>120</v>
      </c>
      <c r="F46" s="92">
        <v>7.8431372549019605E-4</v>
      </c>
      <c r="G46" s="91">
        <v>7710</v>
      </c>
      <c r="H46" s="91">
        <v>6</v>
      </c>
      <c r="I46" s="92">
        <v>7.7821011673151756E-4</v>
      </c>
    </row>
    <row r="47" spans="1:9" x14ac:dyDescent="0.25">
      <c r="A47" s="87" t="s">
        <v>468</v>
      </c>
      <c r="B47" s="88" t="s">
        <v>469</v>
      </c>
      <c r="C47" s="89" t="s">
        <v>494</v>
      </c>
      <c r="D47" s="90">
        <v>441048</v>
      </c>
      <c r="E47" s="91">
        <v>437488</v>
      </c>
      <c r="F47" s="92">
        <v>0.9919283161923419</v>
      </c>
      <c r="G47" s="91">
        <v>22210</v>
      </c>
      <c r="H47" s="91">
        <v>22210</v>
      </c>
      <c r="I47" s="92">
        <v>1</v>
      </c>
    </row>
    <row r="48" spans="1:9" x14ac:dyDescent="0.25">
      <c r="A48" s="170" t="s">
        <v>496</v>
      </c>
      <c r="B48" s="171"/>
      <c r="C48" s="172"/>
      <c r="D48" s="120"/>
      <c r="E48" s="121"/>
      <c r="F48" s="122"/>
      <c r="G48" s="121"/>
      <c r="H48" s="121"/>
      <c r="I48" s="122"/>
    </row>
  </sheetData>
  <mergeCells count="1">
    <mergeCell ref="A48:C48"/>
  </mergeCells>
  <pageMargins left="1" right="1" top="1" bottom="1" header="1" footer="1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F20A-E3FB-4FD0-8DD2-3449904B0C53}">
  <sheetPr codeName="Sheet7"/>
  <dimension ref="A1:L46"/>
  <sheetViews>
    <sheetView workbookViewId="0">
      <pane ySplit="1" topLeftCell="A21" activePane="bottomLeft" state="frozen"/>
      <selection activeCell="E18" sqref="E18"/>
      <selection pane="bottomLeft" activeCell="A46" sqref="A46:B46"/>
    </sheetView>
  </sheetViews>
  <sheetFormatPr defaultRowHeight="15" x14ac:dyDescent="0.25"/>
  <cols>
    <col min="1" max="1" width="11" bestFit="1" customWidth="1"/>
    <col min="2" max="2" width="38" bestFit="1" customWidth="1"/>
    <col min="4" max="4" width="15.85546875" bestFit="1" customWidth="1"/>
    <col min="5" max="5" width="10.7109375" bestFit="1" customWidth="1"/>
    <col min="6" max="6" width="20.28515625" bestFit="1" customWidth="1"/>
    <col min="8" max="8" width="9.5703125" customWidth="1"/>
    <col min="9" max="9" width="16" bestFit="1" customWidth="1"/>
    <col min="10" max="10" width="14.140625" customWidth="1"/>
  </cols>
  <sheetData>
    <row r="1" spans="1:12" x14ac:dyDescent="0.25">
      <c r="A1" s="11" t="s">
        <v>0</v>
      </c>
      <c r="B1" s="11" t="s">
        <v>1</v>
      </c>
      <c r="C1" s="11" t="s">
        <v>152</v>
      </c>
      <c r="D1" s="11" t="s">
        <v>382</v>
      </c>
      <c r="E1" s="11" t="s">
        <v>383</v>
      </c>
      <c r="F1" s="11" t="s">
        <v>384</v>
      </c>
      <c r="H1" s="102" t="s">
        <v>422</v>
      </c>
      <c r="I1" s="102" t="s">
        <v>424</v>
      </c>
      <c r="K1" s="96" t="s">
        <v>421</v>
      </c>
    </row>
    <row r="2" spans="1:12" x14ac:dyDescent="0.25">
      <c r="A2" s="78">
        <v>1010105134</v>
      </c>
      <c r="B2" s="78" t="s">
        <v>53</v>
      </c>
      <c r="C2" s="78" t="s">
        <v>140</v>
      </c>
      <c r="D2" s="124">
        <v>6.3194444444444442E-2</v>
      </c>
      <c r="E2" s="124">
        <v>8.3333333333333329E-2</v>
      </c>
      <c r="F2" s="79">
        <f>IFERROR(E2/D2-1,-1)</f>
        <v>0.31868131868131866</v>
      </c>
      <c r="H2" s="106">
        <f>D2-E2</f>
        <v>-2.0138888888888887E-2</v>
      </c>
      <c r="I2" s="118">
        <f>IF(H2&gt;'Discount Scheme Target'!$N$4,'Discount Scheme Target'!$N$5,IF(H2&gt;'Discount Scheme Target'!$M$4,'Discount Scheme Target'!$M$5,IF(H2&gt;'Discount Scheme Target'!$L$4,'Discount Scheme Target'!$L$5,0)))</f>
        <v>0</v>
      </c>
      <c r="K2" s="117">
        <f>I2-_xlfn.XLOOKUP(A2,'Credit Note Approval Form'!C:C,'Credit Note Approval Form'!S:S,,0)</f>
        <v>0</v>
      </c>
    </row>
    <row r="3" spans="1:12" x14ac:dyDescent="0.25">
      <c r="A3" s="41">
        <v>1010920019</v>
      </c>
      <c r="B3" s="41" t="s">
        <v>76</v>
      </c>
      <c r="C3" s="41" t="s">
        <v>140</v>
      </c>
      <c r="D3" s="125">
        <v>0.23750000000000002</v>
      </c>
      <c r="E3" s="125">
        <v>8.3333333333333329E-2</v>
      </c>
      <c r="F3" s="80">
        <f t="shared" ref="F3:F45" si="0">IFERROR(E3/D3-1,-1)</f>
        <v>-0.64912280701754388</v>
      </c>
      <c r="H3" s="106">
        <f t="shared" ref="H3:H44" si="1">D3-E3</f>
        <v>0.15416666666666667</v>
      </c>
      <c r="I3" s="118">
        <f>IF(H3&gt;'Discount Scheme Target'!$N$4,25%,IF(H3&gt;'Discount Scheme Target'!$M$4,15%,IF(H3&gt;'Discount Scheme Target'!$L$4,10%,0)))</f>
        <v>0.25</v>
      </c>
      <c r="K3" s="117">
        <f>I3-_xlfn.XLOOKUP(A3,'Credit Note Approval Form'!C:C,'Credit Note Approval Form'!S:S,,0)</f>
        <v>0</v>
      </c>
    </row>
    <row r="4" spans="1:12" x14ac:dyDescent="0.25">
      <c r="A4" s="41">
        <v>1010601015</v>
      </c>
      <c r="B4" s="41" t="s">
        <v>75</v>
      </c>
      <c r="C4" s="41" t="s">
        <v>140</v>
      </c>
      <c r="D4" s="125">
        <v>0.15486111111111112</v>
      </c>
      <c r="E4" s="125">
        <v>8.3333333333333329E-2</v>
      </c>
      <c r="F4" s="80">
        <f t="shared" si="0"/>
        <v>-0.46188340807174888</v>
      </c>
      <c r="H4" s="106">
        <f t="shared" si="1"/>
        <v>7.1527777777777787E-2</v>
      </c>
      <c r="I4" s="118">
        <f>IF(H4&gt;'Discount Scheme Target'!$N$4,25%,IF(H4&gt;'Discount Scheme Target'!$M$4,15%,IF(H4&gt;'Discount Scheme Target'!$L$4,10%,0)))</f>
        <v>0.25</v>
      </c>
      <c r="K4" s="117">
        <f>I4-_xlfn.XLOOKUP(A4,'Credit Note Approval Form'!C:C,'Credit Note Approval Form'!S:S,,0)</f>
        <v>0</v>
      </c>
    </row>
    <row r="5" spans="1:12" x14ac:dyDescent="0.25">
      <c r="A5" s="41">
        <v>1010410048</v>
      </c>
      <c r="B5" s="41" t="s">
        <v>72</v>
      </c>
      <c r="C5" s="41" t="s">
        <v>140</v>
      </c>
      <c r="D5" s="125">
        <v>8.2638888888888887E-2</v>
      </c>
      <c r="E5" s="125">
        <v>8.3333333333333329E-2</v>
      </c>
      <c r="F5" s="80">
        <f t="shared" si="0"/>
        <v>8.4033613445377853E-3</v>
      </c>
      <c r="H5" s="106">
        <f t="shared" si="1"/>
        <v>-6.9444444444444198E-4</v>
      </c>
      <c r="I5" s="118">
        <f>IF(H5&gt;'Discount Scheme Target'!$N$4,25%,IF(H5&gt;'Discount Scheme Target'!$M$4,15%,IF(H5&gt;'Discount Scheme Target'!$L$4,10%,0)))</f>
        <v>0</v>
      </c>
      <c r="K5" s="117">
        <f>I5-_xlfn.XLOOKUP(A5,'Credit Note Approval Form'!C:C,'Credit Note Approval Form'!S:S,,0)</f>
        <v>0</v>
      </c>
    </row>
    <row r="6" spans="1:12" x14ac:dyDescent="0.25">
      <c r="A6" s="41">
        <v>1011730003</v>
      </c>
      <c r="B6" s="41" t="s">
        <v>77</v>
      </c>
      <c r="C6" s="41" t="s">
        <v>140</v>
      </c>
      <c r="D6" s="125">
        <v>0.1388888888888889</v>
      </c>
      <c r="E6" s="125">
        <v>8.3333333333333329E-2</v>
      </c>
      <c r="F6" s="80">
        <f t="shared" si="0"/>
        <v>-0.4</v>
      </c>
      <c r="H6" s="106">
        <f t="shared" si="1"/>
        <v>5.5555555555555566E-2</v>
      </c>
      <c r="I6" s="118">
        <f>IF(H6&gt;'Discount Scheme Target'!$N$4,25%,IF(H6&gt;'Discount Scheme Target'!$M$4,15%,IF(H6&gt;'Discount Scheme Target'!$L$4,10%,0)))</f>
        <v>0.25</v>
      </c>
      <c r="K6" s="117">
        <f>I6-_xlfn.XLOOKUP(A6,'Credit Note Approval Form'!C:C,'Credit Note Approval Form'!S:S,,0)</f>
        <v>0</v>
      </c>
    </row>
    <row r="7" spans="1:12" x14ac:dyDescent="0.25">
      <c r="A7" s="41">
        <v>1300003024</v>
      </c>
      <c r="B7" s="41" t="s">
        <v>84</v>
      </c>
      <c r="C7" s="41" t="s">
        <v>140</v>
      </c>
      <c r="D7" s="125">
        <v>4.3750000000000004E-2</v>
      </c>
      <c r="E7" s="125">
        <v>8.3333333333333329E-2</v>
      </c>
      <c r="F7" s="80">
        <f t="shared" si="0"/>
        <v>0.90476190476190443</v>
      </c>
      <c r="H7" s="106">
        <f t="shared" si="1"/>
        <v>-3.9583333333333325E-2</v>
      </c>
      <c r="I7" s="118">
        <f>IF(H7&gt;'Discount Scheme Target'!$N$4,25%,IF(H7&gt;'Discount Scheme Target'!$M$4,15%,IF(H7&gt;'Discount Scheme Target'!$L$4,10%,0)))</f>
        <v>0</v>
      </c>
      <c r="K7" s="117">
        <f>I7-_xlfn.XLOOKUP(A7,'Credit Note Approval Form'!C:C,'Credit Note Approval Form'!S:S,,0)</f>
        <v>0</v>
      </c>
    </row>
    <row r="8" spans="1:12" x14ac:dyDescent="0.25">
      <c r="A8" s="41">
        <v>1210516003</v>
      </c>
      <c r="B8" s="41" t="s">
        <v>83</v>
      </c>
      <c r="C8" s="41" t="s">
        <v>140</v>
      </c>
      <c r="D8" s="125">
        <v>5.8333333333333327E-2</v>
      </c>
      <c r="E8" s="125">
        <v>8.3333333333333329E-2</v>
      </c>
      <c r="F8" s="80">
        <f t="shared" si="0"/>
        <v>0.4285714285714286</v>
      </c>
      <c r="H8" s="106">
        <f t="shared" si="1"/>
        <v>-2.5000000000000001E-2</v>
      </c>
      <c r="I8" s="118">
        <f>IF(H8&gt;'Discount Scheme Target'!$N$4,25%,IF(H8&gt;'Discount Scheme Target'!$M$4,15%,IF(H8&gt;'Discount Scheme Target'!$L$4,10%,0)))</f>
        <v>0</v>
      </c>
      <c r="K8" s="117">
        <f>I8-_xlfn.XLOOKUP(A8,'Credit Note Approval Form'!C:C,'Credit Note Approval Form'!S:S,,0)</f>
        <v>0</v>
      </c>
    </row>
    <row r="9" spans="1:12" x14ac:dyDescent="0.25">
      <c r="A9" s="41">
        <v>1200505027</v>
      </c>
      <c r="B9" s="41" t="s">
        <v>82</v>
      </c>
      <c r="C9" s="41" t="s">
        <v>140</v>
      </c>
      <c r="D9" s="125">
        <v>9.375E-2</v>
      </c>
      <c r="E9" s="125">
        <v>0.125</v>
      </c>
      <c r="F9" s="80">
        <f t="shared" si="0"/>
        <v>0.33333333333333326</v>
      </c>
      <c r="H9" s="106">
        <f t="shared" si="1"/>
        <v>-3.125E-2</v>
      </c>
      <c r="I9" s="118">
        <f>IF(H9&gt;'Discount Scheme Target'!$N$4,25%,IF(H9&gt;'Discount Scheme Target'!$M$4,15%,IF(H9&gt;'Discount Scheme Target'!$L$4,10%,0)))</f>
        <v>0</v>
      </c>
      <c r="K9" s="117">
        <f>I9-_xlfn.XLOOKUP(A9,'Credit Note Approval Form'!C:C,'Credit Note Approval Form'!S:S,,0)</f>
        <v>0</v>
      </c>
    </row>
    <row r="10" spans="1:12" x14ac:dyDescent="0.25">
      <c r="A10" s="41">
        <v>1300006450</v>
      </c>
      <c r="B10" s="41" t="s">
        <v>142</v>
      </c>
      <c r="C10" s="41" t="s">
        <v>140</v>
      </c>
      <c r="D10" s="125">
        <v>5.8333333333333327E-2</v>
      </c>
      <c r="E10" s="125">
        <v>8.3333333333333329E-2</v>
      </c>
      <c r="F10" s="80">
        <f t="shared" si="0"/>
        <v>0.4285714285714286</v>
      </c>
      <c r="H10" s="106">
        <f t="shared" si="1"/>
        <v>-2.5000000000000001E-2</v>
      </c>
      <c r="I10" s="118">
        <f>IF(H10&gt;'Discount Scheme Target'!$N$4,25%,IF(H10&gt;'Discount Scheme Target'!$M$4,15%,IF(H10&gt;'Discount Scheme Target'!$L$4,10%,0)))</f>
        <v>0</v>
      </c>
      <c r="K10" s="117">
        <f>I10-_xlfn.XLOOKUP(A10,'Credit Note Approval Form'!C:C,'Credit Note Approval Form'!S:S,,0)</f>
        <v>-1</v>
      </c>
      <c r="L10" s="155" t="s">
        <v>956</v>
      </c>
    </row>
    <row r="11" spans="1:12" x14ac:dyDescent="0.25">
      <c r="A11" s="41">
        <v>1120501001</v>
      </c>
      <c r="B11" s="41" t="s">
        <v>81</v>
      </c>
      <c r="C11" s="41" t="s">
        <v>140</v>
      </c>
      <c r="D11" s="125">
        <v>0.15208333333333332</v>
      </c>
      <c r="E11" s="125">
        <v>0.125</v>
      </c>
      <c r="F11" s="80">
        <f t="shared" si="0"/>
        <v>-0.17808219178082185</v>
      </c>
      <c r="H11" s="106">
        <f t="shared" si="1"/>
        <v>2.708333333333332E-2</v>
      </c>
      <c r="I11" s="118">
        <f>IF(H11&gt;'Discount Scheme Target'!$N$4,25%,IF(H11&gt;'Discount Scheme Target'!$M$4,15%,IF(H11&gt;'Discount Scheme Target'!$L$4,10%,0)))</f>
        <v>0.15</v>
      </c>
      <c r="K11" s="117">
        <f>I11-_xlfn.XLOOKUP(A11,'Credit Note Approval Form'!C:C,'Credit Note Approval Form'!S:S,,0)</f>
        <v>0</v>
      </c>
    </row>
    <row r="12" spans="1:12" x14ac:dyDescent="0.25">
      <c r="A12" s="41">
        <v>1300006451</v>
      </c>
      <c r="B12" s="41" t="s">
        <v>143</v>
      </c>
      <c r="C12" s="41" t="s">
        <v>140</v>
      </c>
      <c r="D12" s="125">
        <v>5.6944444444444443E-2</v>
      </c>
      <c r="E12" s="125">
        <v>8.3333333333333329E-2</v>
      </c>
      <c r="F12" s="80">
        <f t="shared" si="0"/>
        <v>0.46341463414634143</v>
      </c>
      <c r="H12" s="106">
        <f t="shared" si="1"/>
        <v>-2.6388888888888885E-2</v>
      </c>
      <c r="I12" s="118">
        <f>IF(H12&gt;'Discount Scheme Target'!$N$4,25%,IF(H12&gt;'Discount Scheme Target'!$M$4,15%,IF(H12&gt;'Discount Scheme Target'!$L$4,10%,0)))</f>
        <v>0</v>
      </c>
      <c r="K12" s="117">
        <f>I12-_xlfn.XLOOKUP(A12,'Credit Note Approval Form'!C:C,'Credit Note Approval Form'!S:S,,0)</f>
        <v>0</v>
      </c>
    </row>
    <row r="13" spans="1:12" x14ac:dyDescent="0.25">
      <c r="A13" s="41">
        <v>1300006430</v>
      </c>
      <c r="B13" s="41" t="s">
        <v>144</v>
      </c>
      <c r="C13" s="41" t="s">
        <v>140</v>
      </c>
      <c r="D13" s="125">
        <v>5.4166666666666669E-2</v>
      </c>
      <c r="E13" s="125">
        <v>8.3333333333333329E-2</v>
      </c>
      <c r="F13" s="80">
        <f t="shared" si="0"/>
        <v>0.53846153846153832</v>
      </c>
      <c r="H13" s="106">
        <f t="shared" si="1"/>
        <v>-2.916666666666666E-2</v>
      </c>
      <c r="I13" s="118">
        <f>IF(H13&gt;'Discount Scheme Target'!$N$4,25%,IF(H13&gt;'Discount Scheme Target'!$M$4,15%,IF(H13&gt;'Discount Scheme Target'!$L$4,10%,0)))</f>
        <v>0</v>
      </c>
      <c r="K13" s="117">
        <f>I13-_xlfn.XLOOKUP(A13,'Credit Note Approval Form'!C:C,'Credit Note Approval Form'!S:S,,0)</f>
        <v>0</v>
      </c>
    </row>
    <row r="14" spans="1:12" x14ac:dyDescent="0.25">
      <c r="A14" s="41">
        <v>1300006447</v>
      </c>
      <c r="B14" s="41" t="s">
        <v>86</v>
      </c>
      <c r="C14" s="41" t="s">
        <v>140</v>
      </c>
      <c r="D14" s="125">
        <v>0.12847222222222224</v>
      </c>
      <c r="E14" s="125">
        <v>0.125</v>
      </c>
      <c r="F14" s="80">
        <f t="shared" si="0"/>
        <v>-2.7027027027027195E-2</v>
      </c>
      <c r="H14" s="106">
        <f t="shared" si="1"/>
        <v>3.4722222222222376E-3</v>
      </c>
      <c r="I14" s="118">
        <f>IF(H14&gt;'Discount Scheme Target'!$N$4,25%,IF(H14&gt;'Discount Scheme Target'!$M$4,15%,IF(H14&gt;'Discount Scheme Target'!$L$4,10%,0)))</f>
        <v>0.1</v>
      </c>
      <c r="K14" s="117">
        <f>I14-_xlfn.XLOOKUP(A14,'Credit Note Approval Form'!C:C,'Credit Note Approval Form'!S:S,,0)</f>
        <v>0</v>
      </c>
    </row>
    <row r="15" spans="1:12" x14ac:dyDescent="0.25">
      <c r="A15" s="41">
        <v>1300006452</v>
      </c>
      <c r="B15" s="41" t="s">
        <v>343</v>
      </c>
      <c r="C15" s="41" t="s">
        <v>140</v>
      </c>
      <c r="D15" s="125">
        <v>2.8472222222222222E-2</v>
      </c>
      <c r="E15" s="125">
        <v>8.3333333333333329E-2</v>
      </c>
      <c r="F15" s="80">
        <f t="shared" si="0"/>
        <v>1.9268292682926829</v>
      </c>
      <c r="H15" s="106">
        <f t="shared" si="1"/>
        <v>-5.486111111111111E-2</v>
      </c>
      <c r="I15" s="118">
        <f>IF(H15&gt;'Discount Scheme Target'!$N$4,25%,IF(H15&gt;'Discount Scheme Target'!$M$4,15%,IF(H15&gt;'Discount Scheme Target'!$L$4,10%,0)))</f>
        <v>0</v>
      </c>
      <c r="K15" s="117">
        <f>I15-_xlfn.XLOOKUP(A15,'Credit Note Approval Form'!C:C,'Credit Note Approval Form'!S:S,,0)</f>
        <v>0</v>
      </c>
    </row>
    <row r="16" spans="1:12" x14ac:dyDescent="0.25">
      <c r="A16" s="149">
        <v>1300006459</v>
      </c>
      <c r="B16" s="149" t="s">
        <v>500</v>
      </c>
      <c r="C16" s="149" t="s">
        <v>140</v>
      </c>
      <c r="D16" s="156">
        <v>6.1111111111111116E-2</v>
      </c>
      <c r="E16" s="156">
        <v>8.3333333333333329E-2</v>
      </c>
      <c r="F16" s="99">
        <f t="shared" si="0"/>
        <v>0.36363636363636354</v>
      </c>
      <c r="H16" s="106"/>
      <c r="I16" s="118">
        <f>IF(H16&gt;'Discount Scheme Target'!$N$4,25%,IF(H16&gt;'Discount Scheme Target'!$M$4,15%,IF(H16&gt;'Discount Scheme Target'!$L$4,10%,0)))</f>
        <v>0</v>
      </c>
      <c r="K16" s="117">
        <f>I16-_xlfn.XLOOKUP(A16,'Credit Note Approval Form'!C:C,'Credit Note Approval Form'!S:S,,0)</f>
        <v>0</v>
      </c>
      <c r="L16" s="155" t="s">
        <v>519</v>
      </c>
    </row>
    <row r="17" spans="1:12" x14ac:dyDescent="0.25">
      <c r="A17" s="149">
        <v>1300006460</v>
      </c>
      <c r="B17" s="149" t="s">
        <v>516</v>
      </c>
      <c r="C17" s="149" t="s">
        <v>140</v>
      </c>
      <c r="D17" s="156">
        <v>6.3888888888888884E-2</v>
      </c>
      <c r="E17" s="156">
        <v>0.125</v>
      </c>
      <c r="F17" s="99">
        <f t="shared" si="0"/>
        <v>0.95652173913043503</v>
      </c>
      <c r="H17" s="106"/>
      <c r="I17" s="118">
        <f>IF(H17&gt;'Discount Scheme Target'!$N$4,25%,IF(H17&gt;'Discount Scheme Target'!$M$4,15%,IF(H17&gt;'Discount Scheme Target'!$L$4,10%,0)))</f>
        <v>0</v>
      </c>
      <c r="K17" s="117">
        <f>I17-_xlfn.XLOOKUP(A17,'Credit Note Approval Form'!C:C,'Credit Note Approval Form'!S:S,,0)</f>
        <v>0</v>
      </c>
      <c r="L17" s="155" t="s">
        <v>519</v>
      </c>
    </row>
    <row r="18" spans="1:12" x14ac:dyDescent="0.25">
      <c r="A18" s="149">
        <v>1300006461</v>
      </c>
      <c r="B18" s="149" t="s">
        <v>517</v>
      </c>
      <c r="C18" s="149" t="s">
        <v>140</v>
      </c>
      <c r="D18" s="156">
        <v>5.9722222222222225E-2</v>
      </c>
      <c r="E18" s="156">
        <v>8.3333333333333329E-2</v>
      </c>
      <c r="F18" s="99">
        <f t="shared" si="0"/>
        <v>0.39534883720930214</v>
      </c>
      <c r="H18" s="106"/>
      <c r="I18" s="118">
        <f>IF(H18&gt;'Discount Scheme Target'!$N$4,25%,IF(H18&gt;'Discount Scheme Target'!$M$4,15%,IF(H18&gt;'Discount Scheme Target'!$L$4,10%,0)))</f>
        <v>0</v>
      </c>
      <c r="K18" s="117">
        <f>I18-_xlfn.XLOOKUP(A18,'Credit Note Approval Form'!C:C,'Credit Note Approval Form'!S:S,,0)</f>
        <v>0</v>
      </c>
      <c r="L18" s="155" t="s">
        <v>519</v>
      </c>
    </row>
    <row r="19" spans="1:12" x14ac:dyDescent="0.25">
      <c r="A19" s="41">
        <v>2010301012</v>
      </c>
      <c r="B19" s="41" t="s">
        <v>89</v>
      </c>
      <c r="C19" s="41" t="s">
        <v>145</v>
      </c>
      <c r="D19" s="125">
        <v>6.6666666666666666E-2</v>
      </c>
      <c r="E19" s="125">
        <v>8.3333333333333329E-2</v>
      </c>
      <c r="F19" s="80">
        <f t="shared" si="0"/>
        <v>0.25</v>
      </c>
      <c r="H19" s="106">
        <f t="shared" si="1"/>
        <v>-1.6666666666666663E-2</v>
      </c>
      <c r="I19" s="118">
        <f>IF(H19&gt;'Discount Scheme Target'!$N$4,25%,IF(H19&gt;'Discount Scheme Target'!$M$4,15%,IF(H19&gt;'Discount Scheme Target'!$L$4,10%,0)))</f>
        <v>0</v>
      </c>
      <c r="K19" s="117">
        <f>I19-_xlfn.XLOOKUP(A19,'Credit Note Approval Form'!C:C,'Credit Note Approval Form'!S:S,,0)</f>
        <v>0</v>
      </c>
    </row>
    <row r="20" spans="1:12" x14ac:dyDescent="0.25">
      <c r="A20" s="41">
        <v>2300004647</v>
      </c>
      <c r="B20" s="41" t="s">
        <v>344</v>
      </c>
      <c r="C20" s="41" t="s">
        <v>145</v>
      </c>
      <c r="D20" s="125">
        <v>4.7916666666666663E-2</v>
      </c>
      <c r="E20" s="125">
        <v>8.3333333333333329E-2</v>
      </c>
      <c r="F20" s="80">
        <f t="shared" si="0"/>
        <v>0.73913043478260865</v>
      </c>
      <c r="H20" s="106">
        <f t="shared" si="1"/>
        <v>-3.5416666666666666E-2</v>
      </c>
      <c r="I20" s="118">
        <f>IF(H20&gt;'Discount Scheme Target'!$N$4,25%,IF(H20&gt;'Discount Scheme Target'!$M$4,15%,IF(H20&gt;'Discount Scheme Target'!$L$4,10%,0)))</f>
        <v>0</v>
      </c>
      <c r="K20" s="117">
        <f>I20-_xlfn.XLOOKUP(A20,'Credit Note Approval Form'!C:C,'Credit Note Approval Form'!S:S,,0)</f>
        <v>0</v>
      </c>
    </row>
    <row r="21" spans="1:12" x14ac:dyDescent="0.25">
      <c r="A21" s="41">
        <v>2010625010</v>
      </c>
      <c r="B21" s="41" t="s">
        <v>90</v>
      </c>
      <c r="C21" s="41" t="s">
        <v>145</v>
      </c>
      <c r="D21" s="125">
        <v>6.3194444444444442E-2</v>
      </c>
      <c r="E21" s="125">
        <v>8.3333333333333329E-2</v>
      </c>
      <c r="F21" s="80">
        <f t="shared" si="0"/>
        <v>0.31868131868131866</v>
      </c>
      <c r="H21" s="106">
        <f t="shared" si="1"/>
        <v>-2.0138888888888887E-2</v>
      </c>
      <c r="I21" s="118">
        <f>IF(H21&gt;'Discount Scheme Target'!$N$4,25%,IF(H21&gt;'Discount Scheme Target'!$M$4,15%,IF(H21&gt;'Discount Scheme Target'!$L$4,10%,0)))</f>
        <v>0</v>
      </c>
      <c r="K21" s="117">
        <f>I21-_xlfn.XLOOKUP(A21,'Credit Note Approval Form'!C:C,'Credit Note Approval Form'!S:S,,0)</f>
        <v>0</v>
      </c>
    </row>
    <row r="22" spans="1:12" x14ac:dyDescent="0.25">
      <c r="A22" s="41">
        <v>2010905029</v>
      </c>
      <c r="B22" s="41" t="s">
        <v>91</v>
      </c>
      <c r="C22" s="41" t="s">
        <v>145</v>
      </c>
      <c r="D22" s="125">
        <v>5.6944444444444443E-2</v>
      </c>
      <c r="E22" s="125">
        <v>8.3333333333333329E-2</v>
      </c>
      <c r="F22" s="80">
        <f t="shared" si="0"/>
        <v>0.46341463414634143</v>
      </c>
      <c r="H22" s="106">
        <f t="shared" si="1"/>
        <v>-2.6388888888888885E-2</v>
      </c>
      <c r="I22" s="118">
        <f>IF(H22&gt;'Discount Scheme Target'!$N$4,25%,IF(H22&gt;'Discount Scheme Target'!$M$4,15%,IF(H22&gt;'Discount Scheme Target'!$L$4,10%,0)))</f>
        <v>0</v>
      </c>
      <c r="K22" s="117">
        <f>I22-_xlfn.XLOOKUP(A22,'Credit Note Approval Form'!C:C,'Credit Note Approval Form'!S:S,,0)</f>
        <v>-1</v>
      </c>
      <c r="L22" s="155" t="s">
        <v>956</v>
      </c>
    </row>
    <row r="23" spans="1:12" x14ac:dyDescent="0.25">
      <c r="A23" s="41">
        <v>2013910053</v>
      </c>
      <c r="B23" s="41" t="s">
        <v>93</v>
      </c>
      <c r="C23" s="41" t="s">
        <v>145</v>
      </c>
      <c r="D23" s="125">
        <v>7.4999999999999997E-2</v>
      </c>
      <c r="E23" s="125">
        <v>8.3333333333333329E-2</v>
      </c>
      <c r="F23" s="80">
        <f t="shared" si="0"/>
        <v>0.11111111111111116</v>
      </c>
      <c r="H23" s="106">
        <f t="shared" si="1"/>
        <v>-8.3333333333333315E-3</v>
      </c>
      <c r="I23" s="118">
        <f>IF(H23&gt;'Discount Scheme Target'!$N$4,25%,IF(H23&gt;'Discount Scheme Target'!$M$4,15%,IF(H23&gt;'Discount Scheme Target'!$L$4,10%,0)))</f>
        <v>0</v>
      </c>
      <c r="K23" s="117">
        <f>I23-_xlfn.XLOOKUP(A23,'Credit Note Approval Form'!C:C,'Credit Note Approval Form'!S:S,,0)</f>
        <v>0</v>
      </c>
    </row>
    <row r="24" spans="1:12" x14ac:dyDescent="0.25">
      <c r="A24" s="41">
        <v>2013915007</v>
      </c>
      <c r="B24" s="41" t="s">
        <v>146</v>
      </c>
      <c r="C24" s="41" t="s">
        <v>145</v>
      </c>
      <c r="D24" s="125">
        <v>6.5972222222222224E-2</v>
      </c>
      <c r="E24" s="125">
        <v>8.3333333333333329E-2</v>
      </c>
      <c r="F24" s="80">
        <f t="shared" si="0"/>
        <v>0.26315789473684204</v>
      </c>
      <c r="H24" s="106">
        <f t="shared" si="1"/>
        <v>-1.7361111111111105E-2</v>
      </c>
      <c r="I24" s="118">
        <f>IF(H24&gt;'Discount Scheme Target'!$N$4,25%,IF(H24&gt;'Discount Scheme Target'!$M$4,15%,IF(H24&gt;'Discount Scheme Target'!$L$4,10%,0)))</f>
        <v>0</v>
      </c>
      <c r="K24" s="117">
        <f>I24-_xlfn.XLOOKUP(A24,'Credit Note Approval Form'!C:C,'Credit Note Approval Form'!S:S,,0)</f>
        <v>0</v>
      </c>
    </row>
    <row r="25" spans="1:12" x14ac:dyDescent="0.25">
      <c r="A25" s="41">
        <v>2300001202</v>
      </c>
      <c r="B25" s="41" t="s">
        <v>147</v>
      </c>
      <c r="C25" s="41" t="s">
        <v>145</v>
      </c>
      <c r="D25" s="125">
        <v>5.0694444444444452E-2</v>
      </c>
      <c r="E25" s="125">
        <v>8.3333333333333329E-2</v>
      </c>
      <c r="F25" s="80">
        <f t="shared" si="0"/>
        <v>0.64383561643835585</v>
      </c>
      <c r="H25" s="106">
        <f t="shared" si="1"/>
        <v>-3.2638888888888877E-2</v>
      </c>
      <c r="I25" s="118">
        <f>IF(H25&gt;'Discount Scheme Target'!$N$4,25%,IF(H25&gt;'Discount Scheme Target'!$M$4,15%,IF(H25&gt;'Discount Scheme Target'!$L$4,10%,0)))</f>
        <v>0</v>
      </c>
      <c r="K25" s="117">
        <f>I25-_xlfn.XLOOKUP(A25,'Credit Note Approval Form'!C:C,'Credit Note Approval Form'!S:S,,0)</f>
        <v>0</v>
      </c>
    </row>
    <row r="26" spans="1:12" x14ac:dyDescent="0.25">
      <c r="A26" s="41">
        <v>2300004631</v>
      </c>
      <c r="B26" s="41" t="s">
        <v>148</v>
      </c>
      <c r="C26" s="41" t="s">
        <v>145</v>
      </c>
      <c r="D26" s="125">
        <v>6.1111111111111116E-2</v>
      </c>
      <c r="E26" s="125">
        <v>8.3333333333333329E-2</v>
      </c>
      <c r="F26" s="80">
        <f t="shared" si="0"/>
        <v>0.36363636363636354</v>
      </c>
      <c r="H26" s="106">
        <f t="shared" si="1"/>
        <v>-2.2222222222222213E-2</v>
      </c>
      <c r="I26" s="118">
        <f>IF(H26&gt;'Discount Scheme Target'!$N$4,25%,IF(H26&gt;'Discount Scheme Target'!$M$4,15%,IF(H26&gt;'Discount Scheme Target'!$L$4,10%,0)))</f>
        <v>0</v>
      </c>
      <c r="K26" s="117">
        <f>I26-_xlfn.XLOOKUP(A26,'Credit Note Approval Form'!C:C,'Credit Note Approval Form'!S:S,,0)</f>
        <v>0</v>
      </c>
    </row>
    <row r="27" spans="1:12" x14ac:dyDescent="0.25">
      <c r="A27" s="41">
        <v>2300002301</v>
      </c>
      <c r="B27" s="41" t="s">
        <v>345</v>
      </c>
      <c r="C27" s="41" t="s">
        <v>145</v>
      </c>
      <c r="D27" s="125">
        <v>8.9583333333333334E-2</v>
      </c>
      <c r="E27" s="125">
        <v>8.3333333333333329E-2</v>
      </c>
      <c r="F27" s="80">
        <f t="shared" si="0"/>
        <v>-6.9767441860465129E-2</v>
      </c>
      <c r="H27" s="106">
        <f t="shared" si="1"/>
        <v>6.2500000000000056E-3</v>
      </c>
      <c r="I27" s="118">
        <f>IF(H27&gt;'Discount Scheme Target'!$N$4,25%,IF(H27&gt;'Discount Scheme Target'!$M$4,15%,IF(H27&gt;'Discount Scheme Target'!$L$4,10%,0)))</f>
        <v>0.1</v>
      </c>
      <c r="K27" s="117">
        <f>I27-_xlfn.XLOOKUP(A27,'Credit Note Approval Form'!C:C,'Credit Note Approval Form'!S:S,,0)</f>
        <v>0</v>
      </c>
    </row>
    <row r="28" spans="1:12" x14ac:dyDescent="0.25">
      <c r="A28" s="41">
        <v>2300002312</v>
      </c>
      <c r="B28" s="41" t="s">
        <v>107</v>
      </c>
      <c r="C28" s="41" t="s">
        <v>145</v>
      </c>
      <c r="D28" s="125">
        <v>2.9166666666666664E-2</v>
      </c>
      <c r="E28" s="125">
        <v>8.3333333333333329E-2</v>
      </c>
      <c r="F28" s="80">
        <f t="shared" si="0"/>
        <v>1.8571428571428572</v>
      </c>
      <c r="H28" s="106">
        <f t="shared" si="1"/>
        <v>-5.4166666666666669E-2</v>
      </c>
      <c r="I28" s="118">
        <f>IF(H28&gt;'Discount Scheme Target'!$N$4,25%,IF(H28&gt;'Discount Scheme Target'!$M$4,15%,IF(H28&gt;'Discount Scheme Target'!$L$4,10%,0)))</f>
        <v>0</v>
      </c>
      <c r="K28" s="117">
        <f>I28-_xlfn.XLOOKUP(A28,'Credit Note Approval Form'!C:C,'Credit Note Approval Form'!S:S,,0)</f>
        <v>0</v>
      </c>
    </row>
    <row r="29" spans="1:12" x14ac:dyDescent="0.25">
      <c r="A29" s="41">
        <v>2011510034</v>
      </c>
      <c r="B29" s="41" t="s">
        <v>149</v>
      </c>
      <c r="C29" s="41" t="s">
        <v>145</v>
      </c>
      <c r="D29" s="125">
        <v>5.9027777777777783E-2</v>
      </c>
      <c r="E29" s="125">
        <v>8.3333333333333329E-2</v>
      </c>
      <c r="F29" s="80">
        <f t="shared" si="0"/>
        <v>0.41176470588235281</v>
      </c>
      <c r="H29" s="106">
        <f t="shared" si="1"/>
        <v>-2.4305555555555546E-2</v>
      </c>
      <c r="I29" s="118">
        <f>IF(H29&gt;'Discount Scheme Target'!$N$4,25%,IF(H29&gt;'Discount Scheme Target'!$M$4,15%,IF(H29&gt;'Discount Scheme Target'!$L$4,10%,0)))</f>
        <v>0</v>
      </c>
      <c r="K29" s="117">
        <f>I29-_xlfn.XLOOKUP(A29,'Credit Note Approval Form'!C:C,'Credit Note Approval Form'!S:S,,0)</f>
        <v>0</v>
      </c>
    </row>
    <row r="30" spans="1:12" x14ac:dyDescent="0.25">
      <c r="A30" s="41">
        <v>2300001198</v>
      </c>
      <c r="B30" s="41" t="s">
        <v>103</v>
      </c>
      <c r="C30" s="41" t="s">
        <v>145</v>
      </c>
      <c r="D30" s="125">
        <v>6.8749999999999992E-2</v>
      </c>
      <c r="E30" s="125">
        <v>8.3333333333333329E-2</v>
      </c>
      <c r="F30" s="80">
        <f t="shared" si="0"/>
        <v>0.21212121212121215</v>
      </c>
      <c r="H30" s="106">
        <f t="shared" si="1"/>
        <v>-1.4583333333333337E-2</v>
      </c>
      <c r="I30" s="118">
        <f>IF(H30&gt;'Discount Scheme Target'!$N$4,25%,IF(H30&gt;'Discount Scheme Target'!$M$4,15%,IF(H30&gt;'Discount Scheme Target'!$L$4,10%,0)))</f>
        <v>0</v>
      </c>
      <c r="K30" s="117">
        <f>I30-_xlfn.XLOOKUP(A30,'Credit Note Approval Form'!C:C,'Credit Note Approval Form'!S:S,,0)</f>
        <v>0</v>
      </c>
    </row>
    <row r="31" spans="1:12" x14ac:dyDescent="0.25">
      <c r="A31" s="41">
        <v>2091006005</v>
      </c>
      <c r="B31" s="41" t="s">
        <v>102</v>
      </c>
      <c r="C31" s="41" t="s">
        <v>145</v>
      </c>
      <c r="D31" s="125">
        <v>5.9722222222222225E-2</v>
      </c>
      <c r="E31" s="125">
        <v>8.3333333333333329E-2</v>
      </c>
      <c r="F31" s="80">
        <f t="shared" si="0"/>
        <v>0.39534883720930214</v>
      </c>
      <c r="H31" s="106">
        <f t="shared" si="1"/>
        <v>-2.3611111111111104E-2</v>
      </c>
      <c r="I31" s="118">
        <f>IF(H31&gt;'Discount Scheme Target'!$N$4,25%,IF(H31&gt;'Discount Scheme Target'!$M$4,15%,IF(H31&gt;'Discount Scheme Target'!$L$4,10%,0)))</f>
        <v>0</v>
      </c>
      <c r="K31" s="117">
        <f>I31-_xlfn.XLOOKUP(A31,'Credit Note Approval Form'!C:C,'Credit Note Approval Form'!S:S,,0)</f>
        <v>0</v>
      </c>
      <c r="L31" s="113"/>
    </row>
    <row r="32" spans="1:12" x14ac:dyDescent="0.25">
      <c r="A32" s="41">
        <v>2300002296</v>
      </c>
      <c r="B32" s="41" t="s">
        <v>150</v>
      </c>
      <c r="C32" s="41" t="s">
        <v>145</v>
      </c>
      <c r="D32" s="125">
        <v>7.7083333333333337E-2</v>
      </c>
      <c r="E32" s="125">
        <v>8.3333333333333329E-2</v>
      </c>
      <c r="F32" s="80">
        <f t="shared" si="0"/>
        <v>8.1081081081080919E-2</v>
      </c>
      <c r="H32" s="106">
        <f t="shared" si="1"/>
        <v>-6.2499999999999917E-3</v>
      </c>
      <c r="I32" s="118">
        <f>IF(H32&gt;'Discount Scheme Target'!$N$4,25%,IF(H32&gt;'Discount Scheme Target'!$M$4,15%,IF(H32&gt;'Discount Scheme Target'!$L$4,10%,0)))</f>
        <v>0</v>
      </c>
      <c r="K32" s="117">
        <f>I32-_xlfn.XLOOKUP(A32,'Credit Note Approval Form'!C:C,'Credit Note Approval Form'!S:S,,0)</f>
        <v>0</v>
      </c>
    </row>
    <row r="33" spans="1:12" x14ac:dyDescent="0.25">
      <c r="A33" s="41">
        <v>2300002284</v>
      </c>
      <c r="B33" s="41" t="s">
        <v>106</v>
      </c>
      <c r="C33" s="41" t="s">
        <v>145</v>
      </c>
      <c r="D33" s="125">
        <v>5.8333333333333327E-2</v>
      </c>
      <c r="E33" s="125">
        <v>8.3333333333333329E-2</v>
      </c>
      <c r="F33" s="80">
        <f t="shared" si="0"/>
        <v>0.4285714285714286</v>
      </c>
      <c r="H33" s="106">
        <f t="shared" si="1"/>
        <v>-2.5000000000000001E-2</v>
      </c>
      <c r="I33" s="118">
        <f>IF(H33&gt;'Discount Scheme Target'!$N$4,25%,IF(H33&gt;'Discount Scheme Target'!$M$4,15%,IF(H33&gt;'Discount Scheme Target'!$L$4,10%,0)))</f>
        <v>0</v>
      </c>
      <c r="K33" s="117">
        <f>I33-_xlfn.XLOOKUP(A33,'Credit Note Approval Form'!C:C,'Credit Note Approval Form'!S:S,,0)</f>
        <v>0</v>
      </c>
    </row>
    <row r="34" spans="1:12" x14ac:dyDescent="0.25">
      <c r="A34" s="41">
        <v>2011210001</v>
      </c>
      <c r="B34" s="41" t="s">
        <v>92</v>
      </c>
      <c r="C34" s="41" t="s">
        <v>145</v>
      </c>
      <c r="D34" s="125">
        <v>5.7638888888888885E-2</v>
      </c>
      <c r="E34" s="125">
        <v>8.3333333333333329E-2</v>
      </c>
      <c r="F34" s="80">
        <f t="shared" si="0"/>
        <v>0.44578313253012047</v>
      </c>
      <c r="H34" s="106">
        <f t="shared" si="1"/>
        <v>-2.5694444444444443E-2</v>
      </c>
      <c r="I34" s="118">
        <f>IF(H34&gt;'Discount Scheme Target'!$N$4,25%,IF(H34&gt;'Discount Scheme Target'!$M$4,15%,IF(H34&gt;'Discount Scheme Target'!$L$4,10%,0)))</f>
        <v>0</v>
      </c>
      <c r="K34" s="117">
        <f>I34-_xlfn.XLOOKUP(A34,'Credit Note Approval Form'!C:C,'Credit Note Approval Form'!S:S,,0)</f>
        <v>0</v>
      </c>
    </row>
    <row r="35" spans="1:12" x14ac:dyDescent="0.25">
      <c r="A35" s="41">
        <v>2300004648</v>
      </c>
      <c r="B35" s="41" t="s">
        <v>415</v>
      </c>
      <c r="C35" s="41" t="s">
        <v>145</v>
      </c>
      <c r="D35" s="125">
        <v>5.2777777777777778E-2</v>
      </c>
      <c r="E35" s="125">
        <v>8.3333333333333329E-2</v>
      </c>
      <c r="F35" s="80">
        <f t="shared" si="0"/>
        <v>0.57894736842105265</v>
      </c>
      <c r="H35" s="106">
        <f t="shared" si="1"/>
        <v>-3.0555555555555551E-2</v>
      </c>
      <c r="I35" s="118">
        <f>IF(H35&gt;'Discount Scheme Target'!$N$4,25%,IF(H35&gt;'Discount Scheme Target'!$M$4,15%,IF(H35&gt;'Discount Scheme Target'!$L$4,10%,0)))</f>
        <v>0</v>
      </c>
      <c r="K35" s="117">
        <f>I35-_xlfn.XLOOKUP(A35,'Credit Note Approval Form'!C:C,'Credit Note Approval Form'!S:S,,0)</f>
        <v>0</v>
      </c>
    </row>
    <row r="36" spans="1:12" x14ac:dyDescent="0.25">
      <c r="A36" s="149">
        <v>2300004649</v>
      </c>
      <c r="B36" s="149" t="s">
        <v>518</v>
      </c>
      <c r="C36" s="149" t="s">
        <v>145</v>
      </c>
      <c r="D36" s="156">
        <v>3.6111111111111115E-2</v>
      </c>
      <c r="E36" s="156">
        <v>8.3333333333333329E-2</v>
      </c>
      <c r="F36" s="99">
        <f t="shared" si="0"/>
        <v>1.3076923076923075</v>
      </c>
      <c r="H36" s="106"/>
      <c r="I36" s="118">
        <f>IF(H36&gt;'Discount Scheme Target'!$N$4,25%,IF(H36&gt;'Discount Scheme Target'!$M$4,15%,IF(H36&gt;'Discount Scheme Target'!$L$4,10%,0)))</f>
        <v>0</v>
      </c>
      <c r="K36" s="117">
        <f>I36-_xlfn.XLOOKUP(A36,'Credit Note Approval Form'!C:C,'Credit Note Approval Form'!S:S,,0)</f>
        <v>0</v>
      </c>
      <c r="L36" s="155" t="s">
        <v>519</v>
      </c>
    </row>
    <row r="37" spans="1:12" x14ac:dyDescent="0.25">
      <c r="A37" s="41">
        <v>3300002022</v>
      </c>
      <c r="B37" s="41" t="s">
        <v>116</v>
      </c>
      <c r="C37" s="41" t="s">
        <v>145</v>
      </c>
      <c r="D37" s="125">
        <v>6.8749999999999992E-2</v>
      </c>
      <c r="E37" s="125">
        <v>8.3333333333333329E-2</v>
      </c>
      <c r="F37" s="80">
        <f t="shared" si="0"/>
        <v>0.21212121212121215</v>
      </c>
      <c r="H37" s="106">
        <f t="shared" si="1"/>
        <v>-1.4583333333333337E-2</v>
      </c>
      <c r="I37" s="118">
        <f>IF(H37&gt;'Discount Scheme Target'!$N$4,25%,IF(H37&gt;'Discount Scheme Target'!$M$4,15%,IF(H37&gt;'Discount Scheme Target'!$L$4,10%,0)))</f>
        <v>0</v>
      </c>
      <c r="K37" s="117">
        <f>I37-_xlfn.XLOOKUP(A37,'Credit Note Approval Form'!C:C,'Credit Note Approval Form'!S:S,,0)</f>
        <v>0</v>
      </c>
    </row>
    <row r="38" spans="1:12" x14ac:dyDescent="0.25">
      <c r="A38" s="41">
        <v>3300000887</v>
      </c>
      <c r="B38" s="41" t="s">
        <v>113</v>
      </c>
      <c r="C38" s="41" t="s">
        <v>151</v>
      </c>
      <c r="D38" s="125">
        <v>7.3611111111111113E-2</v>
      </c>
      <c r="E38" s="125">
        <v>8.3333333333333329E-2</v>
      </c>
      <c r="F38" s="80">
        <f t="shared" si="0"/>
        <v>0.13207547169811318</v>
      </c>
      <c r="H38" s="106">
        <f t="shared" si="1"/>
        <v>-9.7222222222222154E-3</v>
      </c>
      <c r="I38" s="118">
        <f>IF(H38&gt;'Discount Scheme Target'!$N$4,25%,IF(H38&gt;'Discount Scheme Target'!$M$4,15%,IF(H38&gt;'Discount Scheme Target'!$L$4,10%,0)))</f>
        <v>0</v>
      </c>
      <c r="K38" s="117">
        <f>I38-_xlfn.XLOOKUP(A38,'Credit Note Approval Form'!C:C,'Credit Note Approval Form'!S:S,,0)</f>
        <v>0</v>
      </c>
    </row>
    <row r="39" spans="1:12" x14ac:dyDescent="0.25">
      <c r="A39" s="41">
        <v>3300002021</v>
      </c>
      <c r="B39" s="41" t="s">
        <v>115</v>
      </c>
      <c r="C39" s="41" t="s">
        <v>151</v>
      </c>
      <c r="D39" s="125">
        <v>0.11041666666666666</v>
      </c>
      <c r="E39" s="125">
        <v>8.3333333333333329E-2</v>
      </c>
      <c r="F39" s="80">
        <f t="shared" si="0"/>
        <v>-0.24528301886792458</v>
      </c>
      <c r="H39" s="106">
        <f t="shared" si="1"/>
        <v>2.7083333333333334E-2</v>
      </c>
      <c r="I39" s="118">
        <f>IF(H39&gt;'Discount Scheme Target'!$N$4,25%,IF(H39&gt;'Discount Scheme Target'!$M$4,15%,IF(H39&gt;'Discount Scheme Target'!$L$4,10%,0)))</f>
        <v>0.15</v>
      </c>
      <c r="K39" s="117">
        <f>I39-_xlfn.XLOOKUP(A39,'Credit Note Approval Form'!C:C,'Credit Note Approval Form'!S:S,,0)</f>
        <v>0</v>
      </c>
    </row>
    <row r="40" spans="1:12" x14ac:dyDescent="0.25">
      <c r="A40" s="41">
        <v>3300002018</v>
      </c>
      <c r="B40" s="41" t="s">
        <v>114</v>
      </c>
      <c r="C40" s="41" t="s">
        <v>151</v>
      </c>
      <c r="D40" s="125">
        <v>0.13194444444444445</v>
      </c>
      <c r="E40" s="125">
        <v>8.3333333333333329E-2</v>
      </c>
      <c r="F40" s="80">
        <f t="shared" si="0"/>
        <v>-0.36842105263157898</v>
      </c>
      <c r="H40" s="106">
        <f t="shared" si="1"/>
        <v>4.8611111111111119E-2</v>
      </c>
      <c r="I40" s="118">
        <f>IF(H40&gt;'Discount Scheme Target'!$N$4,25%,IF(H40&gt;'Discount Scheme Target'!$M$4,15%,IF(H40&gt;'Discount Scheme Target'!$L$4,10%,0)))</f>
        <v>0.25</v>
      </c>
      <c r="K40" s="117">
        <f>I40-_xlfn.XLOOKUP(A40,'Credit Note Approval Form'!C:C,'Credit Note Approval Form'!S:S,,0)</f>
        <v>0</v>
      </c>
    </row>
    <row r="41" spans="1:12" x14ac:dyDescent="0.25">
      <c r="A41" s="41">
        <v>3300000846</v>
      </c>
      <c r="B41" s="41" t="s">
        <v>112</v>
      </c>
      <c r="C41" s="41" t="s">
        <v>151</v>
      </c>
      <c r="D41" s="125">
        <v>0.13125000000000001</v>
      </c>
      <c r="E41" s="125">
        <v>0.125</v>
      </c>
      <c r="F41" s="80">
        <f t="shared" si="0"/>
        <v>-4.7619047619047672E-2</v>
      </c>
      <c r="H41" s="106">
        <f t="shared" si="1"/>
        <v>6.2500000000000056E-3</v>
      </c>
      <c r="I41" s="118">
        <f>IF(H41&gt;'Discount Scheme Target'!$N$4,25%,IF(H41&gt;'Discount Scheme Target'!$M$4,15%,IF(H41&gt;'Discount Scheme Target'!$L$4,10%,0)))</f>
        <v>0.1</v>
      </c>
      <c r="K41" s="117">
        <f>I41-_xlfn.XLOOKUP(A41,'Credit Note Approval Form'!C:C,'Credit Note Approval Form'!S:S,,0)</f>
        <v>0</v>
      </c>
    </row>
    <row r="42" spans="1:12" x14ac:dyDescent="0.25">
      <c r="A42" s="41">
        <v>3050101021</v>
      </c>
      <c r="B42" s="41" t="s">
        <v>108</v>
      </c>
      <c r="C42" s="41" t="s">
        <v>151</v>
      </c>
      <c r="D42" s="125">
        <v>0.1388888888888889</v>
      </c>
      <c r="E42" s="125">
        <v>0.125</v>
      </c>
      <c r="F42" s="80">
        <f t="shared" si="0"/>
        <v>-0.10000000000000009</v>
      </c>
      <c r="H42" s="106">
        <f t="shared" si="1"/>
        <v>1.3888888888888895E-2</v>
      </c>
      <c r="I42" s="118">
        <f>IF(H42&gt;'Discount Scheme Target'!$N$4,25%,IF(H42&gt;'Discount Scheme Target'!$M$4,15%,IF(H42&gt;'Discount Scheme Target'!$L$4,10%,0)))</f>
        <v>0.1</v>
      </c>
      <c r="K42" s="117">
        <f>I42-_xlfn.XLOOKUP(A42,'Credit Note Approval Form'!C:C,'Credit Note Approval Form'!S:S,,0)</f>
        <v>0</v>
      </c>
    </row>
    <row r="43" spans="1:12" x14ac:dyDescent="0.25">
      <c r="A43" s="41">
        <v>3300002027</v>
      </c>
      <c r="B43" s="41" t="s">
        <v>117</v>
      </c>
      <c r="C43" s="41" t="s">
        <v>151</v>
      </c>
      <c r="D43" s="125">
        <v>0.13263888888888889</v>
      </c>
      <c r="E43" s="125">
        <v>0.125</v>
      </c>
      <c r="F43" s="80">
        <f t="shared" si="0"/>
        <v>-5.759162303664922E-2</v>
      </c>
      <c r="H43" s="106">
        <f>D43-E43</f>
        <v>7.6388888888888895E-3</v>
      </c>
      <c r="I43" s="118">
        <f>IF(H43&gt;'Discount Scheme Target'!$N$4,25%,IF(H43&gt;'Discount Scheme Target'!$M$4,15%,IF(H43&gt;'Discount Scheme Target'!$L$4,10%,0)))</f>
        <v>0.1</v>
      </c>
      <c r="K43" s="117">
        <f>I43-_xlfn.XLOOKUP(A43,'Credit Note Approval Form'!C:C,'Credit Note Approval Form'!S:S,,0)</f>
        <v>0</v>
      </c>
    </row>
    <row r="44" spans="1:12" x14ac:dyDescent="0.25">
      <c r="A44" s="41">
        <v>3300002028</v>
      </c>
      <c r="B44" s="41" t="s">
        <v>118</v>
      </c>
      <c r="C44" s="41" t="s">
        <v>151</v>
      </c>
      <c r="D44" s="125">
        <v>8.1944444444444445E-2</v>
      </c>
      <c r="E44" s="125">
        <v>0.125</v>
      </c>
      <c r="F44" s="80">
        <f t="shared" si="0"/>
        <v>0.52542372881355925</v>
      </c>
      <c r="H44" s="106">
        <f t="shared" si="1"/>
        <v>-4.3055555555555555E-2</v>
      </c>
      <c r="I44" s="118">
        <f>IF(H44&gt;'Discount Scheme Target'!$N$4,25%,IF(H44&gt;'Discount Scheme Target'!$M$4,15%,IF(H44&gt;'Discount Scheme Target'!$L$4,10%,0)))</f>
        <v>0</v>
      </c>
      <c r="K44" s="117">
        <f>I44-_xlfn.XLOOKUP(A44,'Credit Note Approval Form'!C:C,'Credit Note Approval Form'!S:S,,0)</f>
        <v>-0.33333333333333331</v>
      </c>
      <c r="L44" s="155" t="s">
        <v>957</v>
      </c>
    </row>
    <row r="45" spans="1:12" x14ac:dyDescent="0.25">
      <c r="A45" s="41">
        <v>3300002029</v>
      </c>
      <c r="B45" s="41" t="s">
        <v>119</v>
      </c>
      <c r="C45" s="41" t="s">
        <v>151</v>
      </c>
      <c r="D45" s="125">
        <v>0.14722222222222223</v>
      </c>
      <c r="E45" s="125">
        <v>0.125</v>
      </c>
      <c r="F45" s="80">
        <f t="shared" si="0"/>
        <v>-0.15094339622641517</v>
      </c>
      <c r="H45" s="106">
        <f>D45-E45</f>
        <v>2.2222222222222227E-2</v>
      </c>
      <c r="I45" s="118">
        <f>IF(H45&gt;'Discount Scheme Target'!$N$4,25%,IF(H45&gt;'Discount Scheme Target'!$M$4,15%,IF(H45&gt;'Discount Scheme Target'!$L$4,10%,0)))</f>
        <v>0.15</v>
      </c>
      <c r="K45" s="117">
        <f>I45-_xlfn.XLOOKUP(A45,'Credit Note Approval Form'!C:C,'Credit Note Approval Form'!S:S,,0)</f>
        <v>0</v>
      </c>
    </row>
    <row r="46" spans="1:12" x14ac:dyDescent="0.25">
      <c r="A46" s="149">
        <v>3300002030</v>
      </c>
      <c r="B46" s="149" t="s">
        <v>760</v>
      </c>
      <c r="C46" s="149" t="s">
        <v>151</v>
      </c>
      <c r="D46" s="156">
        <v>6.25E-2</v>
      </c>
      <c r="E46" s="156">
        <v>8.3333333333333329E-2</v>
      </c>
      <c r="F46" s="99">
        <f t="shared" ref="F46" si="2">IFERROR(E46/D46-1,-1)</f>
        <v>0.33333333333333326</v>
      </c>
      <c r="H46" s="106">
        <f>D46-E46</f>
        <v>-2.0833333333333329E-2</v>
      </c>
      <c r="I46" s="118">
        <f>IF(H46&gt;'Discount Scheme Target'!$N$4,25%,IF(H46&gt;'Discount Scheme Target'!$M$4,15%,IF(H46&gt;'Discount Scheme Target'!$L$4,10%,0)))</f>
        <v>0</v>
      </c>
      <c r="K46" s="117">
        <f>I46-_xlfn.XLOOKUP(A46,'Credit Note Approval Form'!C:C,'Credit Note Approval Form'!S:S,,0)</f>
        <v>0</v>
      </c>
      <c r="L46" s="155" t="s">
        <v>519</v>
      </c>
    </row>
  </sheetData>
  <autoFilter ref="A1:I46" xr:uid="{221FF61B-47CE-4E57-AB8D-1A661AF01928}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124D-6633-401B-BEAF-025D825709B2}">
  <sheetPr codeName="Sheet8"/>
  <dimension ref="A1:G46"/>
  <sheetViews>
    <sheetView zoomScaleNormal="100" workbookViewId="0">
      <pane ySplit="1" topLeftCell="A12" activePane="bottomLeft" state="frozen"/>
      <selection activeCell="E18" sqref="E18"/>
      <selection pane="bottomLeft" activeCell="I31" sqref="I31"/>
    </sheetView>
  </sheetViews>
  <sheetFormatPr defaultRowHeight="15" x14ac:dyDescent="0.25"/>
  <cols>
    <col min="1" max="1" width="12.28515625" bestFit="1" customWidth="1"/>
    <col min="2" max="2" width="38" bestFit="1" customWidth="1"/>
    <col min="3" max="3" width="7.140625" bestFit="1" customWidth="1"/>
    <col min="4" max="4" width="14.42578125" bestFit="1" customWidth="1"/>
    <col min="5" max="5" width="20.28515625" bestFit="1" customWidth="1"/>
  </cols>
  <sheetData>
    <row r="1" spans="1:7" x14ac:dyDescent="0.25">
      <c r="A1" s="11" t="s">
        <v>0</v>
      </c>
      <c r="B1" s="11" t="s">
        <v>1</v>
      </c>
      <c r="C1" s="11" t="s">
        <v>152</v>
      </c>
      <c r="D1" s="11" t="s">
        <v>153</v>
      </c>
      <c r="E1" s="64" t="s">
        <v>399</v>
      </c>
    </row>
    <row r="2" spans="1:7" x14ac:dyDescent="0.25">
      <c r="A2" s="49">
        <v>1010105134</v>
      </c>
      <c r="B2" s="49" t="s">
        <v>53</v>
      </c>
      <c r="C2" s="49" t="s">
        <v>140</v>
      </c>
      <c r="D2" s="49" t="s">
        <v>141</v>
      </c>
      <c r="E2" s="79"/>
    </row>
    <row r="3" spans="1:7" x14ac:dyDescent="0.25">
      <c r="A3" s="51">
        <v>1010920019</v>
      </c>
      <c r="B3" s="51" t="s">
        <v>76</v>
      </c>
      <c r="C3" s="51" t="s">
        <v>140</v>
      </c>
      <c r="D3" s="51" t="s">
        <v>141</v>
      </c>
      <c r="E3" s="80"/>
    </row>
    <row r="4" spans="1:7" x14ac:dyDescent="0.25">
      <c r="A4" s="51">
        <v>1010601015</v>
      </c>
      <c r="B4" s="51" t="s">
        <v>75</v>
      </c>
      <c r="C4" s="51" t="s">
        <v>140</v>
      </c>
      <c r="D4" s="51" t="s">
        <v>141</v>
      </c>
      <c r="E4" s="80"/>
    </row>
    <row r="5" spans="1:7" x14ac:dyDescent="0.25">
      <c r="A5" s="51">
        <v>1010410048</v>
      </c>
      <c r="B5" s="51" t="s">
        <v>72</v>
      </c>
      <c r="C5" s="51" t="s">
        <v>140</v>
      </c>
      <c r="D5" s="51" t="s">
        <v>141</v>
      </c>
      <c r="E5" s="80"/>
    </row>
    <row r="6" spans="1:7" x14ac:dyDescent="0.25">
      <c r="A6" s="51">
        <v>1011730003</v>
      </c>
      <c r="B6" s="51" t="s">
        <v>77</v>
      </c>
      <c r="C6" s="51" t="s">
        <v>140</v>
      </c>
      <c r="D6" s="51" t="s">
        <v>141</v>
      </c>
      <c r="E6" s="80"/>
    </row>
    <row r="7" spans="1:7" x14ac:dyDescent="0.25">
      <c r="A7" s="51">
        <v>1300003024</v>
      </c>
      <c r="B7" s="51" t="s">
        <v>84</v>
      </c>
      <c r="C7" s="51" t="s">
        <v>140</v>
      </c>
      <c r="D7" s="51" t="s">
        <v>141</v>
      </c>
      <c r="E7" s="80"/>
    </row>
    <row r="8" spans="1:7" x14ac:dyDescent="0.25">
      <c r="A8" s="51">
        <v>1210516003</v>
      </c>
      <c r="B8" s="51" t="s">
        <v>83</v>
      </c>
      <c r="C8" s="51" t="s">
        <v>140</v>
      </c>
      <c r="D8" s="51" t="s">
        <v>141</v>
      </c>
      <c r="E8" s="80"/>
    </row>
    <row r="9" spans="1:7" x14ac:dyDescent="0.25">
      <c r="A9" s="51">
        <v>1200505027</v>
      </c>
      <c r="B9" s="51" t="s">
        <v>82</v>
      </c>
      <c r="C9" s="51" t="s">
        <v>140</v>
      </c>
      <c r="D9" s="51" t="s">
        <v>141</v>
      </c>
      <c r="E9" s="80"/>
    </row>
    <row r="10" spans="1:7" x14ac:dyDescent="0.25">
      <c r="A10" s="51">
        <v>1300006450</v>
      </c>
      <c r="B10" s="51" t="s">
        <v>142</v>
      </c>
      <c r="C10" s="51" t="s">
        <v>140</v>
      </c>
      <c r="D10" s="51" t="s">
        <v>141</v>
      </c>
      <c r="E10" s="80"/>
    </row>
    <row r="11" spans="1:7" x14ac:dyDescent="0.25">
      <c r="A11" s="51">
        <v>1120501001</v>
      </c>
      <c r="B11" s="51" t="s">
        <v>81</v>
      </c>
      <c r="C11" s="51" t="s">
        <v>140</v>
      </c>
      <c r="D11" s="51" t="s">
        <v>141</v>
      </c>
      <c r="E11" s="80"/>
    </row>
    <row r="12" spans="1:7" x14ac:dyDescent="0.25">
      <c r="A12" s="51">
        <v>1300006451</v>
      </c>
      <c r="B12" s="51" t="s">
        <v>143</v>
      </c>
      <c r="C12" s="51" t="s">
        <v>140</v>
      </c>
      <c r="D12" s="51" t="s">
        <v>141</v>
      </c>
      <c r="E12" s="80"/>
    </row>
    <row r="13" spans="1:7" x14ac:dyDescent="0.25">
      <c r="A13" s="51">
        <v>1300006430</v>
      </c>
      <c r="B13" s="51" t="s">
        <v>144</v>
      </c>
      <c r="C13" s="51" t="s">
        <v>140</v>
      </c>
      <c r="D13" s="51" t="s">
        <v>141</v>
      </c>
      <c r="E13" s="80"/>
    </row>
    <row r="14" spans="1:7" x14ac:dyDescent="0.25">
      <c r="A14" s="51">
        <v>1300006447</v>
      </c>
      <c r="B14" s="51" t="s">
        <v>86</v>
      </c>
      <c r="C14" s="51" t="s">
        <v>140</v>
      </c>
      <c r="D14" s="51" t="s">
        <v>141</v>
      </c>
      <c r="E14" s="80"/>
    </row>
    <row r="15" spans="1:7" x14ac:dyDescent="0.25">
      <c r="A15" s="51">
        <v>1300006452</v>
      </c>
      <c r="B15" s="51" t="s">
        <v>343</v>
      </c>
      <c r="C15" s="51" t="s">
        <v>140</v>
      </c>
      <c r="D15" s="51" t="s">
        <v>141</v>
      </c>
      <c r="E15" s="80"/>
    </row>
    <row r="16" spans="1:7" x14ac:dyDescent="0.25">
      <c r="A16" s="149">
        <v>1300006459</v>
      </c>
      <c r="B16" s="149" t="s">
        <v>500</v>
      </c>
      <c r="C16" s="149" t="s">
        <v>140</v>
      </c>
      <c r="D16" s="149" t="s">
        <v>141</v>
      </c>
      <c r="E16" s="80"/>
      <c r="G16" s="155" t="s">
        <v>519</v>
      </c>
    </row>
    <row r="17" spans="1:7" x14ac:dyDescent="0.25">
      <c r="A17" s="149">
        <v>1300006460</v>
      </c>
      <c r="B17" s="149" t="s">
        <v>516</v>
      </c>
      <c r="C17" s="149" t="s">
        <v>140</v>
      </c>
      <c r="D17" s="149" t="s">
        <v>141</v>
      </c>
      <c r="E17" s="80"/>
      <c r="G17" s="155" t="s">
        <v>519</v>
      </c>
    </row>
    <row r="18" spans="1:7" x14ac:dyDescent="0.25">
      <c r="A18" s="149">
        <v>1300006461</v>
      </c>
      <c r="B18" s="149" t="s">
        <v>517</v>
      </c>
      <c r="C18" s="149" t="s">
        <v>140</v>
      </c>
      <c r="D18" s="149" t="s">
        <v>141</v>
      </c>
      <c r="E18" s="80"/>
      <c r="G18" s="155" t="s">
        <v>519</v>
      </c>
    </row>
    <row r="19" spans="1:7" x14ac:dyDescent="0.25">
      <c r="A19" s="51">
        <v>2010301012</v>
      </c>
      <c r="B19" s="51" t="s">
        <v>89</v>
      </c>
      <c r="C19" s="51" t="s">
        <v>145</v>
      </c>
      <c r="D19" s="51" t="s">
        <v>141</v>
      </c>
      <c r="E19" s="80"/>
    </row>
    <row r="20" spans="1:7" x14ac:dyDescent="0.25">
      <c r="A20" s="51">
        <v>2300004647</v>
      </c>
      <c r="B20" s="51" t="s">
        <v>344</v>
      </c>
      <c r="C20" s="51" t="s">
        <v>145</v>
      </c>
      <c r="D20" s="51" t="s">
        <v>141</v>
      </c>
      <c r="E20" s="80"/>
    </row>
    <row r="21" spans="1:7" x14ac:dyDescent="0.25">
      <c r="A21" s="51">
        <v>2010625010</v>
      </c>
      <c r="B21" s="51" t="s">
        <v>90</v>
      </c>
      <c r="C21" s="51" t="s">
        <v>145</v>
      </c>
      <c r="D21" s="51" t="s">
        <v>141</v>
      </c>
      <c r="E21" s="80"/>
    </row>
    <row r="22" spans="1:7" x14ac:dyDescent="0.25">
      <c r="A22" s="51">
        <v>2010905029</v>
      </c>
      <c r="B22" s="51" t="s">
        <v>91</v>
      </c>
      <c r="C22" s="51" t="s">
        <v>145</v>
      </c>
      <c r="D22" s="51" t="s">
        <v>141</v>
      </c>
      <c r="E22" s="80"/>
    </row>
    <row r="23" spans="1:7" x14ac:dyDescent="0.25">
      <c r="A23" s="51">
        <v>2013910053</v>
      </c>
      <c r="B23" s="51" t="s">
        <v>93</v>
      </c>
      <c r="C23" s="51" t="s">
        <v>145</v>
      </c>
      <c r="D23" s="51" t="s">
        <v>141</v>
      </c>
      <c r="E23" s="80"/>
    </row>
    <row r="24" spans="1:7" x14ac:dyDescent="0.25">
      <c r="A24" s="51">
        <v>2013915007</v>
      </c>
      <c r="B24" s="51" t="s">
        <v>146</v>
      </c>
      <c r="C24" s="51" t="s">
        <v>145</v>
      </c>
      <c r="D24" s="51" t="s">
        <v>141</v>
      </c>
      <c r="E24" s="80"/>
    </row>
    <row r="25" spans="1:7" x14ac:dyDescent="0.25">
      <c r="A25" s="51">
        <v>2300001202</v>
      </c>
      <c r="B25" s="51" t="s">
        <v>147</v>
      </c>
      <c r="C25" s="51" t="s">
        <v>145</v>
      </c>
      <c r="D25" s="51" t="s">
        <v>141</v>
      </c>
      <c r="E25" s="80"/>
    </row>
    <row r="26" spans="1:7" x14ac:dyDescent="0.25">
      <c r="A26" s="51">
        <v>2300004631</v>
      </c>
      <c r="B26" s="51" t="s">
        <v>148</v>
      </c>
      <c r="C26" s="51" t="s">
        <v>145</v>
      </c>
      <c r="D26" s="51" t="s">
        <v>141</v>
      </c>
      <c r="E26" s="80"/>
    </row>
    <row r="27" spans="1:7" x14ac:dyDescent="0.25">
      <c r="A27" s="51">
        <v>2300002301</v>
      </c>
      <c r="B27" s="51" t="s">
        <v>345</v>
      </c>
      <c r="C27" s="51" t="s">
        <v>145</v>
      </c>
      <c r="D27" s="51" t="s">
        <v>141</v>
      </c>
      <c r="E27" s="80"/>
    </row>
    <row r="28" spans="1:7" x14ac:dyDescent="0.25">
      <c r="A28" s="51">
        <v>2300002312</v>
      </c>
      <c r="B28" s="51" t="s">
        <v>107</v>
      </c>
      <c r="C28" s="51" t="s">
        <v>145</v>
      </c>
      <c r="D28" s="51" t="s">
        <v>141</v>
      </c>
      <c r="E28" s="80"/>
    </row>
    <row r="29" spans="1:7" x14ac:dyDescent="0.25">
      <c r="A29" s="51">
        <v>2011510034</v>
      </c>
      <c r="B29" s="51" t="s">
        <v>149</v>
      </c>
      <c r="C29" s="51" t="s">
        <v>145</v>
      </c>
      <c r="D29" s="51" t="s">
        <v>141</v>
      </c>
      <c r="E29" s="80"/>
    </row>
    <row r="30" spans="1:7" x14ac:dyDescent="0.25">
      <c r="A30" s="51">
        <v>2300001198</v>
      </c>
      <c r="B30" s="51" t="s">
        <v>103</v>
      </c>
      <c r="C30" s="51" t="s">
        <v>145</v>
      </c>
      <c r="D30" s="51" t="s">
        <v>141</v>
      </c>
      <c r="E30" s="80"/>
    </row>
    <row r="31" spans="1:7" x14ac:dyDescent="0.25">
      <c r="A31" s="51">
        <v>2091006005</v>
      </c>
      <c r="B31" s="51" t="s">
        <v>102</v>
      </c>
      <c r="C31" s="51" t="s">
        <v>145</v>
      </c>
      <c r="D31" s="51" t="s">
        <v>141</v>
      </c>
      <c r="E31" s="80"/>
    </row>
    <row r="32" spans="1:7" x14ac:dyDescent="0.25">
      <c r="A32" s="51">
        <v>2300002296</v>
      </c>
      <c r="B32" s="51" t="s">
        <v>150</v>
      </c>
      <c r="C32" s="51" t="s">
        <v>145</v>
      </c>
      <c r="D32" s="51" t="s">
        <v>141</v>
      </c>
      <c r="E32" s="80"/>
    </row>
    <row r="33" spans="1:7" x14ac:dyDescent="0.25">
      <c r="A33" s="51">
        <v>2300002284</v>
      </c>
      <c r="B33" s="51" t="s">
        <v>106</v>
      </c>
      <c r="C33" s="51" t="s">
        <v>145</v>
      </c>
      <c r="D33" s="51" t="s">
        <v>141</v>
      </c>
      <c r="E33" s="80"/>
    </row>
    <row r="34" spans="1:7" x14ac:dyDescent="0.25">
      <c r="A34" s="51">
        <v>2011210001</v>
      </c>
      <c r="B34" s="51" t="s">
        <v>92</v>
      </c>
      <c r="C34" s="51" t="s">
        <v>145</v>
      </c>
      <c r="D34" s="51" t="s">
        <v>141</v>
      </c>
      <c r="E34" s="80"/>
    </row>
    <row r="35" spans="1:7" x14ac:dyDescent="0.25">
      <c r="A35" s="41">
        <v>2300004648</v>
      </c>
      <c r="B35" s="41" t="s">
        <v>415</v>
      </c>
      <c r="C35" s="41" t="s">
        <v>145</v>
      </c>
      <c r="D35" s="41" t="s">
        <v>141</v>
      </c>
      <c r="E35" s="99"/>
    </row>
    <row r="36" spans="1:7" x14ac:dyDescent="0.25">
      <c r="A36" s="149">
        <v>2300004649</v>
      </c>
      <c r="B36" s="149" t="s">
        <v>518</v>
      </c>
      <c r="C36" s="149" t="s">
        <v>145</v>
      </c>
      <c r="D36" s="149" t="s">
        <v>141</v>
      </c>
      <c r="E36" s="80"/>
      <c r="G36" s="155" t="s">
        <v>519</v>
      </c>
    </row>
    <row r="37" spans="1:7" x14ac:dyDescent="0.25">
      <c r="A37" s="51">
        <v>3300002022</v>
      </c>
      <c r="B37" s="51" t="s">
        <v>116</v>
      </c>
      <c r="C37" s="51" t="s">
        <v>145</v>
      </c>
      <c r="D37" s="51" t="s">
        <v>141</v>
      </c>
      <c r="E37" s="80"/>
    </row>
    <row r="38" spans="1:7" x14ac:dyDescent="0.25">
      <c r="A38" s="51">
        <v>3300000887</v>
      </c>
      <c r="B38" s="51" t="s">
        <v>113</v>
      </c>
      <c r="C38" s="51" t="s">
        <v>151</v>
      </c>
      <c r="D38" s="51" t="s">
        <v>141</v>
      </c>
      <c r="E38" s="80"/>
    </row>
    <row r="39" spans="1:7" x14ac:dyDescent="0.25">
      <c r="A39" s="51">
        <v>3300002021</v>
      </c>
      <c r="B39" s="51" t="s">
        <v>115</v>
      </c>
      <c r="C39" s="51" t="s">
        <v>151</v>
      </c>
      <c r="D39" s="51" t="s">
        <v>141</v>
      </c>
      <c r="E39" s="80"/>
    </row>
    <row r="40" spans="1:7" x14ac:dyDescent="0.25">
      <c r="A40" s="51">
        <v>3300002018</v>
      </c>
      <c r="B40" s="51" t="s">
        <v>114</v>
      </c>
      <c r="C40" s="51" t="s">
        <v>151</v>
      </c>
      <c r="D40" s="51" t="s">
        <v>141</v>
      </c>
      <c r="E40" s="80"/>
    </row>
    <row r="41" spans="1:7" x14ac:dyDescent="0.25">
      <c r="A41" s="51">
        <v>3300000846</v>
      </c>
      <c r="B41" s="51" t="s">
        <v>112</v>
      </c>
      <c r="C41" s="51" t="s">
        <v>151</v>
      </c>
      <c r="D41" s="51" t="s">
        <v>141</v>
      </c>
      <c r="E41" s="80"/>
    </row>
    <row r="42" spans="1:7" x14ac:dyDescent="0.25">
      <c r="A42" s="51">
        <v>3050101021</v>
      </c>
      <c r="B42" s="51" t="s">
        <v>108</v>
      </c>
      <c r="C42" s="51" t="s">
        <v>151</v>
      </c>
      <c r="D42" s="51" t="s">
        <v>141</v>
      </c>
      <c r="E42" s="80"/>
    </row>
    <row r="43" spans="1:7" x14ac:dyDescent="0.25">
      <c r="A43" s="51">
        <v>3300002027</v>
      </c>
      <c r="B43" s="51" t="s">
        <v>117</v>
      </c>
      <c r="C43" s="51" t="s">
        <v>151</v>
      </c>
      <c r="D43" s="51" t="s">
        <v>141</v>
      </c>
      <c r="E43" s="80"/>
    </row>
    <row r="44" spans="1:7" x14ac:dyDescent="0.25">
      <c r="A44" s="51">
        <v>3300002028</v>
      </c>
      <c r="B44" s="51" t="s">
        <v>118</v>
      </c>
      <c r="C44" s="51" t="s">
        <v>151</v>
      </c>
      <c r="D44" s="51" t="s">
        <v>141</v>
      </c>
      <c r="E44" s="80"/>
    </row>
    <row r="45" spans="1:7" x14ac:dyDescent="0.25">
      <c r="A45" s="51">
        <v>3300002029</v>
      </c>
      <c r="B45" s="51" t="s">
        <v>119</v>
      </c>
      <c r="C45" s="51" t="s">
        <v>151</v>
      </c>
      <c r="D45" s="51" t="s">
        <v>141</v>
      </c>
      <c r="E45" s="80"/>
    </row>
    <row r="46" spans="1:7" x14ac:dyDescent="0.25">
      <c r="A46" s="160">
        <v>3300002030</v>
      </c>
      <c r="B46" s="160" t="s">
        <v>760</v>
      </c>
      <c r="C46" s="160" t="s">
        <v>151</v>
      </c>
      <c r="D46" s="160" t="s">
        <v>141</v>
      </c>
      <c r="E46" s="81"/>
      <c r="G46" s="155" t="s">
        <v>519</v>
      </c>
    </row>
  </sheetData>
  <autoFilter ref="A1:E46" xr:uid="{466DAB23-E907-4A55-8B82-46E96E5397AC}"/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702FAD83-280B-45B7-A492-79CF24D12880}">
            <xm:f>'Discount Scheme Target'!$G$4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66519078-2C79-461A-BC22-7C2D770A1B0C}">
            <xm:f>'Discount Scheme Target'!$G$4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E46 E2:E44</xm:sqref>
        </x14:conditionalFormatting>
        <x14:conditionalFormatting xmlns:xm="http://schemas.microsoft.com/office/excel/2006/main">
          <x14:cfRule type="cellIs" priority="1" operator="lessThan" id="{E8764C0A-83FB-4443-8E9A-9CA20100B2DF}">
            <xm:f>'Discount Scheme Target'!$G$4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greaterThan" id="{0055098E-3C5A-43AE-A084-F28CDD5B4420}">
            <xm:f>'Discount Scheme Target'!$G$4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T52"/>
  <sheetViews>
    <sheetView workbookViewId="0">
      <pane xSplit="4" ySplit="1" topLeftCell="E23" activePane="bottomRight" state="frozen"/>
      <selection activeCell="O33" sqref="O33"/>
      <selection pane="topRight" activeCell="O33" sqref="O33"/>
      <selection pane="bottomLeft" activeCell="O33" sqref="O33"/>
      <selection pane="bottomRight" activeCell="O49" sqref="O49"/>
    </sheetView>
  </sheetViews>
  <sheetFormatPr defaultColWidth="9.140625" defaultRowHeight="15" x14ac:dyDescent="0.25"/>
  <cols>
    <col min="1" max="1" width="11" bestFit="1" customWidth="1"/>
    <col min="2" max="2" width="38" bestFit="1" customWidth="1"/>
    <col min="3" max="3" width="7.140625" bestFit="1" customWidth="1"/>
    <col min="4" max="4" width="14.42578125" bestFit="1" customWidth="1"/>
    <col min="5" max="5" width="12.140625" bestFit="1" customWidth="1"/>
    <col min="6" max="6" width="12.140625" customWidth="1"/>
    <col min="7" max="7" width="9.5703125" bestFit="1" customWidth="1"/>
    <col min="8" max="8" width="8" customWidth="1"/>
    <col min="9" max="9" width="9.7109375" bestFit="1" customWidth="1"/>
    <col min="10" max="10" width="9.5703125" bestFit="1" customWidth="1"/>
    <col min="11" max="11" width="6.5703125" bestFit="1" customWidth="1"/>
    <col min="12" max="12" width="12.140625" bestFit="1" customWidth="1"/>
    <col min="13" max="13" width="11.5703125" bestFit="1" customWidth="1"/>
    <col min="14" max="14" width="8" bestFit="1" customWidth="1"/>
    <col min="15" max="15" width="8.7109375" customWidth="1"/>
    <col min="16" max="16" width="9.7109375" bestFit="1" customWidth="1"/>
    <col min="17" max="17" width="1.42578125" customWidth="1"/>
    <col min="18" max="18" width="11.5703125" bestFit="1" customWidth="1"/>
    <col min="19" max="19" width="8.7109375" customWidth="1"/>
    <col min="20" max="16384" width="9.140625" style="10"/>
  </cols>
  <sheetData>
    <row r="1" spans="1:20" x14ac:dyDescent="0.25">
      <c r="A1" s="11" t="s">
        <v>0</v>
      </c>
      <c r="B1" s="11" t="s">
        <v>1</v>
      </c>
      <c r="C1" s="11" t="s">
        <v>152</v>
      </c>
      <c r="D1" s="11" t="s">
        <v>153</v>
      </c>
      <c r="E1" s="64" t="s">
        <v>417</v>
      </c>
      <c r="F1" s="64" t="s">
        <v>418</v>
      </c>
      <c r="G1" s="64" t="s">
        <v>130</v>
      </c>
      <c r="H1" s="64" t="s">
        <v>131</v>
      </c>
      <c r="I1" s="64" t="s">
        <v>514</v>
      </c>
      <c r="J1" s="64" t="s">
        <v>515</v>
      </c>
      <c r="K1" s="64" t="s">
        <v>161</v>
      </c>
      <c r="L1" s="64" t="s">
        <v>354</v>
      </c>
      <c r="M1" s="64" t="s">
        <v>355</v>
      </c>
      <c r="N1" s="64" t="s">
        <v>132</v>
      </c>
      <c r="O1" s="64" t="s">
        <v>133</v>
      </c>
      <c r="P1" s="64" t="s">
        <v>339</v>
      </c>
      <c r="S1" s="97" t="s">
        <v>413</v>
      </c>
    </row>
    <row r="2" spans="1:20" x14ac:dyDescent="0.25">
      <c r="A2" s="49">
        <v>1010105134</v>
      </c>
      <c r="B2" s="49" t="s">
        <v>53</v>
      </c>
      <c r="C2" s="49" t="s">
        <v>140</v>
      </c>
      <c r="D2" s="49" t="s">
        <v>141</v>
      </c>
      <c r="E2" s="52">
        <v>23108.431601106673</v>
      </c>
      <c r="F2" s="100">
        <v>0</v>
      </c>
      <c r="G2" s="50">
        <v>427.75448230197213</v>
      </c>
      <c r="H2" s="50">
        <v>219.73666570322325</v>
      </c>
      <c r="I2" s="50">
        <v>7458.0752063379687</v>
      </c>
      <c r="J2" s="50">
        <v>782.7075262093947</v>
      </c>
      <c r="K2" s="50">
        <v>0</v>
      </c>
      <c r="L2" s="50">
        <v>2812.823256295901</v>
      </c>
      <c r="M2" s="50">
        <v>1660.1477385533601</v>
      </c>
      <c r="N2" s="50">
        <v>730.05264587355236</v>
      </c>
      <c r="O2" s="50">
        <v>607.08465500297905</v>
      </c>
      <c r="P2" s="93">
        <f t="shared" ref="P2:P45" si="0">SUM(E2:O2)</f>
        <v>37806.813777385025</v>
      </c>
      <c r="R2" s="9">
        <v>37806.813777385025</v>
      </c>
      <c r="S2" s="98">
        <f>P2-R2</f>
        <v>0</v>
      </c>
    </row>
    <row r="3" spans="1:20" x14ac:dyDescent="0.25">
      <c r="A3" s="51">
        <v>1010920019</v>
      </c>
      <c r="B3" s="51" t="s">
        <v>76</v>
      </c>
      <c r="C3" s="51" t="s">
        <v>140</v>
      </c>
      <c r="D3" s="51" t="s">
        <v>141</v>
      </c>
      <c r="E3" s="52">
        <v>30474.454429877114</v>
      </c>
      <c r="F3" s="52">
        <v>0</v>
      </c>
      <c r="G3" s="52">
        <v>704.53343998773869</v>
      </c>
      <c r="H3" s="52">
        <v>557.00872351601322</v>
      </c>
      <c r="I3" s="52">
        <v>10729.375116133886</v>
      </c>
      <c r="J3" s="52">
        <v>1294.1671539977547</v>
      </c>
      <c r="K3" s="52">
        <v>0</v>
      </c>
      <c r="L3" s="52">
        <v>4217.6246553577885</v>
      </c>
      <c r="M3" s="52">
        <v>2571.2438477459204</v>
      </c>
      <c r="N3" s="52">
        <v>989.99703502260002</v>
      </c>
      <c r="O3" s="52">
        <v>644.46521553544494</v>
      </c>
      <c r="P3" s="94">
        <f t="shared" si="0"/>
        <v>52182.869617174256</v>
      </c>
      <c r="R3" s="9">
        <v>52182.869617174256</v>
      </c>
      <c r="S3" s="98">
        <f t="shared" ref="S3:S46" si="1">P3-R3</f>
        <v>0</v>
      </c>
    </row>
    <row r="4" spans="1:20" x14ac:dyDescent="0.25">
      <c r="A4" s="51">
        <v>1010601015</v>
      </c>
      <c r="B4" s="51" t="s">
        <v>75</v>
      </c>
      <c r="C4" s="51" t="s">
        <v>140</v>
      </c>
      <c r="D4" s="51" t="s">
        <v>141</v>
      </c>
      <c r="E4" s="52">
        <v>25434.796087529292</v>
      </c>
      <c r="F4" s="52">
        <v>0</v>
      </c>
      <c r="G4" s="52">
        <v>645.75987997058587</v>
      </c>
      <c r="H4" s="52">
        <v>1163.6390264124177</v>
      </c>
      <c r="I4" s="52">
        <v>7591.0435584498509</v>
      </c>
      <c r="J4" s="52">
        <v>936.86403305447652</v>
      </c>
      <c r="K4" s="52">
        <v>0</v>
      </c>
      <c r="L4" s="52">
        <v>3201.0490650274032</v>
      </c>
      <c r="M4" s="52">
        <v>1861.3560649600083</v>
      </c>
      <c r="N4" s="52">
        <v>1453.2223633788308</v>
      </c>
      <c r="O4" s="52">
        <v>496.25996688662349</v>
      </c>
      <c r="P4" s="94">
        <f t="shared" si="0"/>
        <v>42783.990045669481</v>
      </c>
      <c r="R4" s="9">
        <v>42783.990045669481</v>
      </c>
      <c r="S4" s="98">
        <f t="shared" si="1"/>
        <v>0</v>
      </c>
    </row>
    <row r="5" spans="1:20" x14ac:dyDescent="0.25">
      <c r="A5" s="51">
        <v>1010410048</v>
      </c>
      <c r="B5" s="51" t="s">
        <v>72</v>
      </c>
      <c r="C5" s="51" t="s">
        <v>140</v>
      </c>
      <c r="D5" s="51" t="s">
        <v>141</v>
      </c>
      <c r="E5" s="52">
        <v>17085.368153231473</v>
      </c>
      <c r="F5" s="52">
        <v>0</v>
      </c>
      <c r="G5" s="52">
        <v>433.77761905052353</v>
      </c>
      <c r="H5" s="52">
        <v>172.5064330292131</v>
      </c>
      <c r="I5" s="52">
        <v>5243.239032312792</v>
      </c>
      <c r="J5" s="52">
        <v>533.21096122598885</v>
      </c>
      <c r="K5" s="52">
        <v>0</v>
      </c>
      <c r="L5" s="52">
        <v>1996.2183625605155</v>
      </c>
      <c r="M5" s="52">
        <v>1059.3804667100917</v>
      </c>
      <c r="N5" s="52">
        <v>641.66474492205555</v>
      </c>
      <c r="O5" s="52">
        <v>366.0804967521546</v>
      </c>
      <c r="P5" s="94">
        <f t="shared" si="0"/>
        <v>27531.446269794804</v>
      </c>
      <c r="R5" s="9">
        <v>27531.446269794804</v>
      </c>
      <c r="S5" s="98">
        <f t="shared" si="1"/>
        <v>0</v>
      </c>
    </row>
    <row r="6" spans="1:20" x14ac:dyDescent="0.25">
      <c r="A6" s="51">
        <v>1011730003</v>
      </c>
      <c r="B6" s="51" t="s">
        <v>77</v>
      </c>
      <c r="C6" s="51" t="s">
        <v>140</v>
      </c>
      <c r="D6" s="51" t="s">
        <v>141</v>
      </c>
      <c r="E6" s="52">
        <v>14630.003059773782</v>
      </c>
      <c r="F6" s="52">
        <v>0</v>
      </c>
      <c r="G6" s="52">
        <v>371.43875607797486</v>
      </c>
      <c r="H6" s="52">
        <v>213.55465052712822</v>
      </c>
      <c r="I6" s="52">
        <v>3836.8130938157087</v>
      </c>
      <c r="J6" s="52">
        <v>424.30935512761948</v>
      </c>
      <c r="K6" s="52">
        <v>0</v>
      </c>
      <c r="L6" s="52">
        <v>1519.4120452272975</v>
      </c>
      <c r="M6" s="52">
        <v>843.01538293779265</v>
      </c>
      <c r="N6" s="52">
        <v>214.60720040250263</v>
      </c>
      <c r="O6" s="52">
        <v>197.7577429140571</v>
      </c>
      <c r="P6" s="94">
        <f t="shared" si="0"/>
        <v>22250.911286803861</v>
      </c>
      <c r="R6" s="9">
        <v>22250.911286803861</v>
      </c>
      <c r="S6" s="98">
        <f t="shared" si="1"/>
        <v>0</v>
      </c>
    </row>
    <row r="7" spans="1:20" x14ac:dyDescent="0.25">
      <c r="A7" s="51">
        <v>1300003024</v>
      </c>
      <c r="B7" s="51" t="s">
        <v>84</v>
      </c>
      <c r="C7" s="51" t="s">
        <v>140</v>
      </c>
      <c r="D7" s="51" t="s">
        <v>141</v>
      </c>
      <c r="E7" s="52">
        <v>17080.355339386049</v>
      </c>
      <c r="F7" s="52">
        <v>0</v>
      </c>
      <c r="G7" s="52">
        <v>607.11006122597746</v>
      </c>
      <c r="H7" s="52">
        <v>176.22784259461449</v>
      </c>
      <c r="I7" s="52">
        <v>8303.8619521677665</v>
      </c>
      <c r="J7" s="52">
        <v>1139.9811850226615</v>
      </c>
      <c r="K7" s="52">
        <v>0</v>
      </c>
      <c r="L7" s="52">
        <v>2175.7556348991989</v>
      </c>
      <c r="M7" s="52">
        <v>1706.8972907331952</v>
      </c>
      <c r="N7" s="52">
        <v>584.25982531991269</v>
      </c>
      <c r="O7" s="52">
        <v>971.62514891418027</v>
      </c>
      <c r="P7" s="94">
        <f t="shared" si="0"/>
        <v>32746.074280263558</v>
      </c>
      <c r="R7" s="9">
        <v>32746.074280263558</v>
      </c>
      <c r="S7" s="98">
        <f t="shared" si="1"/>
        <v>0</v>
      </c>
    </row>
    <row r="8" spans="1:20" x14ac:dyDescent="0.25">
      <c r="A8" s="51">
        <v>1210516003</v>
      </c>
      <c r="B8" s="51" t="s">
        <v>83</v>
      </c>
      <c r="C8" s="51" t="s">
        <v>140</v>
      </c>
      <c r="D8" s="51" t="s">
        <v>141</v>
      </c>
      <c r="E8" s="52">
        <v>14069.68230419019</v>
      </c>
      <c r="F8" s="52">
        <v>0</v>
      </c>
      <c r="G8" s="52">
        <v>310.84567223184524</v>
      </c>
      <c r="H8" s="52">
        <v>36.371838289291915</v>
      </c>
      <c r="I8" s="52">
        <v>5355.0302242034504</v>
      </c>
      <c r="J8" s="52">
        <v>458.87926892653076</v>
      </c>
      <c r="K8" s="52">
        <v>0</v>
      </c>
      <c r="L8" s="52">
        <v>1643.2036675278171</v>
      </c>
      <c r="M8" s="52">
        <v>911.69868856641938</v>
      </c>
      <c r="N8" s="52">
        <v>586.12569557165898</v>
      </c>
      <c r="O8" s="52">
        <v>271.24050436121593</v>
      </c>
      <c r="P8" s="94">
        <f t="shared" si="0"/>
        <v>23643.077863868421</v>
      </c>
      <c r="R8" s="9">
        <v>23643.077863868421</v>
      </c>
      <c r="S8" s="98">
        <f t="shared" si="1"/>
        <v>0</v>
      </c>
    </row>
    <row r="9" spans="1:20" x14ac:dyDescent="0.25">
      <c r="A9" s="51">
        <v>1200505027</v>
      </c>
      <c r="B9" s="51" t="s">
        <v>82</v>
      </c>
      <c r="C9" s="51" t="s">
        <v>140</v>
      </c>
      <c r="D9" s="51" t="s">
        <v>141</v>
      </c>
      <c r="E9" s="52">
        <v>7057.8949123702787</v>
      </c>
      <c r="F9" s="52">
        <v>0</v>
      </c>
      <c r="G9" s="52">
        <v>179.19174015678024</v>
      </c>
      <c r="H9" s="52">
        <v>54.557757433937873</v>
      </c>
      <c r="I9" s="52">
        <v>5951.8274809070335</v>
      </c>
      <c r="J9" s="52">
        <v>684.2820986695524</v>
      </c>
      <c r="K9" s="52">
        <v>0</v>
      </c>
      <c r="L9" s="52">
        <v>3109.130322211724</v>
      </c>
      <c r="M9" s="52">
        <v>1359.5277324816159</v>
      </c>
      <c r="N9" s="52">
        <v>53.382193064944111</v>
      </c>
      <c r="O9" s="52">
        <v>334.78234459049116</v>
      </c>
      <c r="P9" s="94">
        <f t="shared" si="0"/>
        <v>18784.576581886355</v>
      </c>
      <c r="R9" s="9">
        <v>18784.576581886355</v>
      </c>
      <c r="S9" s="98">
        <f t="shared" si="1"/>
        <v>0</v>
      </c>
    </row>
    <row r="10" spans="1:20" x14ac:dyDescent="0.25">
      <c r="A10" s="51">
        <v>1300006450</v>
      </c>
      <c r="B10" s="51" t="s">
        <v>142</v>
      </c>
      <c r="C10" s="51" t="s">
        <v>140</v>
      </c>
      <c r="D10" s="51" t="s">
        <v>141</v>
      </c>
      <c r="E10" s="52">
        <v>6539.3264079978881</v>
      </c>
      <c r="F10" s="52">
        <v>0</v>
      </c>
      <c r="G10" s="52">
        <v>156.6836765961142</v>
      </c>
      <c r="H10" s="52">
        <v>55.077355123784898</v>
      </c>
      <c r="I10" s="52">
        <v>3173.1798513896588</v>
      </c>
      <c r="J10" s="52">
        <v>302.49847743353575</v>
      </c>
      <c r="K10" s="52">
        <v>0</v>
      </c>
      <c r="L10" s="52">
        <v>1083.2187052232032</v>
      </c>
      <c r="M10" s="52">
        <v>601.00223271068785</v>
      </c>
      <c r="N10" s="52">
        <v>163.92107769437388</v>
      </c>
      <c r="O10" s="52">
        <v>299.25096167433492</v>
      </c>
      <c r="P10" s="94">
        <f t="shared" si="0"/>
        <v>12374.158745843582</v>
      </c>
      <c r="R10" s="9">
        <v>12374.158745843582</v>
      </c>
      <c r="S10" s="98">
        <f t="shared" si="1"/>
        <v>0</v>
      </c>
    </row>
    <row r="11" spans="1:20" x14ac:dyDescent="0.25">
      <c r="A11" s="51">
        <v>1120501001</v>
      </c>
      <c r="B11" s="51" t="s">
        <v>81</v>
      </c>
      <c r="C11" s="51" t="s">
        <v>140</v>
      </c>
      <c r="D11" s="51" t="s">
        <v>141</v>
      </c>
      <c r="E11" s="52">
        <v>9608.8583230343756</v>
      </c>
      <c r="F11" s="52">
        <v>0</v>
      </c>
      <c r="G11" s="52">
        <v>243.9577331771639</v>
      </c>
      <c r="H11" s="52">
        <v>58.714538952714094</v>
      </c>
      <c r="I11" s="52">
        <v>3981.0835356145162</v>
      </c>
      <c r="J11" s="52">
        <v>460.7445293872791</v>
      </c>
      <c r="K11" s="52">
        <v>0</v>
      </c>
      <c r="L11" s="52">
        <v>1649.8829904729707</v>
      </c>
      <c r="M11" s="52">
        <v>915.40457730677838</v>
      </c>
      <c r="N11" s="52">
        <v>522.76804218649818</v>
      </c>
      <c r="O11" s="52">
        <v>613.74658374764965</v>
      </c>
      <c r="P11" s="94">
        <f t="shared" si="0"/>
        <v>18055.160853879941</v>
      </c>
      <c r="R11" s="9">
        <v>18055.160853879941</v>
      </c>
      <c r="S11" s="98">
        <f t="shared" si="1"/>
        <v>0</v>
      </c>
    </row>
    <row r="12" spans="1:20" x14ac:dyDescent="0.25">
      <c r="A12" s="51">
        <v>1300006451</v>
      </c>
      <c r="B12" s="51" t="s">
        <v>143</v>
      </c>
      <c r="C12" s="51" t="s">
        <v>140</v>
      </c>
      <c r="D12" s="51" t="s">
        <v>141</v>
      </c>
      <c r="E12" s="52">
        <v>4348.5027890200781</v>
      </c>
      <c r="F12" s="52">
        <v>0</v>
      </c>
      <c r="G12" s="52">
        <v>101.06121387381677</v>
      </c>
      <c r="H12" s="52">
        <v>26.499482182198392</v>
      </c>
      <c r="I12" s="52">
        <v>3512.3699734565216</v>
      </c>
      <c r="J12" s="52">
        <v>320.28860576043593</v>
      </c>
      <c r="K12" s="52">
        <v>0</v>
      </c>
      <c r="L12" s="52">
        <v>1311.6185480224412</v>
      </c>
      <c r="M12" s="52">
        <v>636.3475572074891</v>
      </c>
      <c r="N12" s="52">
        <v>40.441055352230386</v>
      </c>
      <c r="O12" s="52">
        <v>366.61788432614031</v>
      </c>
      <c r="P12" s="94">
        <f t="shared" si="0"/>
        <v>10663.747109201353</v>
      </c>
      <c r="R12" s="9">
        <v>10663.747109201353</v>
      </c>
      <c r="S12" s="98">
        <f t="shared" si="1"/>
        <v>0</v>
      </c>
    </row>
    <row r="13" spans="1:20" x14ac:dyDescent="0.25">
      <c r="A13" s="51">
        <v>1300006430</v>
      </c>
      <c r="B13" s="51" t="s">
        <v>144</v>
      </c>
      <c r="C13" s="51" t="s">
        <v>140</v>
      </c>
      <c r="D13" s="51" t="s">
        <v>141</v>
      </c>
      <c r="E13" s="52">
        <v>23892.101105829963</v>
      </c>
      <c r="F13" s="52">
        <v>0</v>
      </c>
      <c r="G13" s="52">
        <v>733.4209894775837</v>
      </c>
      <c r="H13" s="52">
        <v>238.49533963978558</v>
      </c>
      <c r="I13" s="52">
        <v>13119.369627751556</v>
      </c>
      <c r="J13" s="52">
        <v>1502.7007539511878</v>
      </c>
      <c r="K13" s="52">
        <v>0</v>
      </c>
      <c r="L13" s="52">
        <v>5381.0306049906731</v>
      </c>
      <c r="M13" s="52">
        <v>2985.5572030742887</v>
      </c>
      <c r="N13" s="52">
        <v>635.34920011121551</v>
      </c>
      <c r="O13" s="52">
        <v>780.96586951382972</v>
      </c>
      <c r="P13" s="94">
        <f t="shared" si="0"/>
        <v>49268.990694340093</v>
      </c>
      <c r="R13" s="9">
        <v>49268.990694340093</v>
      </c>
      <c r="S13" s="98">
        <f t="shared" si="1"/>
        <v>0</v>
      </c>
    </row>
    <row r="14" spans="1:20" x14ac:dyDescent="0.25">
      <c r="A14" s="51">
        <v>1300006447</v>
      </c>
      <c r="B14" s="51" t="s">
        <v>86</v>
      </c>
      <c r="C14" s="51" t="s">
        <v>140</v>
      </c>
      <c r="D14" s="51" t="s">
        <v>141</v>
      </c>
      <c r="E14" s="52">
        <v>12694.170681540123</v>
      </c>
      <c r="F14" s="52">
        <v>0</v>
      </c>
      <c r="G14" s="52">
        <v>322.2902242828149</v>
      </c>
      <c r="H14" s="52">
        <v>28.577872941586502</v>
      </c>
      <c r="I14" s="52">
        <v>9878.3476284936569</v>
      </c>
      <c r="J14" s="52">
        <v>910.54472766252661</v>
      </c>
      <c r="K14" s="52">
        <v>0</v>
      </c>
      <c r="L14" s="52">
        <v>3260.5753566582089</v>
      </c>
      <c r="M14" s="52">
        <v>1809.065020594564</v>
      </c>
      <c r="N14" s="52">
        <v>125.90648566327727</v>
      </c>
      <c r="O14" s="52">
        <v>442.13975024632185</v>
      </c>
      <c r="P14" s="94">
        <f t="shared" si="0"/>
        <v>29471.617748083081</v>
      </c>
      <c r="R14" s="9">
        <v>29471.617748083081</v>
      </c>
      <c r="S14" s="98">
        <f t="shared" si="1"/>
        <v>0</v>
      </c>
    </row>
    <row r="15" spans="1:20" x14ac:dyDescent="0.25">
      <c r="A15" s="51">
        <v>1300006452</v>
      </c>
      <c r="B15" s="51" t="s">
        <v>343</v>
      </c>
      <c r="C15" s="51" t="s">
        <v>140</v>
      </c>
      <c r="D15" s="51" t="s">
        <v>141</v>
      </c>
      <c r="E15" s="52">
        <v>8085.5092498135255</v>
      </c>
      <c r="F15" s="52">
        <v>0</v>
      </c>
      <c r="G15" s="52">
        <v>195.93946000823257</v>
      </c>
      <c r="H15" s="52">
        <v>48.931048865997155</v>
      </c>
      <c r="I15" s="52">
        <v>3207.0874638823757</v>
      </c>
      <c r="J15" s="52">
        <v>372.24504615041809</v>
      </c>
      <c r="K15" s="52">
        <v>0</v>
      </c>
      <c r="L15" s="52">
        <v>1332.9746329232432</v>
      </c>
      <c r="M15" s="52">
        <v>739.57431372873452</v>
      </c>
      <c r="N15" s="52">
        <v>292.79324075014802</v>
      </c>
      <c r="O15" s="52">
        <v>382.34986071398703</v>
      </c>
      <c r="P15" s="94">
        <f t="shared" si="0"/>
        <v>14657.404316836662</v>
      </c>
      <c r="R15" s="9">
        <v>14657.404316836662</v>
      </c>
      <c r="S15" s="98">
        <f t="shared" si="1"/>
        <v>0</v>
      </c>
    </row>
    <row r="16" spans="1:20" x14ac:dyDescent="0.25">
      <c r="A16" s="149">
        <v>1300006459</v>
      </c>
      <c r="B16" s="149" t="s">
        <v>500</v>
      </c>
      <c r="C16" s="149" t="s">
        <v>140</v>
      </c>
      <c r="D16" s="149" t="s">
        <v>141</v>
      </c>
      <c r="E16" s="150">
        <v>10500</v>
      </c>
      <c r="F16" s="150">
        <v>0</v>
      </c>
      <c r="G16" s="150">
        <v>205</v>
      </c>
      <c r="H16" s="150">
        <v>67.178423256115636</v>
      </c>
      <c r="I16" s="150">
        <v>7200</v>
      </c>
      <c r="J16" s="150">
        <v>920</v>
      </c>
      <c r="K16" s="150">
        <v>0</v>
      </c>
      <c r="L16" s="150">
        <v>2200</v>
      </c>
      <c r="M16" s="150">
        <v>1700</v>
      </c>
      <c r="N16" s="150">
        <v>487</v>
      </c>
      <c r="O16" s="150">
        <v>324</v>
      </c>
      <c r="P16" s="151">
        <f t="shared" ref="P16" si="2">SUM(E16:O16)</f>
        <v>23603.178423256115</v>
      </c>
      <c r="Q16" s="152"/>
      <c r="R16" s="153">
        <v>23603.178423256115</v>
      </c>
      <c r="S16" s="154">
        <f t="shared" ref="S16" si="3">P16-R16</f>
        <v>0</v>
      </c>
      <c r="T16" s="155" t="s">
        <v>519</v>
      </c>
    </row>
    <row r="17" spans="1:20" x14ac:dyDescent="0.25">
      <c r="A17" s="149">
        <v>1300006460</v>
      </c>
      <c r="B17" s="149" t="s">
        <v>516</v>
      </c>
      <c r="C17" s="149" t="s">
        <v>140</v>
      </c>
      <c r="D17" s="149" t="s">
        <v>141</v>
      </c>
      <c r="E17" s="150">
        <v>12700</v>
      </c>
      <c r="F17" s="150">
        <v>0</v>
      </c>
      <c r="G17" s="150">
        <v>331.12676339548199</v>
      </c>
      <c r="H17" s="150">
        <v>59.714154005436122</v>
      </c>
      <c r="I17" s="150">
        <v>6700</v>
      </c>
      <c r="J17" s="150">
        <v>842.47903982017169</v>
      </c>
      <c r="K17" s="150">
        <v>0</v>
      </c>
      <c r="L17" s="150">
        <v>1900</v>
      </c>
      <c r="M17" s="150">
        <v>1600</v>
      </c>
      <c r="N17" s="150">
        <v>350</v>
      </c>
      <c r="O17" s="150">
        <v>750</v>
      </c>
      <c r="P17" s="151">
        <f t="shared" ref="P17" si="4">SUM(E17:O17)</f>
        <v>25233.319957221091</v>
      </c>
      <c r="Q17" s="152"/>
      <c r="R17" s="153">
        <v>25233.319957221091</v>
      </c>
      <c r="S17" s="154">
        <f t="shared" si="1"/>
        <v>0</v>
      </c>
      <c r="T17" s="155" t="s">
        <v>519</v>
      </c>
    </row>
    <row r="18" spans="1:20" x14ac:dyDescent="0.25">
      <c r="A18" s="149">
        <v>1300006461</v>
      </c>
      <c r="B18" s="149" t="s">
        <v>517</v>
      </c>
      <c r="C18" s="149" t="s">
        <v>140</v>
      </c>
      <c r="D18" s="149" t="s">
        <v>141</v>
      </c>
      <c r="E18" s="150">
        <v>4350</v>
      </c>
      <c r="F18" s="150">
        <v>0</v>
      </c>
      <c r="G18" s="150">
        <v>87.634098511426643</v>
      </c>
      <c r="H18" s="150">
        <v>28.790752824049562</v>
      </c>
      <c r="I18" s="150">
        <v>3200</v>
      </c>
      <c r="J18" s="150">
        <v>450</v>
      </c>
      <c r="K18" s="150">
        <v>0</v>
      </c>
      <c r="L18" s="150">
        <v>960</v>
      </c>
      <c r="M18" s="150">
        <v>760</v>
      </c>
      <c r="N18" s="150">
        <v>212</v>
      </c>
      <c r="O18" s="150">
        <v>150</v>
      </c>
      <c r="P18" s="151">
        <f t="shared" ref="P18" si="5">SUM(E18:O18)</f>
        <v>10198.424851335476</v>
      </c>
      <c r="Q18" s="152"/>
      <c r="R18" s="153">
        <v>10198.424851335476</v>
      </c>
      <c r="S18" s="154">
        <f t="shared" ref="S18" si="6">P18-R18</f>
        <v>0</v>
      </c>
      <c r="T18" s="155" t="s">
        <v>519</v>
      </c>
    </row>
    <row r="19" spans="1:20" x14ac:dyDescent="0.25">
      <c r="A19" s="51">
        <v>2010301012</v>
      </c>
      <c r="B19" s="51" t="s">
        <v>89</v>
      </c>
      <c r="C19" s="51" t="s">
        <v>145</v>
      </c>
      <c r="D19" s="51" t="s">
        <v>141</v>
      </c>
      <c r="E19" s="52">
        <v>20600</v>
      </c>
      <c r="F19" s="52">
        <v>0</v>
      </c>
      <c r="G19" s="52">
        <v>550</v>
      </c>
      <c r="H19" s="52">
        <v>144.1572088432188</v>
      </c>
      <c r="I19" s="52">
        <v>6619.064413274019</v>
      </c>
      <c r="J19" s="52">
        <v>937.2252943751804</v>
      </c>
      <c r="K19" s="52">
        <v>0</v>
      </c>
      <c r="L19" s="52">
        <v>2833.5188633864655</v>
      </c>
      <c r="M19" s="52">
        <v>1601.4799496982764</v>
      </c>
      <c r="N19" s="52">
        <v>417.06228400197125</v>
      </c>
      <c r="O19" s="52">
        <v>435.94774564592086</v>
      </c>
      <c r="P19" s="94">
        <f t="shared" si="0"/>
        <v>34138.455759225049</v>
      </c>
      <c r="R19" s="9">
        <v>34138.455759225049</v>
      </c>
      <c r="S19" s="98">
        <f t="shared" si="1"/>
        <v>0</v>
      </c>
    </row>
    <row r="20" spans="1:20" x14ac:dyDescent="0.25">
      <c r="A20" s="51">
        <v>2300004647</v>
      </c>
      <c r="B20" s="51" t="s">
        <v>344</v>
      </c>
      <c r="C20" s="51" t="s">
        <v>145</v>
      </c>
      <c r="D20" s="51" t="s">
        <v>141</v>
      </c>
      <c r="E20" s="52">
        <v>12569.509184368439</v>
      </c>
      <c r="F20" s="52">
        <v>0</v>
      </c>
      <c r="G20" s="52">
        <v>273.77229657795328</v>
      </c>
      <c r="H20" s="52">
        <v>92.60157792506169</v>
      </c>
      <c r="I20" s="52">
        <v>5300</v>
      </c>
      <c r="J20" s="52">
        <v>622.09651202990324</v>
      </c>
      <c r="K20" s="52">
        <v>0</v>
      </c>
      <c r="L20" s="52">
        <v>2100</v>
      </c>
      <c r="M20" s="52">
        <v>1129.434266207908</v>
      </c>
      <c r="N20" s="52">
        <v>284.78844300108494</v>
      </c>
      <c r="O20" s="52">
        <v>248.67441826455826</v>
      </c>
      <c r="P20" s="94">
        <f t="shared" si="0"/>
        <v>22620.876698374912</v>
      </c>
      <c r="R20" s="9">
        <v>22620.876698374912</v>
      </c>
      <c r="S20" s="98">
        <f t="shared" si="1"/>
        <v>0</v>
      </c>
    </row>
    <row r="21" spans="1:20" x14ac:dyDescent="0.25">
      <c r="A21" s="51">
        <v>2010625010</v>
      </c>
      <c r="B21" s="51" t="s">
        <v>90</v>
      </c>
      <c r="C21" s="51" t="s">
        <v>145</v>
      </c>
      <c r="D21" s="51" t="s">
        <v>141</v>
      </c>
      <c r="E21" s="52">
        <v>19499</v>
      </c>
      <c r="F21" s="52">
        <v>0</v>
      </c>
      <c r="G21" s="52">
        <v>572</v>
      </c>
      <c r="H21" s="52">
        <v>169</v>
      </c>
      <c r="I21" s="52">
        <v>6546.5407948462716</v>
      </c>
      <c r="J21" s="52">
        <v>910.95092450822756</v>
      </c>
      <c r="K21" s="52">
        <v>0</v>
      </c>
      <c r="L21" s="52">
        <v>2367.6922329467002</v>
      </c>
      <c r="M21" s="52">
        <v>1691.5789746724879</v>
      </c>
      <c r="N21" s="52">
        <v>532</v>
      </c>
      <c r="O21" s="52">
        <v>364.70961331849617</v>
      </c>
      <c r="P21" s="94">
        <f t="shared" si="0"/>
        <v>32653.472540292183</v>
      </c>
      <c r="R21" s="9">
        <v>32653.472540292183</v>
      </c>
      <c r="S21" s="98">
        <f t="shared" si="1"/>
        <v>0</v>
      </c>
    </row>
    <row r="22" spans="1:20" x14ac:dyDescent="0.25">
      <c r="A22" s="51">
        <v>2010905029</v>
      </c>
      <c r="B22" s="51" t="s">
        <v>91</v>
      </c>
      <c r="C22" s="51" t="s">
        <v>145</v>
      </c>
      <c r="D22" s="51" t="s">
        <v>141</v>
      </c>
      <c r="E22" s="52">
        <v>10300</v>
      </c>
      <c r="F22" s="52">
        <v>0</v>
      </c>
      <c r="G22" s="52">
        <v>241.77800247319823</v>
      </c>
      <c r="H22" s="52">
        <v>269</v>
      </c>
      <c r="I22" s="52">
        <v>7200</v>
      </c>
      <c r="J22" s="52">
        <v>935</v>
      </c>
      <c r="K22" s="52">
        <v>0</v>
      </c>
      <c r="L22" s="52">
        <v>2789</v>
      </c>
      <c r="M22" s="52">
        <v>1695</v>
      </c>
      <c r="N22" s="52">
        <v>605</v>
      </c>
      <c r="O22" s="52">
        <v>419.98689855498117</v>
      </c>
      <c r="P22" s="94">
        <f t="shared" si="0"/>
        <v>24454.764901028178</v>
      </c>
      <c r="R22" s="9">
        <v>24454.764901028178</v>
      </c>
      <c r="S22" s="98">
        <f t="shared" si="1"/>
        <v>0</v>
      </c>
    </row>
    <row r="23" spans="1:20" x14ac:dyDescent="0.25">
      <c r="A23" s="51">
        <v>2013910053</v>
      </c>
      <c r="B23" s="51" t="s">
        <v>93</v>
      </c>
      <c r="C23" s="51" t="s">
        <v>145</v>
      </c>
      <c r="D23" s="51" t="s">
        <v>141</v>
      </c>
      <c r="E23" s="52">
        <v>8112</v>
      </c>
      <c r="F23" s="52">
        <v>0</v>
      </c>
      <c r="G23" s="52">
        <v>205</v>
      </c>
      <c r="H23" s="52">
        <v>123</v>
      </c>
      <c r="I23" s="52">
        <v>4574.2363204678431</v>
      </c>
      <c r="J23" s="52">
        <v>661.57009151195132</v>
      </c>
      <c r="K23" s="52">
        <v>0</v>
      </c>
      <c r="L23" s="52">
        <v>1765.4039041010778</v>
      </c>
      <c r="M23" s="52">
        <v>1228.4943425222498</v>
      </c>
      <c r="N23" s="52">
        <v>302.8589819335258</v>
      </c>
      <c r="O23" s="52">
        <v>278.67426295960627</v>
      </c>
      <c r="P23" s="94">
        <f t="shared" si="0"/>
        <v>17251.237903496251</v>
      </c>
      <c r="R23" s="9">
        <v>17251.237903496251</v>
      </c>
      <c r="S23" s="98">
        <f t="shared" si="1"/>
        <v>0</v>
      </c>
    </row>
    <row r="24" spans="1:20" x14ac:dyDescent="0.25">
      <c r="A24" s="51">
        <v>2013915007</v>
      </c>
      <c r="B24" s="51" t="s">
        <v>146</v>
      </c>
      <c r="C24" s="51" t="s">
        <v>145</v>
      </c>
      <c r="D24" s="51" t="s">
        <v>141</v>
      </c>
      <c r="E24" s="52">
        <v>11913</v>
      </c>
      <c r="F24" s="52">
        <v>0</v>
      </c>
      <c r="G24" s="52">
        <v>303.39533402899508</v>
      </c>
      <c r="H24" s="52">
        <v>246</v>
      </c>
      <c r="I24" s="52">
        <v>6619.8232484784276</v>
      </c>
      <c r="J24" s="52">
        <v>892.39223918027847</v>
      </c>
      <c r="K24" s="52">
        <v>0</v>
      </c>
      <c r="L24" s="52">
        <v>2934.3530648867313</v>
      </c>
      <c r="M24" s="52">
        <v>1657.1166550746798</v>
      </c>
      <c r="N24" s="52">
        <v>315.60346270211193</v>
      </c>
      <c r="O24" s="52">
        <v>315</v>
      </c>
      <c r="P24" s="94">
        <f t="shared" si="0"/>
        <v>25196.68400435122</v>
      </c>
      <c r="R24" s="9">
        <v>25196.68400435122</v>
      </c>
      <c r="S24" s="98">
        <f t="shared" si="1"/>
        <v>0</v>
      </c>
    </row>
    <row r="25" spans="1:20" x14ac:dyDescent="0.25">
      <c r="A25" s="51">
        <v>2300001202</v>
      </c>
      <c r="B25" s="51" t="s">
        <v>147</v>
      </c>
      <c r="C25" s="51" t="s">
        <v>145</v>
      </c>
      <c r="D25" s="51" t="s">
        <v>141</v>
      </c>
      <c r="E25" s="52">
        <v>14965.222140088983</v>
      </c>
      <c r="F25" s="52">
        <v>0</v>
      </c>
      <c r="G25" s="52">
        <v>335</v>
      </c>
      <c r="H25" s="52">
        <v>144</v>
      </c>
      <c r="I25" s="52">
        <v>4500</v>
      </c>
      <c r="J25" s="52">
        <v>723.86787455539468</v>
      </c>
      <c r="K25" s="52">
        <v>0</v>
      </c>
      <c r="L25" s="52">
        <v>1210</v>
      </c>
      <c r="M25" s="52">
        <v>900</v>
      </c>
      <c r="N25" s="52">
        <v>331.3781719503134</v>
      </c>
      <c r="O25" s="52">
        <v>314.0341157730071</v>
      </c>
      <c r="P25" s="94">
        <f t="shared" si="0"/>
        <v>23423.502302367699</v>
      </c>
      <c r="R25" s="9">
        <v>23423.502302367699</v>
      </c>
      <c r="S25" s="98">
        <f t="shared" si="1"/>
        <v>0</v>
      </c>
    </row>
    <row r="26" spans="1:20" x14ac:dyDescent="0.25">
      <c r="A26" s="51">
        <v>2300004631</v>
      </c>
      <c r="B26" s="51" t="s">
        <v>148</v>
      </c>
      <c r="C26" s="51" t="s">
        <v>145</v>
      </c>
      <c r="D26" s="51" t="s">
        <v>141</v>
      </c>
      <c r="E26" s="52">
        <v>22700</v>
      </c>
      <c r="F26" s="52">
        <v>0</v>
      </c>
      <c r="G26" s="52">
        <v>570.91603699312896</v>
      </c>
      <c r="H26" s="52">
        <v>188.82520909748629</v>
      </c>
      <c r="I26" s="52">
        <v>8621.9563187828226</v>
      </c>
      <c r="J26" s="52">
        <v>1162.2918946063498</v>
      </c>
      <c r="K26" s="52">
        <v>0</v>
      </c>
      <c r="L26" s="52">
        <v>3592.5571170226704</v>
      </c>
      <c r="M26" s="52">
        <v>2158.3034590032908</v>
      </c>
      <c r="N26" s="52">
        <v>402</v>
      </c>
      <c r="O26" s="52">
        <v>350</v>
      </c>
      <c r="P26" s="94">
        <f t="shared" si="0"/>
        <v>39746.850035505748</v>
      </c>
      <c r="R26" s="9">
        <v>39746.850035505748</v>
      </c>
      <c r="S26" s="98">
        <f t="shared" si="1"/>
        <v>0</v>
      </c>
    </row>
    <row r="27" spans="1:20" x14ac:dyDescent="0.25">
      <c r="A27" s="51">
        <v>2300002301</v>
      </c>
      <c r="B27" s="51" t="s">
        <v>345</v>
      </c>
      <c r="C27" s="51" t="s">
        <v>145</v>
      </c>
      <c r="D27" s="51" t="s">
        <v>141</v>
      </c>
      <c r="E27" s="52">
        <v>9761</v>
      </c>
      <c r="F27" s="52">
        <v>0</v>
      </c>
      <c r="G27" s="52">
        <v>215</v>
      </c>
      <c r="H27" s="52">
        <v>126.72977791946238</v>
      </c>
      <c r="I27" s="52">
        <v>3595</v>
      </c>
      <c r="J27" s="52">
        <v>595</v>
      </c>
      <c r="K27" s="52">
        <v>0</v>
      </c>
      <c r="L27" s="52">
        <v>1726</v>
      </c>
      <c r="M27" s="52">
        <v>1260.5305467307485</v>
      </c>
      <c r="N27" s="52">
        <v>291.03720448648346</v>
      </c>
      <c r="O27" s="52">
        <v>275.8045607833954</v>
      </c>
      <c r="P27" s="94">
        <f t="shared" si="0"/>
        <v>17846.102089920092</v>
      </c>
      <c r="R27" s="9">
        <v>17846.102089920092</v>
      </c>
      <c r="S27" s="98">
        <f t="shared" si="1"/>
        <v>0</v>
      </c>
    </row>
    <row r="28" spans="1:20" x14ac:dyDescent="0.25">
      <c r="A28" s="51">
        <v>2300002312</v>
      </c>
      <c r="B28" s="51" t="s">
        <v>107</v>
      </c>
      <c r="C28" s="51" t="s">
        <v>145</v>
      </c>
      <c r="D28" s="51" t="s">
        <v>141</v>
      </c>
      <c r="E28" s="52">
        <v>16924</v>
      </c>
      <c r="F28" s="52">
        <v>0</v>
      </c>
      <c r="G28" s="52">
        <v>375.88240632779457</v>
      </c>
      <c r="H28" s="52">
        <v>128.17588725188014</v>
      </c>
      <c r="I28" s="52">
        <v>4926</v>
      </c>
      <c r="J28" s="52">
        <v>830</v>
      </c>
      <c r="K28" s="52">
        <v>0</v>
      </c>
      <c r="L28" s="52">
        <v>1956</v>
      </c>
      <c r="M28" s="52">
        <v>1429.3381834425822</v>
      </c>
      <c r="N28" s="52">
        <v>352.37273147498871</v>
      </c>
      <c r="O28" s="52">
        <v>316.320947838287</v>
      </c>
      <c r="P28" s="94">
        <f t="shared" si="0"/>
        <v>27238.090156335533</v>
      </c>
      <c r="R28" s="9">
        <v>27238.090156335533</v>
      </c>
      <c r="S28" s="98">
        <f t="shared" si="1"/>
        <v>0</v>
      </c>
    </row>
    <row r="29" spans="1:20" x14ac:dyDescent="0.25">
      <c r="A29" s="51">
        <v>2011510034</v>
      </c>
      <c r="B29" s="51" t="s">
        <v>149</v>
      </c>
      <c r="C29" s="51" t="s">
        <v>145</v>
      </c>
      <c r="D29" s="51" t="s">
        <v>141</v>
      </c>
      <c r="E29" s="52">
        <v>12000</v>
      </c>
      <c r="F29" s="52">
        <v>0</v>
      </c>
      <c r="G29" s="52">
        <v>499</v>
      </c>
      <c r="H29" s="52">
        <v>105</v>
      </c>
      <c r="I29" s="52">
        <v>5367</v>
      </c>
      <c r="J29" s="52">
        <v>900</v>
      </c>
      <c r="K29" s="52">
        <v>0</v>
      </c>
      <c r="L29" s="52">
        <v>2766</v>
      </c>
      <c r="M29" s="52">
        <v>1804</v>
      </c>
      <c r="N29" s="52">
        <v>163.99152489879376</v>
      </c>
      <c r="O29" s="52">
        <v>114.41529862112839</v>
      </c>
      <c r="P29" s="94">
        <f t="shared" si="0"/>
        <v>23719.406823519923</v>
      </c>
      <c r="R29" s="9">
        <v>23719.406823519923</v>
      </c>
      <c r="S29" s="98">
        <f t="shared" si="1"/>
        <v>0</v>
      </c>
    </row>
    <row r="30" spans="1:20" x14ac:dyDescent="0.25">
      <c r="A30" s="51">
        <v>2300001198</v>
      </c>
      <c r="B30" s="51" t="s">
        <v>103</v>
      </c>
      <c r="C30" s="51" t="s">
        <v>145</v>
      </c>
      <c r="D30" s="51" t="s">
        <v>141</v>
      </c>
      <c r="E30" s="52">
        <v>14500</v>
      </c>
      <c r="F30" s="52">
        <v>0</v>
      </c>
      <c r="G30" s="52">
        <v>315.24184167239446</v>
      </c>
      <c r="H30" s="52">
        <v>120</v>
      </c>
      <c r="I30" s="52">
        <v>7643</v>
      </c>
      <c r="J30" s="52">
        <v>912</v>
      </c>
      <c r="K30" s="52">
        <v>0</v>
      </c>
      <c r="L30" s="52">
        <v>3146</v>
      </c>
      <c r="M30" s="52">
        <v>1949</v>
      </c>
      <c r="N30" s="52">
        <v>325</v>
      </c>
      <c r="O30" s="52">
        <v>298</v>
      </c>
      <c r="P30" s="94">
        <f t="shared" si="0"/>
        <v>29208.241841672396</v>
      </c>
      <c r="R30" s="9">
        <v>29208.241841672396</v>
      </c>
      <c r="S30" s="98">
        <f t="shared" si="1"/>
        <v>0</v>
      </c>
    </row>
    <row r="31" spans="1:20" x14ac:dyDescent="0.25">
      <c r="A31" s="51">
        <v>2091006005</v>
      </c>
      <c r="B31" s="51" t="s">
        <v>102</v>
      </c>
      <c r="C31" s="51" t="s">
        <v>145</v>
      </c>
      <c r="D31" s="51" t="s">
        <v>141</v>
      </c>
      <c r="E31" s="52">
        <v>5115</v>
      </c>
      <c r="F31" s="52">
        <v>0</v>
      </c>
      <c r="G31" s="52">
        <v>157.84492738414599</v>
      </c>
      <c r="H31" s="52">
        <v>42</v>
      </c>
      <c r="I31" s="52">
        <v>2519.6314074260636</v>
      </c>
      <c r="J31" s="52">
        <v>339.66156333535355</v>
      </c>
      <c r="K31" s="52">
        <v>0</v>
      </c>
      <c r="L31" s="52">
        <v>1004.2927101519621</v>
      </c>
      <c r="M31" s="52">
        <v>630.73031003579854</v>
      </c>
      <c r="N31" s="52">
        <v>180.21985288357021</v>
      </c>
      <c r="O31" s="52">
        <v>168.31341450050289</v>
      </c>
      <c r="P31" s="94">
        <f t="shared" si="0"/>
        <v>10157.694185717397</v>
      </c>
      <c r="R31" s="9">
        <v>10157.694185717397</v>
      </c>
      <c r="S31" s="98">
        <f t="shared" si="1"/>
        <v>0</v>
      </c>
    </row>
    <row r="32" spans="1:20" x14ac:dyDescent="0.25">
      <c r="A32" s="51">
        <v>2300002296</v>
      </c>
      <c r="B32" s="51" t="s">
        <v>150</v>
      </c>
      <c r="C32" s="51" t="s">
        <v>145</v>
      </c>
      <c r="D32" s="51" t="s">
        <v>141</v>
      </c>
      <c r="E32" s="52">
        <v>7489.6273126152882</v>
      </c>
      <c r="F32" s="52">
        <v>0</v>
      </c>
      <c r="G32" s="52">
        <v>253</v>
      </c>
      <c r="H32" s="52">
        <v>84</v>
      </c>
      <c r="I32" s="52">
        <v>3149</v>
      </c>
      <c r="J32" s="52">
        <v>552</v>
      </c>
      <c r="K32" s="52">
        <v>0</v>
      </c>
      <c r="L32" s="52">
        <v>1489</v>
      </c>
      <c r="M32" s="52">
        <v>788.30727554123325</v>
      </c>
      <c r="N32" s="52">
        <v>251</v>
      </c>
      <c r="O32" s="52">
        <v>289</v>
      </c>
      <c r="P32" s="94">
        <f t="shared" si="0"/>
        <v>14344.934588156522</v>
      </c>
      <c r="R32" s="9">
        <v>14344.934588156522</v>
      </c>
      <c r="S32" s="98">
        <f t="shared" si="1"/>
        <v>0</v>
      </c>
    </row>
    <row r="33" spans="1:20" x14ac:dyDescent="0.25">
      <c r="A33" s="51">
        <v>2300002284</v>
      </c>
      <c r="B33" s="51" t="s">
        <v>106</v>
      </c>
      <c r="C33" s="51" t="s">
        <v>145</v>
      </c>
      <c r="D33" s="51" t="s">
        <v>141</v>
      </c>
      <c r="E33" s="52">
        <v>7418</v>
      </c>
      <c r="F33" s="52">
        <v>0</v>
      </c>
      <c r="G33" s="52">
        <v>175</v>
      </c>
      <c r="H33" s="52">
        <v>114.88649570604768</v>
      </c>
      <c r="I33" s="52">
        <v>4491.5552860395637</v>
      </c>
      <c r="J33" s="52">
        <v>605.48883688581202</v>
      </c>
      <c r="K33" s="52">
        <v>0</v>
      </c>
      <c r="L33" s="52">
        <v>2566.6566589166232</v>
      </c>
      <c r="M33" s="52">
        <v>1267.7564988434835</v>
      </c>
      <c r="N33" s="52">
        <v>1090</v>
      </c>
      <c r="O33" s="52">
        <v>195</v>
      </c>
      <c r="P33" s="94">
        <f t="shared" si="0"/>
        <v>17924.343776391532</v>
      </c>
      <c r="R33" s="9">
        <v>17924.343776391532</v>
      </c>
      <c r="S33" s="98">
        <f t="shared" si="1"/>
        <v>0</v>
      </c>
    </row>
    <row r="34" spans="1:20" x14ac:dyDescent="0.25">
      <c r="A34" s="51">
        <v>2011210001</v>
      </c>
      <c r="B34" s="51" t="s">
        <v>92</v>
      </c>
      <c r="C34" s="51" t="s">
        <v>145</v>
      </c>
      <c r="D34" s="51" t="s">
        <v>141</v>
      </c>
      <c r="E34" s="52">
        <v>9887</v>
      </c>
      <c r="F34" s="52">
        <v>0</v>
      </c>
      <c r="G34" s="52">
        <v>239.37126083570786</v>
      </c>
      <c r="H34" s="52">
        <v>92</v>
      </c>
      <c r="I34" s="52">
        <v>4589</v>
      </c>
      <c r="J34" s="52">
        <v>690</v>
      </c>
      <c r="K34" s="52">
        <v>0</v>
      </c>
      <c r="L34" s="52">
        <v>2319</v>
      </c>
      <c r="M34" s="52">
        <v>1100.5698142550521</v>
      </c>
      <c r="N34" s="52">
        <v>261.78855407020984</v>
      </c>
      <c r="O34" s="52">
        <v>192</v>
      </c>
      <c r="P34" s="94">
        <f t="shared" si="0"/>
        <v>19370.729629160971</v>
      </c>
      <c r="R34" s="9">
        <v>19370.729629160971</v>
      </c>
      <c r="S34" s="98">
        <f t="shared" si="1"/>
        <v>0</v>
      </c>
    </row>
    <row r="35" spans="1:20" x14ac:dyDescent="0.25">
      <c r="A35" s="41">
        <v>2300004648</v>
      </c>
      <c r="B35" s="41" t="s">
        <v>415</v>
      </c>
      <c r="C35" s="41" t="s">
        <v>145</v>
      </c>
      <c r="D35" s="41" t="s">
        <v>141</v>
      </c>
      <c r="E35" s="126">
        <v>10012</v>
      </c>
      <c r="F35" s="126">
        <v>0</v>
      </c>
      <c r="G35" s="126">
        <v>215</v>
      </c>
      <c r="H35" s="126">
        <v>41.918045730584964</v>
      </c>
      <c r="I35" s="126">
        <v>3612</v>
      </c>
      <c r="J35" s="126">
        <v>380</v>
      </c>
      <c r="K35" s="126">
        <v>0</v>
      </c>
      <c r="L35" s="126">
        <v>1305</v>
      </c>
      <c r="M35" s="126">
        <v>697</v>
      </c>
      <c r="N35" s="126">
        <v>183</v>
      </c>
      <c r="O35" s="126">
        <v>233.35260387534737</v>
      </c>
      <c r="P35" s="127">
        <f t="shared" si="0"/>
        <v>16679.270649605933</v>
      </c>
      <c r="R35" s="9">
        <v>16679.270649605933</v>
      </c>
      <c r="S35" s="98">
        <f t="shared" si="1"/>
        <v>0</v>
      </c>
    </row>
    <row r="36" spans="1:20" x14ac:dyDescent="0.25">
      <c r="A36" s="149">
        <v>2300004649</v>
      </c>
      <c r="B36" s="149" t="s">
        <v>518</v>
      </c>
      <c r="C36" s="149" t="s">
        <v>145</v>
      </c>
      <c r="D36" s="149" t="s">
        <v>141</v>
      </c>
      <c r="E36" s="150">
        <v>12717.42623629256</v>
      </c>
      <c r="F36" s="150">
        <v>0</v>
      </c>
      <c r="G36" s="150">
        <v>321.20210868732283</v>
      </c>
      <c r="H36" s="150">
        <v>120.74548641733826</v>
      </c>
      <c r="I36" s="150">
        <v>4176.2049022551346</v>
      </c>
      <c r="J36" s="150">
        <v>607.91304732356082</v>
      </c>
      <c r="K36" s="150">
        <v>0</v>
      </c>
      <c r="L36" s="150">
        <v>1571.5776820213698</v>
      </c>
      <c r="M36" s="150">
        <v>1128.8565625384895</v>
      </c>
      <c r="N36" s="150">
        <v>340.24420349810151</v>
      </c>
      <c r="O36" s="150">
        <v>315.39255073589459</v>
      </c>
      <c r="P36" s="151">
        <f t="shared" ref="P36" si="7">SUM(E36:O36)</f>
        <v>21299.562779769774</v>
      </c>
      <c r="Q36" s="152"/>
      <c r="R36" s="153">
        <v>21299.562779769774</v>
      </c>
      <c r="S36" s="154">
        <f t="shared" ref="S36" si="8">P36-R36</f>
        <v>0</v>
      </c>
      <c r="T36" s="155" t="s">
        <v>519</v>
      </c>
    </row>
    <row r="37" spans="1:20" x14ac:dyDescent="0.25">
      <c r="A37" s="51">
        <v>3300002022</v>
      </c>
      <c r="B37" s="51" t="s">
        <v>116</v>
      </c>
      <c r="C37" s="51" t="s">
        <v>145</v>
      </c>
      <c r="D37" s="51" t="s">
        <v>141</v>
      </c>
      <c r="E37" s="52">
        <v>8453</v>
      </c>
      <c r="F37" s="52">
        <v>0</v>
      </c>
      <c r="G37" s="52">
        <v>163.41633919135779</v>
      </c>
      <c r="H37" s="52">
        <v>26.082339565697318</v>
      </c>
      <c r="I37" s="52">
        <v>3794.6816450833617</v>
      </c>
      <c r="J37" s="52">
        <v>399.59483029899343</v>
      </c>
      <c r="K37" s="52">
        <v>0</v>
      </c>
      <c r="L37" s="52">
        <v>1523.483498062001</v>
      </c>
      <c r="M37" s="52">
        <v>742.02264374066522</v>
      </c>
      <c r="N37" s="52">
        <v>312.60884433832558</v>
      </c>
      <c r="O37" s="52">
        <v>141</v>
      </c>
      <c r="P37" s="94">
        <f t="shared" si="0"/>
        <v>15555.8901402804</v>
      </c>
      <c r="R37" s="9">
        <v>15555.8901402804</v>
      </c>
      <c r="S37" s="98">
        <f t="shared" si="1"/>
        <v>0</v>
      </c>
    </row>
    <row r="38" spans="1:20" x14ac:dyDescent="0.25">
      <c r="A38" s="51">
        <v>3300000887</v>
      </c>
      <c r="B38" s="51" t="s">
        <v>113</v>
      </c>
      <c r="C38" s="51" t="s">
        <v>151</v>
      </c>
      <c r="D38" s="51" t="s">
        <v>141</v>
      </c>
      <c r="E38" s="52">
        <v>12489.07774577085</v>
      </c>
      <c r="F38" s="52">
        <v>0</v>
      </c>
      <c r="G38" s="52">
        <v>314.66686049984395</v>
      </c>
      <c r="H38" s="52">
        <v>144.44444444444446</v>
      </c>
      <c r="I38" s="52">
        <v>4503.1176119093125</v>
      </c>
      <c r="J38" s="52">
        <v>496.23565937642621</v>
      </c>
      <c r="K38" s="52">
        <v>0</v>
      </c>
      <c r="L38" s="52">
        <v>2257.0243684640873</v>
      </c>
      <c r="M38" s="52">
        <v>908.99362466332582</v>
      </c>
      <c r="N38" s="52">
        <v>423.28835349697266</v>
      </c>
      <c r="O38" s="52">
        <v>175.64335124011541</v>
      </c>
      <c r="P38" s="94">
        <f t="shared" si="0"/>
        <v>21712.492019865382</v>
      </c>
      <c r="R38" s="9">
        <v>21712.492019865382</v>
      </c>
      <c r="S38" s="98">
        <f t="shared" si="1"/>
        <v>0</v>
      </c>
    </row>
    <row r="39" spans="1:20" x14ac:dyDescent="0.25">
      <c r="A39" s="51">
        <v>3300002021</v>
      </c>
      <c r="B39" s="51" t="s">
        <v>115</v>
      </c>
      <c r="C39" s="51" t="s">
        <v>151</v>
      </c>
      <c r="D39" s="51" t="s">
        <v>141</v>
      </c>
      <c r="E39" s="52">
        <v>19606.420935244521</v>
      </c>
      <c r="F39" s="52">
        <v>0</v>
      </c>
      <c r="G39" s="52">
        <v>493.99091325386047</v>
      </c>
      <c r="H39" s="52">
        <v>156.15951905360328</v>
      </c>
      <c r="I39" s="52">
        <v>9088.3471563426538</v>
      </c>
      <c r="J39" s="52">
        <v>1225.0258020516726</v>
      </c>
      <c r="K39" s="52">
        <v>0</v>
      </c>
      <c r="L39" s="52">
        <v>3736.7840853713383</v>
      </c>
      <c r="M39" s="52">
        <v>2243.975464222648</v>
      </c>
      <c r="N39" s="52">
        <v>990.15910003036333</v>
      </c>
      <c r="O39" s="52">
        <v>213.37104005064145</v>
      </c>
      <c r="P39" s="94">
        <f t="shared" si="0"/>
        <v>37754.234015621303</v>
      </c>
      <c r="R39" s="9">
        <v>37754.234015621303</v>
      </c>
      <c r="S39" s="98">
        <f t="shared" si="1"/>
        <v>0</v>
      </c>
    </row>
    <row r="40" spans="1:20" x14ac:dyDescent="0.25">
      <c r="A40" s="51">
        <v>3300002018</v>
      </c>
      <c r="B40" s="51" t="s">
        <v>114</v>
      </c>
      <c r="C40" s="51" t="s">
        <v>151</v>
      </c>
      <c r="D40" s="51" t="s">
        <v>141</v>
      </c>
      <c r="E40" s="52">
        <v>1049.188269862218</v>
      </c>
      <c r="F40" s="52">
        <v>0</v>
      </c>
      <c r="G40" s="52">
        <v>26.434680420065717</v>
      </c>
      <c r="H40" s="52">
        <v>27.716624593929584</v>
      </c>
      <c r="I40" s="52">
        <v>351.05935012311778</v>
      </c>
      <c r="J40" s="52">
        <v>47.319579077938229</v>
      </c>
      <c r="K40" s="52">
        <v>0</v>
      </c>
      <c r="L40" s="52">
        <v>144.34230669163617</v>
      </c>
      <c r="M40" s="52">
        <v>86.678969741208604</v>
      </c>
      <c r="N40" s="52">
        <v>25.732948362371026</v>
      </c>
      <c r="O40" s="52">
        <v>33.535723387134219</v>
      </c>
      <c r="P40" s="94">
        <f t="shared" si="0"/>
        <v>1792.0084522596192</v>
      </c>
      <c r="R40" s="9">
        <v>1792.0084522596192</v>
      </c>
      <c r="S40" s="98">
        <f t="shared" si="1"/>
        <v>0</v>
      </c>
    </row>
    <row r="41" spans="1:20" x14ac:dyDescent="0.25">
      <c r="A41" s="51">
        <v>3300000846</v>
      </c>
      <c r="B41" s="51" t="s">
        <v>112</v>
      </c>
      <c r="C41" s="51" t="s">
        <v>151</v>
      </c>
      <c r="D41" s="51" t="s">
        <v>141</v>
      </c>
      <c r="E41" s="52">
        <v>11800</v>
      </c>
      <c r="F41" s="52">
        <v>0</v>
      </c>
      <c r="G41" s="52">
        <v>311.52042156192124</v>
      </c>
      <c r="H41" s="52">
        <v>96.670178461754418</v>
      </c>
      <c r="I41" s="52">
        <v>4795.3258680955723</v>
      </c>
      <c r="J41" s="52">
        <v>646.36592513559924</v>
      </c>
      <c r="K41" s="52">
        <v>0</v>
      </c>
      <c r="L41" s="52">
        <v>1971.6563506889697</v>
      </c>
      <c r="M41" s="52">
        <v>874.07459961632321</v>
      </c>
      <c r="N41" s="52">
        <v>407.25187843056756</v>
      </c>
      <c r="O41" s="52">
        <v>279.46529809023224</v>
      </c>
      <c r="P41" s="94">
        <f t="shared" si="0"/>
        <v>21182.330520080941</v>
      </c>
      <c r="R41" s="9">
        <v>21182.330520080941</v>
      </c>
      <c r="S41" s="98">
        <f t="shared" si="1"/>
        <v>0</v>
      </c>
    </row>
    <row r="42" spans="1:20" x14ac:dyDescent="0.25">
      <c r="A42" s="51">
        <v>3050101021</v>
      </c>
      <c r="B42" s="51" t="s">
        <v>108</v>
      </c>
      <c r="C42" s="51" t="s">
        <v>151</v>
      </c>
      <c r="D42" s="51" t="s">
        <v>141</v>
      </c>
      <c r="E42" s="52">
        <v>7535.2865619600543</v>
      </c>
      <c r="F42" s="52">
        <v>0</v>
      </c>
      <c r="G42" s="52">
        <v>189.8542881776483</v>
      </c>
      <c r="H42" s="52">
        <v>12.844289445967368</v>
      </c>
      <c r="I42" s="52">
        <v>1540.571128695623</v>
      </c>
      <c r="J42" s="52">
        <v>207.65485187600072</v>
      </c>
      <c r="K42" s="52">
        <v>0</v>
      </c>
      <c r="L42" s="52">
        <v>633.42449150116067</v>
      </c>
      <c r="M42" s="52">
        <v>380.37761478666295</v>
      </c>
      <c r="N42" s="52">
        <v>226.74829861335627</v>
      </c>
      <c r="O42" s="52">
        <v>231.11609047888624</v>
      </c>
      <c r="P42" s="94">
        <f t="shared" si="0"/>
        <v>10957.877615535361</v>
      </c>
      <c r="R42" s="9">
        <v>10957.877615535361</v>
      </c>
      <c r="S42" s="98">
        <f t="shared" si="1"/>
        <v>0</v>
      </c>
    </row>
    <row r="43" spans="1:20" x14ac:dyDescent="0.25">
      <c r="A43" s="51">
        <v>3300002027</v>
      </c>
      <c r="B43" s="51" t="s">
        <v>117</v>
      </c>
      <c r="C43" s="51" t="s">
        <v>151</v>
      </c>
      <c r="D43" s="51" t="s">
        <v>141</v>
      </c>
      <c r="E43" s="52">
        <v>9719.3483296315353</v>
      </c>
      <c r="F43" s="52">
        <v>0</v>
      </c>
      <c r="G43" s="52">
        <v>244.88251952993107</v>
      </c>
      <c r="H43" s="52">
        <v>126.752856374678</v>
      </c>
      <c r="I43" s="52">
        <v>4621.5493595701246</v>
      </c>
      <c r="J43" s="52">
        <v>622.94244635865152</v>
      </c>
      <c r="K43" s="52">
        <v>0</v>
      </c>
      <c r="L43" s="52">
        <v>1900.206033013098</v>
      </c>
      <c r="M43" s="52">
        <v>1141.0923450840783</v>
      </c>
      <c r="N43" s="52">
        <v>567.24368781400483</v>
      </c>
      <c r="O43" s="52">
        <v>692.30308967315193</v>
      </c>
      <c r="P43" s="94">
        <f t="shared" si="0"/>
        <v>19636.320667049251</v>
      </c>
      <c r="R43" s="9">
        <v>19636.320667049251</v>
      </c>
      <c r="S43" s="98">
        <f t="shared" si="1"/>
        <v>0</v>
      </c>
    </row>
    <row r="44" spans="1:20" x14ac:dyDescent="0.25">
      <c r="A44" s="51">
        <v>3300002028</v>
      </c>
      <c r="B44" s="51" t="s">
        <v>118</v>
      </c>
      <c r="C44" s="51" t="s">
        <v>151</v>
      </c>
      <c r="D44" s="51" t="s">
        <v>141</v>
      </c>
      <c r="E44" s="126">
        <v>18346.665775427326</v>
      </c>
      <c r="F44" s="126">
        <v>0</v>
      </c>
      <c r="G44" s="126">
        <v>462.25092338372065</v>
      </c>
      <c r="H44" s="126">
        <v>186.58020458352598</v>
      </c>
      <c r="I44" s="126">
        <v>7784.9455895724404</v>
      </c>
      <c r="J44" s="126">
        <v>1049.3392308566265</v>
      </c>
      <c r="K44" s="126">
        <v>0</v>
      </c>
      <c r="L44" s="126">
        <v>3200.8747337841342</v>
      </c>
      <c r="M44" s="126">
        <v>2232.0810080693095</v>
      </c>
      <c r="N44" s="126">
        <v>667.19195101857633</v>
      </c>
      <c r="O44" s="126">
        <v>675.32562970841525</v>
      </c>
      <c r="P44" s="127">
        <f t="shared" si="0"/>
        <v>34605.255046404076</v>
      </c>
      <c r="R44" s="9">
        <v>34605.255046404076</v>
      </c>
      <c r="S44" s="98">
        <f t="shared" si="1"/>
        <v>0</v>
      </c>
    </row>
    <row r="45" spans="1:20" x14ac:dyDescent="0.25">
      <c r="A45" s="51">
        <v>3300002029</v>
      </c>
      <c r="B45" s="51" t="s">
        <v>119</v>
      </c>
      <c r="C45" s="51" t="s">
        <v>151</v>
      </c>
      <c r="D45" s="51" t="s">
        <v>141</v>
      </c>
      <c r="E45" s="126">
        <v>10500</v>
      </c>
      <c r="F45" s="126">
        <v>0</v>
      </c>
      <c r="G45" s="126">
        <v>271.4435168416652</v>
      </c>
      <c r="H45" s="126">
        <v>57.799302506853167</v>
      </c>
      <c r="I45" s="126">
        <v>5914.1145251626922</v>
      </c>
      <c r="J45" s="126">
        <v>797.16837010970812</v>
      </c>
      <c r="K45" s="126">
        <v>0</v>
      </c>
      <c r="L45" s="126">
        <v>2431.6598669174118</v>
      </c>
      <c r="M45" s="126">
        <v>1460.2355806584796</v>
      </c>
      <c r="N45" s="126">
        <v>368.46598524670389</v>
      </c>
      <c r="O45" s="126">
        <v>291.76079346806767</v>
      </c>
      <c r="P45" s="127">
        <f t="shared" si="0"/>
        <v>22092.647940911582</v>
      </c>
      <c r="R45" s="9">
        <v>22092.647940911582</v>
      </c>
      <c r="S45" s="98">
        <f t="shared" si="1"/>
        <v>0</v>
      </c>
    </row>
    <row r="46" spans="1:20" x14ac:dyDescent="0.25">
      <c r="A46" s="149">
        <v>3300002030</v>
      </c>
      <c r="B46" s="149" t="s">
        <v>760</v>
      </c>
      <c r="C46" s="149" t="s">
        <v>151</v>
      </c>
      <c r="D46" s="149" t="s">
        <v>141</v>
      </c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2"/>
      <c r="R46" s="153"/>
      <c r="S46" s="154">
        <f t="shared" si="1"/>
        <v>0</v>
      </c>
      <c r="T46" s="155" t="s">
        <v>519</v>
      </c>
    </row>
    <row r="48" spans="1:20" x14ac:dyDescent="0.25">
      <c r="D48" s="96" t="s">
        <v>520</v>
      </c>
      <c r="E48" s="142">
        <v>567641.22693596256</v>
      </c>
      <c r="F48" s="142">
        <v>0</v>
      </c>
      <c r="G48" s="142">
        <v>14354.390488166684</v>
      </c>
      <c r="H48" s="143">
        <v>6392.6713532190424</v>
      </c>
      <c r="I48" s="142">
        <v>244884.42867104174</v>
      </c>
      <c r="J48" s="142">
        <v>31085.007735853163</v>
      </c>
      <c r="K48" s="142">
        <v>0</v>
      </c>
      <c r="L48" s="142">
        <v>96996.025815325818</v>
      </c>
      <c r="M48" s="142">
        <v>57907.246806459938</v>
      </c>
      <c r="N48" s="142">
        <v>18701.527267566198</v>
      </c>
      <c r="O48" s="142">
        <v>15856.514432147182</v>
      </c>
      <c r="P48" t="s">
        <v>414</v>
      </c>
      <c r="R48" s="143">
        <v>1053819.0395057425</v>
      </c>
    </row>
    <row r="49" spans="4:18" x14ac:dyDescent="0.25">
      <c r="E49" s="98">
        <f t="shared" ref="E49:O49" si="9">SUM(E$2:E$47)-E48</f>
        <v>0</v>
      </c>
      <c r="F49" s="98">
        <f t="shared" si="9"/>
        <v>0</v>
      </c>
      <c r="G49" s="98">
        <f t="shared" si="9"/>
        <v>0</v>
      </c>
      <c r="H49" s="98">
        <f t="shared" si="9"/>
        <v>0</v>
      </c>
      <c r="I49" s="98">
        <f t="shared" si="9"/>
        <v>0</v>
      </c>
      <c r="J49" s="98">
        <f t="shared" si="9"/>
        <v>0</v>
      </c>
      <c r="K49" s="98">
        <f t="shared" si="9"/>
        <v>0</v>
      </c>
      <c r="L49" s="98">
        <f t="shared" si="9"/>
        <v>0</v>
      </c>
      <c r="M49" s="98">
        <f t="shared" si="9"/>
        <v>0</v>
      </c>
      <c r="N49" s="98">
        <f t="shared" si="9"/>
        <v>0</v>
      </c>
      <c r="O49" s="98">
        <f t="shared" si="9"/>
        <v>0</v>
      </c>
      <c r="P49" s="96" t="s">
        <v>413</v>
      </c>
      <c r="R49" s="98">
        <f>SUM($P$2:$P$46)-$R$48</f>
        <v>0</v>
      </c>
    </row>
    <row r="51" spans="4:18" x14ac:dyDescent="0.25">
      <c r="D51" s="96" t="s">
        <v>521</v>
      </c>
      <c r="E51" s="142">
        <f>SUMIF(Workings!$E:$E,'Customer Budget Per Category'!E$1,Workings!$F:$F)</f>
        <v>567641.22693596256</v>
      </c>
      <c r="F51" s="142">
        <f>SUMIF(Workings!$E:$E,'Customer Budget Per Category'!F$1,Workings!$F:$F)</f>
        <v>0</v>
      </c>
      <c r="G51" s="142">
        <f>SUMIF(Workings!$E:$E,'Customer Budget Per Category'!G$1,Workings!$F:$F)</f>
        <v>14354.390488166684</v>
      </c>
      <c r="H51" s="143">
        <f>SUMIF(Workings!$E:$E,'Customer Budget Per Category'!H$1,Workings!$F:$F)</f>
        <v>6392.6713532190424</v>
      </c>
      <c r="I51" s="142">
        <f>SUMIF(Workings!$E:$E,'Customer Budget Per Category'!I$1,Workings!$F:$F)</f>
        <v>244884.42867104174</v>
      </c>
      <c r="J51" s="142">
        <f>SUMIF(Workings!$E:$E,'Customer Budget Per Category'!J$1,Workings!$F:$F)</f>
        <v>31085.007735853163</v>
      </c>
      <c r="K51" s="142">
        <f>SUMIF(Workings!$E:$E,'Customer Budget Per Category'!K$1,Workings!$F:$F)</f>
        <v>0</v>
      </c>
      <c r="L51" s="142">
        <f>SUMIF(Workings!$E:$E,'Customer Budget Per Category'!L$1,Workings!$F:$F)</f>
        <v>96996.025815325804</v>
      </c>
      <c r="M51" s="142">
        <f>SUMIF(Workings!$E:$E,'Customer Budget Per Category'!M$1,Workings!$F:$F)</f>
        <v>57907.246806459938</v>
      </c>
      <c r="N51" s="142">
        <f>SUMIF(Workings!$E:$E,'Customer Budget Per Category'!N$1,Workings!$F:$F)</f>
        <v>18701.527267566198</v>
      </c>
      <c r="O51" s="142">
        <f>SUMIF(Workings!$E:$E,'Customer Budget Per Category'!O$1,Workings!$F:$F)</f>
        <v>15856.514432147182</v>
      </c>
    </row>
    <row r="52" spans="4:18" x14ac:dyDescent="0.25">
      <c r="E52" s="98">
        <f t="shared" ref="E52:O52" si="10">SUM(E$2:E$47)-E51</f>
        <v>0</v>
      </c>
      <c r="F52" s="98">
        <f t="shared" si="10"/>
        <v>0</v>
      </c>
      <c r="G52" s="98">
        <f t="shared" si="10"/>
        <v>0</v>
      </c>
      <c r="H52" s="98">
        <f t="shared" si="10"/>
        <v>0</v>
      </c>
      <c r="I52" s="98">
        <f t="shared" si="10"/>
        <v>0</v>
      </c>
      <c r="J52" s="98">
        <f t="shared" si="10"/>
        <v>0</v>
      </c>
      <c r="K52" s="98">
        <f t="shared" si="10"/>
        <v>0</v>
      </c>
      <c r="L52" s="98">
        <f t="shared" si="10"/>
        <v>0</v>
      </c>
      <c r="M52" s="98">
        <f t="shared" si="10"/>
        <v>0</v>
      </c>
      <c r="N52" s="98">
        <f t="shared" si="10"/>
        <v>0</v>
      </c>
      <c r="O52" s="98">
        <f t="shared" si="1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Summary Per Category per KPI</vt:lpstr>
      <vt:lpstr>Credit Note Approval Form</vt:lpstr>
      <vt:lpstr>Workings</vt:lpstr>
      <vt:lpstr>&gt;&gt;&gt;EXTRACTIONS</vt:lpstr>
      <vt:lpstr>Navision sales Dump</vt:lpstr>
      <vt:lpstr>Bouclage EG Cust Cons_Decons</vt:lpstr>
      <vt:lpstr>TT Around time</vt:lpstr>
      <vt:lpstr>Customer Num Distr.</vt:lpstr>
      <vt:lpstr>Customer Budget Per Category</vt:lpstr>
      <vt:lpstr>Discount Scheme Target</vt:lpstr>
      <vt:lpstr>Lists</vt:lpstr>
      <vt:lpstr>Dashboard</vt:lpstr>
      <vt:lpstr>Alcomix</vt:lpstr>
      <vt:lpstr>All_categories</vt:lpstr>
      <vt:lpstr>Cans</vt:lpstr>
      <vt:lpstr>Castel_Beer_KK</vt:lpstr>
      <vt:lpstr>CSD_PET</vt:lpstr>
      <vt:lpstr>CSD_RGB</vt:lpstr>
      <vt:lpstr>Discount_Scheme_Target</vt:lpstr>
      <vt:lpstr>'Credit Note Approval Form'!Print_Area</vt:lpstr>
      <vt:lpstr>'Credit Note Approval Form'!Print_Titles</vt:lpstr>
      <vt:lpstr>Spirits</vt:lpstr>
      <vt:lpstr>Squash</vt:lpstr>
      <vt:lpstr>Water</vt:lpstr>
      <vt:lpstr>Wines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Patel</dc:creator>
  <cp:lastModifiedBy>Chikumbutso Thomas</cp:lastModifiedBy>
  <cp:lastPrinted>2021-09-02T14:40:15Z</cp:lastPrinted>
  <dcterms:created xsi:type="dcterms:W3CDTF">2021-02-04T08:05:28Z</dcterms:created>
  <dcterms:modified xsi:type="dcterms:W3CDTF">2021-09-16T10:49:29Z</dcterms:modified>
</cp:coreProperties>
</file>