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215" yWindow="465" windowWidth="19320" windowHeight="11640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0" i="1"/>
  <c r="Y50"/>
  <c r="I16"/>
  <c r="M31"/>
  <c r="N31"/>
  <c r="J16"/>
  <c r="Q16"/>
  <c r="R16"/>
  <c r="G16"/>
  <c r="R4"/>
  <c r="V50" l="1"/>
  <c r="V51"/>
  <c r="V52"/>
  <c r="V53"/>
  <c r="V54"/>
  <c r="V55"/>
  <c r="V56"/>
  <c r="V57"/>
  <c r="V49"/>
  <c r="AB45"/>
  <c r="AB46"/>
  <c r="AA46"/>
  <c r="AA45"/>
  <c r="Z46"/>
  <c r="W46"/>
  <c r="AB29"/>
  <c r="Y30"/>
  <c r="X30"/>
  <c r="W29"/>
  <c r="V30"/>
  <c r="V29"/>
  <c r="V9"/>
  <c r="W9"/>
  <c r="X9"/>
  <c r="Y9"/>
  <c r="Z9"/>
  <c r="AA9"/>
  <c r="AB9"/>
  <c r="AC9"/>
  <c r="V10"/>
  <c r="W10"/>
  <c r="X10"/>
  <c r="Y10"/>
  <c r="Z10"/>
  <c r="AA10"/>
  <c r="AB10"/>
  <c r="AC10"/>
  <c r="V11"/>
  <c r="W11"/>
  <c r="X11"/>
  <c r="Y11"/>
  <c r="Z11"/>
  <c r="AA11"/>
  <c r="AB11"/>
  <c r="AC11"/>
  <c r="V12"/>
  <c r="W12"/>
  <c r="X12"/>
  <c r="Y12"/>
  <c r="Z12"/>
  <c r="AA12"/>
  <c r="AB12"/>
  <c r="AC12"/>
  <c r="V13"/>
  <c r="W13"/>
  <c r="X13"/>
  <c r="Y13"/>
  <c r="Z13"/>
  <c r="AA13"/>
  <c r="AB13"/>
  <c r="AC13"/>
  <c r="V14"/>
  <c r="W14"/>
  <c r="X14"/>
  <c r="Y14"/>
  <c r="Z14"/>
  <c r="AA14"/>
  <c r="AB14"/>
  <c r="AC14"/>
  <c r="V15"/>
  <c r="W15"/>
  <c r="X15"/>
  <c r="Y15"/>
  <c r="Z15"/>
  <c r="AA15"/>
  <c r="AB15"/>
  <c r="AC15"/>
  <c r="V16"/>
  <c r="W16"/>
  <c r="X16"/>
  <c r="Y16"/>
  <c r="Z16"/>
  <c r="AA16"/>
  <c r="AB16"/>
  <c r="AC16"/>
  <c r="V17"/>
  <c r="W17"/>
  <c r="X17"/>
  <c r="Y17"/>
  <c r="Z17"/>
  <c r="AA17"/>
  <c r="AB17"/>
  <c r="AC17"/>
  <c r="V18"/>
  <c r="W18"/>
  <c r="X18"/>
  <c r="Y18"/>
  <c r="Z18"/>
  <c r="AA18"/>
  <c r="AB18"/>
  <c r="AC18"/>
  <c r="V19"/>
  <c r="W19"/>
  <c r="X19"/>
  <c r="Y19"/>
  <c r="Z19"/>
  <c r="AA19"/>
  <c r="AB19"/>
  <c r="AC19"/>
  <c r="V20"/>
  <c r="W20"/>
  <c r="X20"/>
  <c r="Y20"/>
  <c r="Z20"/>
  <c r="AA20"/>
  <c r="AB20"/>
  <c r="AC20"/>
  <c r="V21"/>
  <c r="W21"/>
  <c r="X21"/>
  <c r="Y21"/>
  <c r="Z21"/>
  <c r="AA21"/>
  <c r="AB21"/>
  <c r="AC21"/>
  <c r="V22"/>
  <c r="W22"/>
  <c r="X22"/>
  <c r="Y22"/>
  <c r="Z22"/>
  <c r="AA22"/>
  <c r="AB22"/>
  <c r="AC22"/>
  <c r="V23"/>
  <c r="W23"/>
  <c r="X23"/>
  <c r="Y23"/>
  <c r="Z23"/>
  <c r="AA23"/>
  <c r="AB23"/>
  <c r="AC23"/>
  <c r="V24"/>
  <c r="W24"/>
  <c r="X24"/>
  <c r="Y24"/>
  <c r="Z24"/>
  <c r="AA24"/>
  <c r="AB24"/>
  <c r="AC24"/>
  <c r="V25"/>
  <c r="W25"/>
  <c r="X25"/>
  <c r="Y25"/>
  <c r="Z25"/>
  <c r="AA25"/>
  <c r="AB25"/>
  <c r="AC25"/>
  <c r="V26"/>
  <c r="W26"/>
  <c r="X26"/>
  <c r="Y26"/>
  <c r="Z26"/>
  <c r="AA26"/>
  <c r="AB26"/>
  <c r="AC26"/>
  <c r="U26"/>
  <c r="U25"/>
  <c r="U24"/>
  <c r="U23"/>
  <c r="U22"/>
  <c r="U21"/>
  <c r="U20"/>
  <c r="U19"/>
  <c r="U18"/>
  <c r="U17"/>
  <c r="V6"/>
  <c r="U16"/>
  <c r="U15"/>
  <c r="U14"/>
  <c r="U13"/>
  <c r="U12"/>
  <c r="U11"/>
  <c r="U10"/>
  <c r="U9"/>
  <c r="Z29"/>
  <c r="Z31"/>
  <c r="U47"/>
  <c r="T50"/>
  <c r="U55"/>
  <c r="K5"/>
  <c r="K6"/>
  <c r="K7"/>
  <c r="K8"/>
  <c r="K9"/>
  <c r="K10"/>
  <c r="K11"/>
  <c r="K12"/>
  <c r="K13"/>
  <c r="K14"/>
  <c r="K15"/>
  <c r="K16"/>
  <c r="K4"/>
  <c r="J8"/>
  <c r="N8"/>
  <c r="N4"/>
  <c r="T2"/>
  <c r="V2"/>
  <c r="M16"/>
  <c r="N16"/>
  <c r="T59"/>
  <c r="U59"/>
  <c r="E16"/>
  <c r="N6"/>
  <c r="R6"/>
  <c r="T49"/>
  <c r="U49"/>
  <c r="R5"/>
  <c r="R7"/>
  <c r="R8"/>
  <c r="R9"/>
  <c r="R10"/>
  <c r="R11"/>
  <c r="R12"/>
  <c r="R13"/>
  <c r="R14"/>
  <c r="R15"/>
  <c r="N7"/>
  <c r="N10"/>
  <c r="T53"/>
  <c r="U50"/>
  <c r="T51"/>
  <c r="U51"/>
  <c r="N9"/>
  <c r="T52"/>
  <c r="U52"/>
  <c r="U53"/>
  <c r="N11"/>
  <c r="T54"/>
  <c r="U54"/>
  <c r="N12"/>
  <c r="T55"/>
  <c r="N13"/>
  <c r="T56"/>
  <c r="U56"/>
  <c r="N14"/>
  <c r="T57"/>
  <c r="U57"/>
  <c r="U30"/>
  <c r="W30"/>
  <c r="Z30"/>
  <c r="AA30"/>
  <c r="AB30"/>
  <c r="AC30"/>
  <c r="U31"/>
  <c r="V31"/>
  <c r="W31"/>
  <c r="X31"/>
  <c r="Y31"/>
  <c r="AA31"/>
  <c r="AB31"/>
  <c r="AC31"/>
  <c r="U32"/>
  <c r="V32"/>
  <c r="W32"/>
  <c r="X32"/>
  <c r="Y32"/>
  <c r="Z32"/>
  <c r="AA32"/>
  <c r="AB32"/>
  <c r="AC32"/>
  <c r="U33"/>
  <c r="V33"/>
  <c r="W33"/>
  <c r="X33"/>
  <c r="Y33"/>
  <c r="Z33"/>
  <c r="AA33"/>
  <c r="AB33"/>
  <c r="AC33"/>
  <c r="U34"/>
  <c r="V34"/>
  <c r="W34"/>
  <c r="X34"/>
  <c r="Y34"/>
  <c r="Z34"/>
  <c r="AA34"/>
  <c r="AB34"/>
  <c r="AC34"/>
  <c r="U35"/>
  <c r="V35"/>
  <c r="W35"/>
  <c r="X35"/>
  <c r="Y35"/>
  <c r="Z35"/>
  <c r="AA35"/>
  <c r="AB35"/>
  <c r="AC35"/>
  <c r="U36"/>
  <c r="V36"/>
  <c r="W36"/>
  <c r="X36"/>
  <c r="Y36"/>
  <c r="Z36"/>
  <c r="AA36"/>
  <c r="AB36"/>
  <c r="AC36"/>
  <c r="U37"/>
  <c r="V37"/>
  <c r="W37"/>
  <c r="X37"/>
  <c r="Y37"/>
  <c r="Z37"/>
  <c r="AA37"/>
  <c r="AB37"/>
  <c r="AC37"/>
  <c r="U38"/>
  <c r="V38"/>
  <c r="W38"/>
  <c r="X38"/>
  <c r="Y38"/>
  <c r="Z38"/>
  <c r="AA38"/>
  <c r="AB38"/>
  <c r="AC38"/>
  <c r="U39"/>
  <c r="V39"/>
  <c r="W39"/>
  <c r="X39"/>
  <c r="Y39"/>
  <c r="Z39"/>
  <c r="AA39"/>
  <c r="AB39"/>
  <c r="AC39"/>
  <c r="U40"/>
  <c r="V40"/>
  <c r="W40"/>
  <c r="X40"/>
  <c r="Y40"/>
  <c r="Z40"/>
  <c r="AA40"/>
  <c r="AB40"/>
  <c r="AC40"/>
  <c r="U41"/>
  <c r="V41"/>
  <c r="W41"/>
  <c r="X41"/>
  <c r="Y41"/>
  <c r="Z41"/>
  <c r="AA41"/>
  <c r="AB41"/>
  <c r="AC41"/>
  <c r="U42"/>
  <c r="V42"/>
  <c r="W42"/>
  <c r="X42"/>
  <c r="Y42"/>
  <c r="Z42"/>
  <c r="AA42"/>
  <c r="AB42"/>
  <c r="AC42"/>
  <c r="U43"/>
  <c r="V43"/>
  <c r="W43"/>
  <c r="X43"/>
  <c r="Y43"/>
  <c r="Z43"/>
  <c r="AA43"/>
  <c r="AB43"/>
  <c r="AC43"/>
  <c r="U44"/>
  <c r="V44"/>
  <c r="W44"/>
  <c r="X44"/>
  <c r="Y44"/>
  <c r="Z44"/>
  <c r="AA44"/>
  <c r="AB44"/>
  <c r="AC44"/>
  <c r="U45"/>
  <c r="V45"/>
  <c r="W45"/>
  <c r="X45"/>
  <c r="Y45"/>
  <c r="Z45"/>
  <c r="AC45"/>
  <c r="U46"/>
  <c r="V46"/>
  <c r="X46"/>
  <c r="Y46"/>
  <c r="AC46"/>
  <c r="AC29"/>
  <c r="X29"/>
  <c r="Y29"/>
  <c r="AA29"/>
  <c r="U29"/>
  <c r="V5"/>
  <c r="W5"/>
  <c r="X5"/>
  <c r="Y5"/>
  <c r="Z5"/>
  <c r="AA5"/>
  <c r="AB5"/>
  <c r="AC5"/>
  <c r="U5"/>
  <c r="E6"/>
  <c r="I4"/>
  <c r="J4"/>
  <c r="M4"/>
  <c r="M19"/>
  <c r="N19"/>
  <c r="B6"/>
  <c r="Q4"/>
  <c r="I8"/>
  <c r="M8"/>
  <c r="M23"/>
  <c r="N23"/>
  <c r="Q8"/>
  <c r="I6"/>
  <c r="M21"/>
  <c r="N21"/>
  <c r="I7"/>
  <c r="M22"/>
  <c r="N22"/>
  <c r="I9"/>
  <c r="M24"/>
  <c r="N24"/>
  <c r="I10"/>
  <c r="M25"/>
  <c r="N25"/>
  <c r="I11"/>
  <c r="M26"/>
  <c r="N26"/>
  <c r="I12"/>
  <c r="M27"/>
  <c r="N27"/>
  <c r="I13"/>
  <c r="M28"/>
  <c r="N28"/>
  <c r="I14"/>
  <c r="M29"/>
  <c r="N29"/>
  <c r="I5"/>
  <c r="M20"/>
  <c r="N20"/>
  <c r="I15"/>
  <c r="M30"/>
  <c r="N30"/>
  <c r="AB6"/>
  <c r="AC6"/>
  <c r="W6"/>
  <c r="X6"/>
  <c r="Y6"/>
  <c r="Z6"/>
  <c r="AA6"/>
  <c r="W2"/>
  <c r="J6"/>
  <c r="Q6"/>
  <c r="J7"/>
  <c r="Q7"/>
  <c r="J9"/>
  <c r="Q9"/>
  <c r="J10"/>
  <c r="Q10"/>
  <c r="J11"/>
  <c r="Q11"/>
  <c r="J12"/>
  <c r="Q12"/>
  <c r="J13"/>
  <c r="Q13"/>
  <c r="J14"/>
  <c r="Q14"/>
  <c r="J15"/>
  <c r="Q15"/>
  <c r="J5"/>
  <c r="Q5"/>
  <c r="B22"/>
  <c r="E7"/>
  <c r="E9"/>
  <c r="E10"/>
  <c r="K19"/>
  <c r="L19"/>
  <c r="E11"/>
  <c r="K34"/>
  <c r="L34"/>
  <c r="E12"/>
  <c r="K49"/>
  <c r="L49"/>
  <c r="P4"/>
  <c r="K54"/>
  <c r="I53"/>
  <c r="K40"/>
  <c r="I40"/>
  <c r="J40"/>
  <c r="K24"/>
  <c r="L24"/>
  <c r="I20"/>
  <c r="I19"/>
  <c r="B9"/>
  <c r="B10"/>
  <c r="I21"/>
  <c r="J21"/>
  <c r="B11"/>
  <c r="I36"/>
  <c r="J36"/>
  <c r="B12"/>
  <c r="I51"/>
  <c r="J51"/>
  <c r="O6"/>
  <c r="B13"/>
  <c r="J20"/>
  <c r="I35"/>
  <c r="J35"/>
  <c r="I50"/>
  <c r="J50"/>
  <c r="O5"/>
  <c r="J19"/>
  <c r="I34"/>
  <c r="J34"/>
  <c r="I49"/>
  <c r="J49"/>
  <c r="O4"/>
  <c r="M5"/>
  <c r="N5"/>
  <c r="K21"/>
  <c r="L21"/>
  <c r="K36"/>
  <c r="L36"/>
  <c r="K51"/>
  <c r="L51"/>
  <c r="P6"/>
  <c r="L5"/>
  <c r="L6"/>
  <c r="L7"/>
  <c r="L8"/>
  <c r="L9"/>
  <c r="L10"/>
  <c r="L11"/>
  <c r="L12"/>
  <c r="L13"/>
  <c r="L14"/>
  <c r="L15"/>
  <c r="L16"/>
  <c r="L4"/>
  <c r="K61"/>
  <c r="L61"/>
  <c r="I61"/>
  <c r="J61"/>
  <c r="K60"/>
  <c r="L60"/>
  <c r="I60"/>
  <c r="J60"/>
  <c r="K59"/>
  <c r="L59"/>
  <c r="I59"/>
  <c r="J59"/>
  <c r="K58"/>
  <c r="L58"/>
  <c r="I58"/>
  <c r="J58"/>
  <c r="K57"/>
  <c r="L57"/>
  <c r="I57"/>
  <c r="J57"/>
  <c r="K56"/>
  <c r="L56"/>
  <c r="I56"/>
  <c r="J56"/>
  <c r="K55"/>
  <c r="L55"/>
  <c r="I55"/>
  <c r="J55"/>
  <c r="L54"/>
  <c r="I54"/>
  <c r="J54"/>
  <c r="K53"/>
  <c r="L53"/>
  <c r="J53"/>
  <c r="K52"/>
  <c r="L52"/>
  <c r="I52"/>
  <c r="J52"/>
  <c r="K50"/>
  <c r="L50"/>
  <c r="K46"/>
  <c r="L46"/>
  <c r="I46"/>
  <c r="J46"/>
  <c r="K45"/>
  <c r="L45"/>
  <c r="I45"/>
  <c r="J45"/>
  <c r="K44"/>
  <c r="L44"/>
  <c r="I44"/>
  <c r="J44"/>
  <c r="K43"/>
  <c r="L43"/>
  <c r="I43"/>
  <c r="J43"/>
  <c r="K42"/>
  <c r="L42"/>
  <c r="I42"/>
  <c r="J42"/>
  <c r="K41"/>
  <c r="L41"/>
  <c r="I41"/>
  <c r="J41"/>
  <c r="L40"/>
  <c r="K39"/>
  <c r="L39"/>
  <c r="I39"/>
  <c r="J39"/>
  <c r="K38"/>
  <c r="L38"/>
  <c r="I38"/>
  <c r="J38"/>
  <c r="K37"/>
  <c r="L37"/>
  <c r="I37"/>
  <c r="J37"/>
  <c r="F31"/>
  <c r="F37"/>
  <c r="E37"/>
  <c r="F30"/>
  <c r="F36"/>
  <c r="E36"/>
  <c r="K35"/>
  <c r="L35"/>
  <c r="F35"/>
  <c r="E35"/>
  <c r="F34"/>
  <c r="E34"/>
  <c r="F33"/>
  <c r="E33"/>
  <c r="F32"/>
  <c r="E32"/>
  <c r="K31"/>
  <c r="L31"/>
  <c r="I31"/>
  <c r="J31"/>
  <c r="E31"/>
  <c r="K30"/>
  <c r="L30"/>
  <c r="I30"/>
  <c r="J30"/>
  <c r="E30"/>
  <c r="K29"/>
  <c r="L29"/>
  <c r="I29"/>
  <c r="J29"/>
  <c r="K28"/>
  <c r="L28"/>
  <c r="I28"/>
  <c r="J28"/>
  <c r="K27"/>
  <c r="L27"/>
  <c r="I27"/>
  <c r="J27"/>
  <c r="K26"/>
  <c r="L26"/>
  <c r="I26"/>
  <c r="J26"/>
  <c r="K25"/>
  <c r="L25"/>
  <c r="I25"/>
  <c r="J25"/>
  <c r="I24"/>
  <c r="J24"/>
  <c r="K23"/>
  <c r="L23"/>
  <c r="I23"/>
  <c r="J23"/>
  <c r="K22"/>
  <c r="L22"/>
  <c r="I22"/>
  <c r="J22"/>
  <c r="K20"/>
  <c r="L20"/>
  <c r="B7"/>
  <c r="M6"/>
  <c r="B5"/>
  <c r="B30"/>
  <c r="B31"/>
  <c r="B32"/>
  <c r="B33"/>
  <c r="M13"/>
  <c r="M14"/>
  <c r="M15"/>
  <c r="N15"/>
  <c r="M7"/>
  <c r="M9"/>
  <c r="M10"/>
  <c r="M11"/>
  <c r="M12"/>
  <c r="O16"/>
  <c r="P15"/>
  <c r="P14"/>
  <c r="P13"/>
  <c r="O12"/>
  <c r="O11"/>
  <c r="O10"/>
  <c r="O9"/>
  <c r="O8"/>
  <c r="O7"/>
  <c r="B29"/>
  <c r="P16"/>
  <c r="O15"/>
  <c r="O14"/>
  <c r="O13"/>
  <c r="P12"/>
  <c r="P11"/>
  <c r="P10"/>
  <c r="P9"/>
  <c r="P8"/>
  <c r="P7"/>
  <c r="P5"/>
</calcChain>
</file>

<file path=xl/sharedStrings.xml><?xml version="1.0" encoding="utf-8"?>
<sst xmlns="http://schemas.openxmlformats.org/spreadsheetml/2006/main" count="130" uniqueCount="94">
  <si>
    <t>子午圈</t>
  </si>
  <si>
    <t>卯酉圈</t>
  </si>
  <si>
    <t>赤道起</t>
  </si>
  <si>
    <t>赤道起经度1°</t>
  </si>
  <si>
    <t>1975国际椭球参数</t>
  </si>
  <si>
    <t>纬度</t>
  </si>
  <si>
    <t>曲率半径</t>
  </si>
  <si>
    <t>纬圈半径</t>
  </si>
  <si>
    <t>经线弧长</t>
  </si>
  <si>
    <t>椭球面梯形面积</t>
  </si>
  <si>
    <t xml:space="preserve">a </t>
  </si>
  <si>
    <t>B(°)</t>
  </si>
  <si>
    <t>B(rad)</t>
  </si>
  <si>
    <t>sinB</t>
  </si>
  <si>
    <t>cosB</t>
  </si>
  <si>
    <t>M</t>
  </si>
  <si>
    <t>N</t>
  </si>
  <si>
    <t>r</t>
  </si>
  <si>
    <t>Sm</t>
  </si>
  <si>
    <t>S</t>
  </si>
  <si>
    <t>b</t>
  </si>
  <si>
    <t>α</t>
  </si>
  <si>
    <t>e1</t>
  </si>
  <si>
    <r>
      <rPr>
        <sz val="11"/>
        <color theme="1"/>
        <rFont val="微软雅黑"/>
        <family val="3"/>
        <charset val="134"/>
      </rPr>
      <t>e1^</t>
    </r>
    <r>
      <rPr>
        <sz val="11"/>
        <color theme="1"/>
        <rFont val="微软雅黑"/>
        <family val="3"/>
        <charset val="134"/>
      </rPr>
      <t>2</t>
    </r>
  </si>
  <si>
    <t>e2</t>
  </si>
  <si>
    <t>1-e^2</t>
  </si>
  <si>
    <t>系数1</t>
  </si>
  <si>
    <t>系数2</t>
  </si>
  <si>
    <t>A</t>
  </si>
  <si>
    <t>A'</t>
  </si>
  <si>
    <t>B</t>
  </si>
  <si>
    <t>B'</t>
  </si>
  <si>
    <t>C</t>
  </si>
  <si>
    <t>C'</t>
  </si>
  <si>
    <t>D</t>
  </si>
  <si>
    <t>D'</t>
  </si>
  <si>
    <t>p°</t>
  </si>
  <si>
    <t>2B(rad)</t>
  </si>
  <si>
    <t>sin2B</t>
  </si>
  <si>
    <t>3B(rad)</t>
  </si>
  <si>
    <t>sin3B</t>
  </si>
  <si>
    <t>Sn</t>
  </si>
  <si>
    <t>纬度32°30’29”N的纬圈上，从首子午线至119°30 ’ E的纬线弧长</t>
  </si>
  <si>
    <t>椭球面上纬度自32°N至35°N，经度115°E至120°E之间的一椭球面梯形的面积</t>
  </si>
  <si>
    <t>T</t>
  </si>
  <si>
    <t>sin</t>
  </si>
  <si>
    <t>rad</t>
  </si>
  <si>
    <t>B1(35°)</t>
  </si>
  <si>
    <t>B2(32°)</t>
  </si>
  <si>
    <t>3B1</t>
  </si>
  <si>
    <t>3B2</t>
  </si>
  <si>
    <t>4B(rad)</t>
  </si>
  <si>
    <t>sin4B</t>
  </si>
  <si>
    <t>5B(rad)</t>
  </si>
  <si>
    <t>sin5B</t>
  </si>
  <si>
    <t>5B1</t>
  </si>
  <si>
    <t>5B2</t>
  </si>
  <si>
    <t>7B1</t>
  </si>
  <si>
    <t>7B2</t>
  </si>
  <si>
    <t>6B(rad)</t>
  </si>
  <si>
    <t>sin6B</t>
  </si>
  <si>
    <t>7B(rad)</t>
  </si>
  <si>
    <t>sin7B</t>
  </si>
  <si>
    <t>罗皓文 15303096 地图投影与地图设计 实习05</t>
    <phoneticPr fontId="3" type="noConversion"/>
  </si>
  <si>
    <t>中国全图经纬网格</t>
  </si>
  <si>
    <t>65º--145ºE</t>
    <phoneticPr fontId="3" type="noConversion"/>
  </si>
  <si>
    <t>15º--55ºN</t>
    <phoneticPr fontId="3" type="noConversion"/>
  </si>
  <si>
    <t>1：600万</t>
  </si>
  <si>
    <t>中经105</t>
    <rPh sb="0" eb="1">
      <t>zhong'jing</t>
    </rPh>
    <phoneticPr fontId="3" type="noConversion"/>
  </si>
  <si>
    <t>B1=25º,B2=47º</t>
  </si>
  <si>
    <t>符号</t>
    <rPh sb="0" eb="1">
      <t>fu'hao</t>
    </rPh>
    <phoneticPr fontId="3" type="noConversion"/>
  </si>
  <si>
    <t>U</t>
    <phoneticPr fontId="3" type="noConversion"/>
  </si>
  <si>
    <t>45+B/2</t>
    <phoneticPr fontId="3" type="noConversion"/>
  </si>
  <si>
    <t>tan</t>
    <phoneticPr fontId="3" type="noConversion"/>
  </si>
  <si>
    <t>常数Σ</t>
    <rPh sb="0" eb="1">
      <t>chang'shu</t>
    </rPh>
    <phoneticPr fontId="3" type="noConversion"/>
  </si>
  <si>
    <t>常数K</t>
    <rPh sb="0" eb="1">
      <t>c'shu</t>
    </rPh>
    <phoneticPr fontId="3" type="noConversion"/>
  </si>
  <si>
    <t>λ</t>
  </si>
  <si>
    <t>δλ</t>
    <phoneticPr fontId="3" type="noConversion"/>
  </si>
  <si>
    <t>φ</t>
  </si>
  <si>
    <t>x</t>
    <phoneticPr fontId="3" type="noConversion"/>
  </si>
  <si>
    <t>y</t>
    <phoneticPr fontId="3" type="noConversion"/>
  </si>
  <si>
    <t>δ</t>
    <phoneticPr fontId="3" type="noConversion"/>
  </si>
  <si>
    <t>p</t>
    <phoneticPr fontId="3" type="noConversion"/>
  </si>
  <si>
    <t>极径</t>
    <rPh sb="0" eb="1">
      <t>ji'xian</t>
    </rPh>
    <phoneticPr fontId="3" type="noConversion"/>
  </si>
  <si>
    <t>y</t>
    <phoneticPr fontId="3" type="noConversion"/>
  </si>
  <si>
    <t>x</t>
    <phoneticPr fontId="3" type="noConversion"/>
  </si>
  <si>
    <t>y</t>
    <phoneticPr fontId="3" type="noConversion"/>
  </si>
  <si>
    <t>B</t>
    <phoneticPr fontId="3" type="noConversion"/>
  </si>
  <si>
    <t>m=n</t>
    <phoneticPr fontId="3" type="noConversion"/>
  </si>
  <si>
    <t>p</t>
    <phoneticPr fontId="3" type="noConversion"/>
  </si>
  <si>
    <t>w=0</t>
    <phoneticPr fontId="3" type="noConversion"/>
  </si>
  <si>
    <t>p</t>
    <phoneticPr fontId="3" type="noConversion"/>
  </si>
  <si>
    <t>ps</t>
    <phoneticPr fontId="3" type="noConversion"/>
  </si>
  <si>
    <t>p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</si>
</sst>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DengXian"/>
      <charset val="134"/>
      <scheme val="minor"/>
    </font>
    <font>
      <sz val="11"/>
      <color theme="1"/>
      <name val="微软雅黑"/>
      <family val="3"/>
      <charset val="134"/>
    </font>
    <font>
      <sz val="11"/>
      <color rgb="FFFF0000"/>
      <name val="微软雅黑"/>
      <family val="3"/>
      <charset val="134"/>
    </font>
    <font>
      <sz val="9"/>
      <name val="DengXian"/>
      <family val="3"/>
      <charset val="134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left" vertical="center" readingOrder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1"/>
  <sheetViews>
    <sheetView tabSelected="1" showRuler="0" topLeftCell="Q22" zoomScale="82" zoomScaleNormal="82" zoomScalePageLayoutView="70" workbookViewId="0">
      <selection activeCell="AA52" sqref="AA52"/>
    </sheetView>
  </sheetViews>
  <sheetFormatPr defaultColWidth="15.125" defaultRowHeight="16.5"/>
  <cols>
    <col min="1" max="16384" width="15.125" style="1"/>
  </cols>
  <sheetData>
    <row r="1" spans="1:29">
      <c r="A1" s="1" t="s">
        <v>63</v>
      </c>
      <c r="L1" s="2" t="s">
        <v>0</v>
      </c>
      <c r="M1" s="2" t="s">
        <v>1</v>
      </c>
      <c r="N1" s="2"/>
      <c r="O1" s="2" t="s">
        <v>2</v>
      </c>
      <c r="P1" s="2" t="s">
        <v>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</row>
    <row r="2" spans="1:29">
      <c r="A2" s="1" t="s">
        <v>4</v>
      </c>
      <c r="H2" s="1" t="s">
        <v>5</v>
      </c>
      <c r="I2" s="1" t="s">
        <v>5</v>
      </c>
      <c r="L2" s="2" t="s">
        <v>6</v>
      </c>
      <c r="M2" s="2" t="s">
        <v>6</v>
      </c>
      <c r="N2" s="2" t="s">
        <v>7</v>
      </c>
      <c r="O2" s="2" t="s">
        <v>8</v>
      </c>
      <c r="P2" s="2" t="s">
        <v>9</v>
      </c>
      <c r="Q2" s="1" t="s">
        <v>70</v>
      </c>
      <c r="R2" s="1" t="s">
        <v>83</v>
      </c>
      <c r="S2" s="1" t="s">
        <v>74</v>
      </c>
      <c r="T2" s="1">
        <f>(LOG10(N8)-LOG10(N4))/(LOG10(Q4)-(LOG10(Q8)))</f>
        <v>0.5915298988612262</v>
      </c>
      <c r="U2" s="1" t="s">
        <v>75</v>
      </c>
      <c r="V2" s="1">
        <f>N4*POWER(Q4,T2)/T2</f>
        <v>12745438.947092379</v>
      </c>
      <c r="W2" s="1">
        <f>N8*POWER(Q8,T2)/T2</f>
        <v>12745438.94709239</v>
      </c>
    </row>
    <row r="3" spans="1:29">
      <c r="A3" s="1" t="s">
        <v>10</v>
      </c>
      <c r="B3" s="1">
        <v>6378140</v>
      </c>
      <c r="H3" s="1" t="s">
        <v>11</v>
      </c>
      <c r="I3" s="1" t="s">
        <v>12</v>
      </c>
      <c r="J3" s="1" t="s">
        <v>13</v>
      </c>
      <c r="K3" s="1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1" t="s">
        <v>71</v>
      </c>
      <c r="R3" s="1" t="s">
        <v>82</v>
      </c>
    </row>
    <row r="4" spans="1:29">
      <c r="A4" s="1" t="s">
        <v>20</v>
      </c>
      <c r="B4" s="1">
        <v>6356755.29</v>
      </c>
      <c r="H4" s="1">
        <v>47</v>
      </c>
      <c r="I4" s="1">
        <f>RADIANS(H4)</f>
        <v>0.82030474843733492</v>
      </c>
      <c r="J4" s="1">
        <f>SIN(I4)</f>
        <v>0.73135370161917046</v>
      </c>
      <c r="K4" s="1">
        <f>COS(I4)</f>
        <v>0.68199836006249848</v>
      </c>
      <c r="L4" s="2">
        <f>B$3*E$7/(1-E$6*J4*J4)^(3/2)</f>
        <v>6369623.0133597944</v>
      </c>
      <c r="M4" s="2">
        <f>B$3/SQRT(1-E$6*J4*J4)</f>
        <v>6389589.7986266883</v>
      </c>
      <c r="N4" s="4">
        <f>M4*K4</f>
        <v>4357689.7641354715</v>
      </c>
      <c r="O4" s="2">
        <f>B$3*E$7*(B$9*H4/B$13-B$10*J19/2+B$11*J34/4+B$12*J49/6)</f>
        <v>5207249.3991447613</v>
      </c>
      <c r="P4" s="2">
        <f>B$3*B$3*E$7*(E$9*J4-E$10*L19+E$11*L34-E$12*L49)</f>
        <v>29623561617133.055</v>
      </c>
      <c r="Q4" s="3">
        <f>N19*POWER(((1-$B$6*J4)/(1+$B$6*J4)),$B$6/2)</f>
        <v>2.5262343523972803</v>
      </c>
      <c r="R4" s="1">
        <f>$V$2/POWER(Q4,$T$2)</f>
        <v>7366812.3496793732</v>
      </c>
      <c r="T4" s="5" t="s">
        <v>76</v>
      </c>
      <c r="U4" s="1">
        <v>105</v>
      </c>
      <c r="V4" s="1">
        <v>110</v>
      </c>
      <c r="W4" s="1">
        <v>115</v>
      </c>
      <c r="X4" s="1">
        <v>120</v>
      </c>
      <c r="Y4" s="1">
        <v>125</v>
      </c>
      <c r="Z4" s="1">
        <v>130</v>
      </c>
      <c r="AA4" s="1">
        <v>135</v>
      </c>
      <c r="AB4" s="1">
        <v>140</v>
      </c>
      <c r="AC4" s="1">
        <v>145</v>
      </c>
    </row>
    <row r="5" spans="1:29">
      <c r="A5" s="1" t="s">
        <v>21</v>
      </c>
      <c r="B5" s="1">
        <f>(B3-B4)/B3</f>
        <v>3.3528128890240672E-3</v>
      </c>
      <c r="H5" s="1">
        <v>5</v>
      </c>
      <c r="I5" s="1">
        <f t="shared" ref="I5:I16" si="0">RADIANS(H5)</f>
        <v>8.7266462599716474E-2</v>
      </c>
      <c r="J5" s="1">
        <f t="shared" ref="J5:J16" si="1">SIN(I5)</f>
        <v>8.7155742747658166E-2</v>
      </c>
      <c r="K5" s="1">
        <f t="shared" ref="K5:K16" si="2">COS(I5)</f>
        <v>0.99619469809174555</v>
      </c>
      <c r="L5" s="2">
        <f t="shared" ref="L5:L16" si="3">B$3*E$7/(1-E$6*J5*J5)^(3/2)</f>
        <v>6335925.5585372224</v>
      </c>
      <c r="M5" s="2">
        <f>B$3/SQRT(1-E$6*J5*J5)</f>
        <v>6378302.1747662062</v>
      </c>
      <c r="N5" s="2">
        <f>M5*K5</f>
        <v>6354030.8093291447</v>
      </c>
      <c r="O5" s="2">
        <f>B$3*E$7*(B$9*H5/B$13-B$10*J20/2+B$11*J35/4+B$12*J50/6)</f>
        <v>552885.73030816333</v>
      </c>
      <c r="P5" s="2">
        <f>B$3*B$3*E$7*(E$9*J5-E$10*L20+E$11*L35-E$12*L50)</f>
        <v>3521938093970.6284</v>
      </c>
      <c r="Q5" s="1">
        <f>N20*POWER(((1-$B$6*J5)/(1+$B$6*J5)),$B$6/2)</f>
        <v>1.0906719476360105</v>
      </c>
      <c r="R5" s="1">
        <f t="shared" ref="R5:R16" si="4">$V$2/POWER(Q5,$T$2)</f>
        <v>12107586.607376279</v>
      </c>
      <c r="S5" s="6"/>
      <c r="T5" s="1" t="s">
        <v>77</v>
      </c>
      <c r="U5" s="1">
        <f>RADIANS(U4-105)</f>
        <v>0</v>
      </c>
      <c r="V5" s="1">
        <f t="shared" ref="V5:AC5" si="5">RADIANS(V4-105)</f>
        <v>8.7266462599716474E-2</v>
      </c>
      <c r="W5" s="1">
        <f t="shared" si="5"/>
        <v>0.17453292519943295</v>
      </c>
      <c r="X5" s="1">
        <f t="shared" si="5"/>
        <v>0.26179938779914941</v>
      </c>
      <c r="Y5" s="1">
        <f t="shared" si="5"/>
        <v>0.3490658503988659</v>
      </c>
      <c r="Z5" s="1">
        <f t="shared" si="5"/>
        <v>0.43633231299858238</v>
      </c>
      <c r="AA5" s="1">
        <f t="shared" si="5"/>
        <v>0.52359877559829882</v>
      </c>
      <c r="AB5" s="1">
        <f t="shared" si="5"/>
        <v>0.6108652381980153</v>
      </c>
      <c r="AC5" s="1">
        <f t="shared" si="5"/>
        <v>0.69813170079773179</v>
      </c>
    </row>
    <row r="6" spans="1:29">
      <c r="A6" s="1" t="s">
        <v>22</v>
      </c>
      <c r="B6" s="1">
        <f>SQRT(E6)</f>
        <v>8.181921793673741E-2</v>
      </c>
      <c r="D6" s="1" t="s">
        <v>23</v>
      </c>
      <c r="E6" s="1">
        <f>(B3*B3-B4*B4)/(B3*B3)</f>
        <v>6.6943844237793331E-3</v>
      </c>
      <c r="H6" s="1">
        <v>15</v>
      </c>
      <c r="I6" s="1">
        <f t="shared" si="0"/>
        <v>0.26179938779914941</v>
      </c>
      <c r="J6" s="1">
        <f t="shared" si="1"/>
        <v>0.25881904510252074</v>
      </c>
      <c r="K6" s="1">
        <f t="shared" si="2"/>
        <v>0.96592582628906831</v>
      </c>
      <c r="L6" s="2">
        <f t="shared" si="3"/>
        <v>6339706.2554944716</v>
      </c>
      <c r="M6" s="2">
        <f t="shared" ref="M6:M16" si="6">B$3/SQRT(1-E$6*J6*J6)</f>
        <v>6379570.5836496912</v>
      </c>
      <c r="N6" s="2">
        <f t="shared" ref="N6:N15" si="7">M6*K6</f>
        <v>6162191.9873812618</v>
      </c>
      <c r="O6" s="2">
        <f>B$3*E$7*(B$9*I6-B$10*J21/2+B$11*J36/4+B$12*J51/6)</f>
        <v>1658990.4058710956</v>
      </c>
      <c r="P6" s="2">
        <f>B$3*B$3*E$7*(E$9*J6-E$10*L21+E$11*L36-E$12*L51)</f>
        <v>10461575318947.168</v>
      </c>
      <c r="Q6" s="1">
        <f t="shared" ref="Q6:Q16" si="8">N21*POWER(((1-$B$6*J6)/(1+$B$6*J6)),$B$6/2)</f>
        <v>1.300968978003312</v>
      </c>
      <c r="R6" s="4">
        <f t="shared" si="4"/>
        <v>10908435.926377304</v>
      </c>
      <c r="T6" s="1" t="s">
        <v>81</v>
      </c>
      <c r="U6" s="1">
        <v>0</v>
      </c>
      <c r="V6" s="1">
        <f>$T$2*V5</f>
        <v>5.1620721795587264E-2</v>
      </c>
      <c r="W6" s="1">
        <f t="shared" ref="W6:AC6" si="9">$T$2*W5</f>
        <v>0.10324144359117453</v>
      </c>
      <c r="X6" s="1">
        <f t="shared" si="9"/>
        <v>0.15486216538676179</v>
      </c>
      <c r="Y6" s="1">
        <f t="shared" si="9"/>
        <v>0.20648288718234906</v>
      </c>
      <c r="Z6" s="1">
        <f t="shared" si="9"/>
        <v>0.25810360897793633</v>
      </c>
      <c r="AA6" s="1">
        <f t="shared" si="9"/>
        <v>0.30972433077352357</v>
      </c>
      <c r="AB6" s="1">
        <f t="shared" si="9"/>
        <v>0.36134505256911087</v>
      </c>
      <c r="AC6" s="1">
        <f t="shared" si="9"/>
        <v>0.41296577436469811</v>
      </c>
    </row>
    <row r="7" spans="1:29">
      <c r="A7" s="1" t="s">
        <v>24</v>
      </c>
      <c r="B7" s="1">
        <f>SQRT((B3*B3-B4*B4)/(B4*B4))</f>
        <v>8.2094465318173729E-2</v>
      </c>
      <c r="D7" s="1" t="s">
        <v>25</v>
      </c>
      <c r="E7" s="1">
        <f>1-E6</f>
        <v>0.99330561557622066</v>
      </c>
      <c r="H7" s="1">
        <v>20</v>
      </c>
      <c r="I7" s="1">
        <f t="shared" si="0"/>
        <v>0.3490658503988659</v>
      </c>
      <c r="J7" s="1">
        <f t="shared" si="1"/>
        <v>0.34202014332566871</v>
      </c>
      <c r="K7" s="1">
        <f t="shared" si="2"/>
        <v>0.93969262078590843</v>
      </c>
      <c r="L7" s="2">
        <f t="shared" si="3"/>
        <v>6342891.44252636</v>
      </c>
      <c r="M7" s="2">
        <f t="shared" si="6"/>
        <v>6380638.809976087</v>
      </c>
      <c r="N7" s="2">
        <f t="shared" si="7"/>
        <v>5995839.2056347094</v>
      </c>
      <c r="O7" s="2">
        <f t="shared" ref="O7:O15" si="10">B$3*E$7*(B$9*I7-B$10*J22/2+B$11*J37/4+B$12*J52/6)</f>
        <v>2212367.3229889292</v>
      </c>
      <c r="P7" s="2">
        <f t="shared" ref="P7:P16" si="11">B$3*B$3*E$7*(E$9*J7-E$10*L22+E$11*L37-E$12*L52)</f>
        <v>13827685731701.182</v>
      </c>
      <c r="Q7" s="1">
        <f t="shared" si="8"/>
        <v>1.4248809871767865</v>
      </c>
      <c r="R7" s="2">
        <f t="shared" si="4"/>
        <v>10336896.367439648</v>
      </c>
    </row>
    <row r="8" spans="1:29">
      <c r="A8" s="1" t="s">
        <v>26</v>
      </c>
      <c r="D8" s="1" t="s">
        <v>27</v>
      </c>
      <c r="H8" s="1">
        <v>25</v>
      </c>
      <c r="I8" s="1">
        <f t="shared" si="0"/>
        <v>0.43633231299858238</v>
      </c>
      <c r="J8" s="1">
        <f>SIN(I8)</f>
        <v>0.42261826174069944</v>
      </c>
      <c r="K8" s="1">
        <f t="shared" si="2"/>
        <v>0.90630778703664994</v>
      </c>
      <c r="L8" s="2">
        <f t="shared" si="3"/>
        <v>6346821.8232084354</v>
      </c>
      <c r="M8" s="2">
        <f t="shared" si="6"/>
        <v>6381956.46148072</v>
      </c>
      <c r="N8" s="4">
        <f t="shared" si="7"/>
        <v>5784016.83756884</v>
      </c>
      <c r="O8" s="2">
        <f t="shared" si="10"/>
        <v>2766055.4806103916</v>
      </c>
      <c r="P8" s="2">
        <f t="shared" si="11"/>
        <v>17090928567065.529</v>
      </c>
      <c r="Q8" s="3">
        <f t="shared" si="8"/>
        <v>1.5652491810877578</v>
      </c>
      <c r="R8" s="2">
        <f t="shared" si="4"/>
        <v>9778063.3721200526</v>
      </c>
      <c r="S8" s="6" t="s">
        <v>78</v>
      </c>
      <c r="T8" s="5" t="s">
        <v>76</v>
      </c>
      <c r="U8" s="1">
        <v>105</v>
      </c>
      <c r="V8" s="1">
        <v>110</v>
      </c>
      <c r="W8" s="1">
        <v>115</v>
      </c>
      <c r="X8" s="1">
        <v>120</v>
      </c>
      <c r="Y8" s="1">
        <v>125</v>
      </c>
      <c r="Z8" s="1">
        <v>130</v>
      </c>
      <c r="AA8" s="1">
        <v>135</v>
      </c>
      <c r="AB8" s="1">
        <v>140</v>
      </c>
      <c r="AC8" s="1">
        <v>145</v>
      </c>
    </row>
    <row r="9" spans="1:29">
      <c r="A9" s="1" t="s">
        <v>28</v>
      </c>
      <c r="B9" s="1">
        <f>1+3*E6/4+45*E6*E6/64+175*E6*E6*E6/256</f>
        <v>1.005052503795173</v>
      </c>
      <c r="D9" s="1" t="s">
        <v>29</v>
      </c>
      <c r="E9" s="1">
        <f>1+E6/2+3*E6*E6/8+5*E6*E6*E6/16</f>
        <v>1.0033640915077522</v>
      </c>
      <c r="H9" s="1">
        <v>30</v>
      </c>
      <c r="I9" s="1">
        <f t="shared" si="0"/>
        <v>0.52359877559829882</v>
      </c>
      <c r="J9" s="1">
        <f t="shared" si="1"/>
        <v>0.49999999999999994</v>
      </c>
      <c r="K9" s="1">
        <f t="shared" si="2"/>
        <v>0.86602540378443871</v>
      </c>
      <c r="L9" s="2">
        <f t="shared" si="3"/>
        <v>6351380.0733569106</v>
      </c>
      <c r="M9" s="2">
        <f t="shared" si="6"/>
        <v>6383483.9237473449</v>
      </c>
      <c r="N9" s="2">
        <f t="shared" si="7"/>
        <v>5528259.2426147675</v>
      </c>
      <c r="O9" s="2">
        <f t="shared" si="10"/>
        <v>3320114.9466644474</v>
      </c>
      <c r="P9" s="2">
        <f t="shared" si="11"/>
        <v>20226745329067.902</v>
      </c>
      <c r="Q9" s="1">
        <f t="shared" si="8"/>
        <v>1.7262597658051888</v>
      </c>
      <c r="R9" s="2">
        <f t="shared" si="4"/>
        <v>9227826.5114046205</v>
      </c>
      <c r="S9" s="1">
        <v>15</v>
      </c>
      <c r="T9" s="1" t="s">
        <v>85</v>
      </c>
      <c r="U9" s="1">
        <f>$R$6-$R$6*COS(U6)</f>
        <v>0</v>
      </c>
      <c r="V9" s="1">
        <f t="shared" ref="V9:AC9" si="12">$R$6-$R$6*COS(V6)</f>
        <v>14530.621634589508</v>
      </c>
      <c r="W9" s="1">
        <f t="shared" si="12"/>
        <v>58083.775403868407</v>
      </c>
      <c r="X9" s="1">
        <f t="shared" si="12"/>
        <v>130543.43103499524</v>
      </c>
      <c r="Y9" s="1">
        <f t="shared" si="12"/>
        <v>231716.54823386297</v>
      </c>
      <c r="Z9" s="1">
        <f t="shared" si="12"/>
        <v>361333.59096514061</v>
      </c>
      <c r="AA9" s="1">
        <f t="shared" si="12"/>
        <v>519049.24552519247</v>
      </c>
      <c r="AB9" s="1">
        <f t="shared" si="12"/>
        <v>704443.34049480967</v>
      </c>
      <c r="AC9" s="1">
        <f t="shared" si="12"/>
        <v>917021.96612093784</v>
      </c>
    </row>
    <row r="10" spans="1:29">
      <c r="A10" s="1" t="s">
        <v>30</v>
      </c>
      <c r="B10" s="1">
        <f>3*E6/4+15*E6*E6/16+525*E6*E6*E6/512</f>
        <v>5.0631098014810114E-3</v>
      </c>
      <c r="D10" s="1" t="s">
        <v>31</v>
      </c>
      <c r="E10" s="1">
        <f>E6/6+3*E6*E6/16+3*E6*E6*E6/16</f>
        <v>1.1241897604585605E-3</v>
      </c>
      <c r="H10" s="1">
        <v>35</v>
      </c>
      <c r="I10" s="1">
        <f t="shared" si="0"/>
        <v>0.6108652381980153</v>
      </c>
      <c r="J10" s="1">
        <f t="shared" si="1"/>
        <v>0.57357643635104605</v>
      </c>
      <c r="K10" s="1">
        <f t="shared" si="2"/>
        <v>0.8191520442889918</v>
      </c>
      <c r="L10" s="2">
        <f t="shared" si="3"/>
        <v>6356429.6712723626</v>
      </c>
      <c r="M10" s="2">
        <f t="shared" si="6"/>
        <v>6385175.1828685747</v>
      </c>
      <c r="N10" s="2">
        <f t="shared" si="7"/>
        <v>5230429.30419013</v>
      </c>
      <c r="O10" s="2">
        <f t="shared" si="10"/>
        <v>3874594.6881402298</v>
      </c>
      <c r="P10" s="2">
        <f t="shared" si="11"/>
        <v>23211368180789.863</v>
      </c>
      <c r="Q10" s="1">
        <f t="shared" si="8"/>
        <v>1.913614794463558</v>
      </c>
      <c r="R10" s="2">
        <f t="shared" si="4"/>
        <v>8682192.7118176054</v>
      </c>
      <c r="T10" s="1" t="s">
        <v>84</v>
      </c>
      <c r="U10" s="1">
        <f>$R$6*SIN(U6)</f>
        <v>0</v>
      </c>
      <c r="V10" s="1">
        <f t="shared" ref="V10:AC10" si="13">$R$6*SIN(V6)</f>
        <v>562851.28691119852</v>
      </c>
      <c r="W10" s="1">
        <f t="shared" si="13"/>
        <v>1124203.077626637</v>
      </c>
      <c r="X10" s="1">
        <f t="shared" si="13"/>
        <v>1682559.8707692458</v>
      </c>
      <c r="Y10" s="1">
        <f t="shared" si="13"/>
        <v>2236434.1439567124</v>
      </c>
      <c r="Z10" s="1">
        <f t="shared" si="13"/>
        <v>2784350.3167206473</v>
      </c>
      <c r="AA10" s="1">
        <f t="shared" si="13"/>
        <v>3324848.6816112124</v>
      </c>
      <c r="AB10" s="1">
        <f t="shared" si="13"/>
        <v>3856489.2930143261</v>
      </c>
      <c r="AC10" s="1">
        <f t="shared" si="13"/>
        <v>4377855.8033212181</v>
      </c>
    </row>
    <row r="11" spans="1:29">
      <c r="A11" s="1" t="s">
        <v>32</v>
      </c>
      <c r="B11" s="1">
        <f>15*E6*E6/64+105*E6*E6*E6/256</f>
        <v>1.062651462547864E-5</v>
      </c>
      <c r="D11" s="1" t="s">
        <v>33</v>
      </c>
      <c r="E11" s="1">
        <f>3*E6*E6/80+E6*E6*E6/16</f>
        <v>1.6993048170015181E-6</v>
      </c>
      <c r="H11" s="1">
        <v>40</v>
      </c>
      <c r="I11" s="1">
        <f t="shared" si="0"/>
        <v>0.69813170079773179</v>
      </c>
      <c r="J11" s="1">
        <f>SIN(I11)</f>
        <v>0.64278760968653925</v>
      </c>
      <c r="K11" s="1">
        <f t="shared" si="2"/>
        <v>0.76604444311897801</v>
      </c>
      <c r="L11" s="2">
        <f t="shared" si="3"/>
        <v>6361818.807890309</v>
      </c>
      <c r="M11" s="2">
        <f t="shared" si="6"/>
        <v>6386979.1757301847</v>
      </c>
      <c r="N11" s="2">
        <f t="shared" si="7"/>
        <v>4892709.9058847381</v>
      </c>
      <c r="O11" s="2">
        <f t="shared" si="10"/>
        <v>4429531.0608029654</v>
      </c>
      <c r="P11" s="2">
        <f t="shared" si="11"/>
        <v>26021993716020.465</v>
      </c>
      <c r="Q11" s="1">
        <f t="shared" si="8"/>
        <v>2.1352903029994987</v>
      </c>
      <c r="R11" s="2">
        <f t="shared" si="4"/>
        <v>8137128.4894792326</v>
      </c>
      <c r="S11" s="1">
        <v>20</v>
      </c>
      <c r="T11" s="1" t="s">
        <v>79</v>
      </c>
      <c r="U11" s="1">
        <f>$R$6-$R$7*COS(U6)</f>
        <v>571539.55893765576</v>
      </c>
      <c r="V11" s="1">
        <f t="shared" ref="V11:AC11" si="14">$R$6-$R$7*COS(V6)</f>
        <v>585308.85923010483</v>
      </c>
      <c r="W11" s="1">
        <f t="shared" si="14"/>
        <v>626580.0772146713</v>
      </c>
      <c r="X11" s="1">
        <f t="shared" si="14"/>
        <v>695243.26194019057</v>
      </c>
      <c r="Y11" s="1">
        <f t="shared" si="14"/>
        <v>791115.48731822707</v>
      </c>
      <c r="Z11" s="1">
        <f t="shared" si="14"/>
        <v>913941.33945779875</v>
      </c>
      <c r="AA11" s="1">
        <f t="shared" si="14"/>
        <v>1063393.5971153807</v>
      </c>
      <c r="AB11" s="1">
        <f t="shared" si="14"/>
        <v>1239074.1034473851</v>
      </c>
      <c r="AC11" s="1">
        <f t="shared" si="14"/>
        <v>1440514.8267426994</v>
      </c>
    </row>
    <row r="12" spans="1:29">
      <c r="A12" s="1" t="s">
        <v>34</v>
      </c>
      <c r="B12" s="1">
        <f>35*E6*E6*E6/512</f>
        <v>2.0508317267038174E-8</v>
      </c>
      <c r="D12" s="1" t="s">
        <v>35</v>
      </c>
      <c r="E12" s="1">
        <f>E6*E6*E6/112</f>
        <v>2.6786373573274349E-9</v>
      </c>
      <c r="H12" s="1">
        <v>45</v>
      </c>
      <c r="I12" s="1">
        <f t="shared" si="0"/>
        <v>0.78539816339744828</v>
      </c>
      <c r="J12" s="1">
        <f t="shared" si="1"/>
        <v>0.70710678118654746</v>
      </c>
      <c r="K12" s="1">
        <f t="shared" si="2"/>
        <v>0.70710678118654757</v>
      </c>
      <c r="L12" s="2">
        <f t="shared" si="3"/>
        <v>6367384.803383952</v>
      </c>
      <c r="M12" s="2">
        <f t="shared" si="6"/>
        <v>6388841.3022598075</v>
      </c>
      <c r="N12" s="2">
        <f t="shared" si="7"/>
        <v>4517593.0087526031</v>
      </c>
      <c r="O12" s="2">
        <f t="shared" si="10"/>
        <v>4984946.6629621787</v>
      </c>
      <c r="P12" s="2">
        <f t="shared" si="11"/>
        <v>28636961943443.914</v>
      </c>
      <c r="Q12" s="1">
        <f t="shared" si="8"/>
        <v>2.4027998229104202</v>
      </c>
      <c r="R12" s="2">
        <f t="shared" si="4"/>
        <v>7588378.0425567906</v>
      </c>
      <c r="T12" s="1" t="s">
        <v>80</v>
      </c>
      <c r="U12" s="1">
        <f>$R$7*SIN(U6)</f>
        <v>0</v>
      </c>
      <c r="V12" s="1">
        <f t="shared" ref="V12:AC12" si="15">$R$7*SIN(V6)</f>
        <v>533361.1034935331</v>
      </c>
      <c r="W12" s="1">
        <f t="shared" si="15"/>
        <v>1065301.2758028382</v>
      </c>
      <c r="X12" s="1">
        <f t="shared" si="15"/>
        <v>1594403.371256761</v>
      </c>
      <c r="Y12" s="1">
        <f t="shared" si="15"/>
        <v>2119257.8051252821</v>
      </c>
      <c r="Z12" s="1">
        <f t="shared" si="15"/>
        <v>2638466.3089044201</v>
      </c>
      <c r="AA12" s="1">
        <f t="shared" si="15"/>
        <v>3150645.6554534924</v>
      </c>
      <c r="AB12" s="1">
        <f t="shared" si="15"/>
        <v>3654431.3440605761</v>
      </c>
      <c r="AC12" s="1">
        <f t="shared" si="15"/>
        <v>4148481.2356187496</v>
      </c>
    </row>
    <row r="13" spans="1:29">
      <c r="A13" s="1" t="s">
        <v>36</v>
      </c>
      <c r="B13" s="1">
        <f>180/PI()</f>
        <v>57.295779513082323</v>
      </c>
      <c r="H13" s="1">
        <v>50</v>
      </c>
      <c r="I13" s="1">
        <f t="shared" si="0"/>
        <v>0.87266462599716477</v>
      </c>
      <c r="J13" s="1">
        <f t="shared" si="1"/>
        <v>0.76604444311897801</v>
      </c>
      <c r="K13" s="1">
        <f t="shared" si="2"/>
        <v>0.64278760968653936</v>
      </c>
      <c r="L13" s="2">
        <f t="shared" si="3"/>
        <v>6372958.9198219338</v>
      </c>
      <c r="M13" s="2">
        <f t="shared" si="6"/>
        <v>6390705.0584510863</v>
      </c>
      <c r="N13" s="2">
        <f t="shared" si="7"/>
        <v>4107866.0287334495</v>
      </c>
      <c r="O13" s="2">
        <f t="shared" si="10"/>
        <v>5540849.5932365824</v>
      </c>
      <c r="P13" s="2">
        <f t="shared" si="11"/>
        <v>31035938862908.512</v>
      </c>
      <c r="Q13" s="1">
        <f t="shared" si="8"/>
        <v>2.733405483281182</v>
      </c>
      <c r="R13" s="2">
        <f t="shared" si="4"/>
        <v>7031229.7295628097</v>
      </c>
      <c r="S13" s="1">
        <v>25</v>
      </c>
      <c r="T13" s="1" t="s">
        <v>85</v>
      </c>
      <c r="U13" s="1">
        <f>$R$6-$R$8*COS(U6)</f>
        <v>1130372.5542572513</v>
      </c>
      <c r="V13" s="1">
        <f t="shared" ref="V13:AC13" si="16">$R$6-$R$8*COS(V6)</f>
        <v>1143397.4590317067</v>
      </c>
      <c r="W13" s="1">
        <f t="shared" si="16"/>
        <v>1182437.4736117925</v>
      </c>
      <c r="X13" s="1">
        <f t="shared" si="16"/>
        <v>1247388.5912115145</v>
      </c>
      <c r="Y13" s="1">
        <f t="shared" si="16"/>
        <v>1338077.7750873901</v>
      </c>
      <c r="Z13" s="1">
        <f t="shared" si="16"/>
        <v>1454263.4195268992</v>
      </c>
      <c r="AA13" s="1">
        <f t="shared" si="16"/>
        <v>1595635.9935120065</v>
      </c>
      <c r="AB13" s="1">
        <f t="shared" si="16"/>
        <v>1761818.8653429989</v>
      </c>
      <c r="AC13" s="1">
        <f t="shared" si="16"/>
        <v>1952369.3060257249</v>
      </c>
    </row>
    <row r="14" spans="1:29">
      <c r="H14" s="1">
        <v>55</v>
      </c>
      <c r="I14" s="1">
        <f t="shared" si="0"/>
        <v>0.95993108859688125</v>
      </c>
      <c r="J14" s="1">
        <f t="shared" si="1"/>
        <v>0.8191520442889918</v>
      </c>
      <c r="K14" s="1">
        <f t="shared" si="2"/>
        <v>0.57357643635104616</v>
      </c>
      <c r="L14" s="2">
        <f t="shared" si="3"/>
        <v>6378371.4398076432</v>
      </c>
      <c r="M14" s="2">
        <f t="shared" si="6"/>
        <v>6392513.7437409293</v>
      </c>
      <c r="N14" s="2">
        <f t="shared" si="7"/>
        <v>3666595.2524600071</v>
      </c>
      <c r="O14" s="2">
        <f t="shared" si="10"/>
        <v>6097233.1416482674</v>
      </c>
      <c r="P14" s="2">
        <f t="shared" si="11"/>
        <v>33200100153997.656</v>
      </c>
      <c r="Q14" s="1">
        <f t="shared" si="8"/>
        <v>3.1542242990931091</v>
      </c>
      <c r="R14" s="2">
        <f t="shared" si="4"/>
        <v>6460184.5333643956</v>
      </c>
      <c r="T14" s="1" t="s">
        <v>84</v>
      </c>
      <c r="U14" s="1">
        <f>$R$8*SIN(U6)</f>
        <v>0</v>
      </c>
      <c r="V14" s="1">
        <f t="shared" ref="V14:AC14" si="17">$R$8*SIN(V6)</f>
        <v>504526.55079441547</v>
      </c>
      <c r="W14" s="1">
        <f t="shared" si="17"/>
        <v>1007708.9887455826</v>
      </c>
      <c r="X14" s="1">
        <f t="shared" si="17"/>
        <v>1508206.7818710273</v>
      </c>
      <c r="Y14" s="1">
        <f t="shared" si="17"/>
        <v>2004686.5503700278</v>
      </c>
      <c r="Z14" s="1">
        <f t="shared" si="17"/>
        <v>2495825.6188904112</v>
      </c>
      <c r="AA14" s="1">
        <f t="shared" si="17"/>
        <v>2980315.5402775528</v>
      </c>
      <c r="AB14" s="1">
        <f t="shared" si="17"/>
        <v>3456865.5814179322</v>
      </c>
      <c r="AC14" s="1">
        <f t="shared" si="17"/>
        <v>3924206.1618905813</v>
      </c>
    </row>
    <row r="15" spans="1:29">
      <c r="H15" s="1">
        <v>60</v>
      </c>
      <c r="I15" s="1">
        <f t="shared" si="0"/>
        <v>1.0471975511965976</v>
      </c>
      <c r="J15" s="1">
        <f t="shared" si="1"/>
        <v>0.8660254037844386</v>
      </c>
      <c r="K15" s="1">
        <f t="shared" si="2"/>
        <v>0.50000000000000011</v>
      </c>
      <c r="L15" s="2">
        <f t="shared" si="3"/>
        <v>6383456.8632375654</v>
      </c>
      <c r="M15" s="2">
        <f t="shared" si="6"/>
        <v>6394212.1920923041</v>
      </c>
      <c r="N15" s="2">
        <f t="shared" si="7"/>
        <v>3197106.096046153</v>
      </c>
      <c r="O15" s="2">
        <f t="shared" si="10"/>
        <v>6654075.9310379447</v>
      </c>
      <c r="P15" s="2">
        <f t="shared" si="11"/>
        <v>35112312708904.758</v>
      </c>
      <c r="Q15" s="1">
        <f t="shared" si="8"/>
        <v>3.7104407048421377</v>
      </c>
      <c r="R15" s="1">
        <f t="shared" si="4"/>
        <v>5868438.9522362519</v>
      </c>
      <c r="S15" s="1">
        <v>30</v>
      </c>
      <c r="T15" s="1" t="s">
        <v>79</v>
      </c>
      <c r="U15" s="1">
        <f>$R$6-$R$9*COS(U6)</f>
        <v>1680609.4149726834</v>
      </c>
      <c r="V15" s="1">
        <f t="shared" ref="V15:AC15" si="18">$R$6-$R$9*COS(V6)</f>
        <v>1692901.3747414183</v>
      </c>
      <c r="W15" s="1">
        <f t="shared" si="18"/>
        <v>1729744.5069484487</v>
      </c>
      <c r="X15" s="1">
        <f t="shared" si="18"/>
        <v>1791040.6575380433</v>
      </c>
      <c r="Y15" s="1">
        <f t="shared" si="18"/>
        <v>1876626.5269908421</v>
      </c>
      <c r="Z15" s="1">
        <f t="shared" si="18"/>
        <v>1986274.1053712908</v>
      </c>
      <c r="AA15" s="1">
        <f t="shared" si="18"/>
        <v>2119691.2797705643</v>
      </c>
      <c r="AB15" s="1">
        <f t="shared" si="18"/>
        <v>2276522.6125266831</v>
      </c>
      <c r="AC15" s="1">
        <f t="shared" si="18"/>
        <v>2456350.2881485727</v>
      </c>
    </row>
    <row r="16" spans="1:29">
      <c r="D16" s="1" t="s">
        <v>91</v>
      </c>
      <c r="E16" s="1">
        <f>U59</f>
        <v>1.0800000068877065</v>
      </c>
      <c r="F16" s="1" t="s">
        <v>93</v>
      </c>
      <c r="G16" s="1">
        <f>R16/6000</f>
        <v>1084.8359639361158</v>
      </c>
      <c r="H16" s="1">
        <v>54.578504000000002</v>
      </c>
      <c r="I16" s="1">
        <f t="shared" si="0"/>
        <v>0.95257459561289526</v>
      </c>
      <c r="J16" s="1">
        <f t="shared" si="1"/>
        <v>0.81491040598695941</v>
      </c>
      <c r="K16" s="1">
        <f t="shared" si="2"/>
        <v>0.57958694793289556</v>
      </c>
      <c r="L16" s="2">
        <f t="shared" si="3"/>
        <v>6377925.5331676938</v>
      </c>
      <c r="M16" s="2">
        <f t="shared" si="6"/>
        <v>6392364.7751639029</v>
      </c>
      <c r="N16" s="2">
        <f>M16*K16</f>
        <v>3704931.1901109968</v>
      </c>
      <c r="O16" s="2">
        <f>B$3*E$7*(B$9*I16-B$10*J31/2+B$11*J46/4+B$12*J61/6)</f>
        <v>6050312.3340700679</v>
      </c>
      <c r="P16" s="2">
        <f t="shared" si="11"/>
        <v>33027160395122.801</v>
      </c>
      <c r="Q16" s="1">
        <f t="shared" si="8"/>
        <v>3.1143244603745988</v>
      </c>
      <c r="R16" s="1">
        <f t="shared" si="4"/>
        <v>6509015.7836166946</v>
      </c>
      <c r="T16" s="1" t="s">
        <v>80</v>
      </c>
      <c r="U16" s="1">
        <f>$R$9*SIN(U6)</f>
        <v>0</v>
      </c>
      <c r="V16" s="1">
        <f t="shared" ref="V16:AC16" si="19">$R$9*SIN(V6)</f>
        <v>476135.53972281166</v>
      </c>
      <c r="W16" s="1">
        <f t="shared" si="19"/>
        <v>951002.60330088786</v>
      </c>
      <c r="X16" s="1">
        <f t="shared" si="19"/>
        <v>1423336.0939459901</v>
      </c>
      <c r="Y16" s="1">
        <f t="shared" si="19"/>
        <v>1891877.664579907</v>
      </c>
      <c r="Z16" s="1">
        <f t="shared" si="19"/>
        <v>2355379.0702060312</v>
      </c>
      <c r="AA16" s="1">
        <f t="shared" si="19"/>
        <v>2812605.4933679076</v>
      </c>
      <c r="AB16" s="1">
        <f t="shared" si="19"/>
        <v>3262338.8338353769</v>
      </c>
      <c r="AC16" s="1">
        <f t="shared" si="19"/>
        <v>3703380.9537542318</v>
      </c>
    </row>
    <row r="17" spans="1:29">
      <c r="S17" s="1">
        <v>35</v>
      </c>
      <c r="T17" s="1" t="s">
        <v>85</v>
      </c>
      <c r="U17" s="1">
        <f>$R$6-$R$10*COS(U6)</f>
        <v>2226243.2145596985</v>
      </c>
      <c r="V17" s="1">
        <f t="shared" ref="V17:AC17" si="20">$R$6-$R$10*COS(V6)</f>
        <v>2237808.3608469814</v>
      </c>
      <c r="W17" s="1">
        <f t="shared" si="20"/>
        <v>2272472.9889187235</v>
      </c>
      <c r="X17" s="1">
        <f t="shared" si="20"/>
        <v>2330144.7484878637</v>
      </c>
      <c r="Y17" s="1">
        <f t="shared" si="20"/>
        <v>2410669.9958014432</v>
      </c>
      <c r="Z17" s="1">
        <f t="shared" si="20"/>
        <v>2513834.2029640544</v>
      </c>
      <c r="AA17" s="1">
        <f t="shared" si="20"/>
        <v>2639362.5294631561</v>
      </c>
      <c r="AB17" s="1">
        <f t="shared" si="20"/>
        <v>2786920.5543736788</v>
      </c>
      <c r="AC17" s="1">
        <f t="shared" si="20"/>
        <v>2956115.1672912352</v>
      </c>
    </row>
    <row r="18" spans="1:29">
      <c r="I18" s="1" t="s">
        <v>37</v>
      </c>
      <c r="J18" s="1" t="s">
        <v>38</v>
      </c>
      <c r="K18" s="1" t="s">
        <v>39</v>
      </c>
      <c r="L18" s="1" t="s">
        <v>40</v>
      </c>
      <c r="M18" s="1" t="s">
        <v>72</v>
      </c>
      <c r="N18" s="1" t="s">
        <v>73</v>
      </c>
      <c r="T18" s="1" t="s">
        <v>84</v>
      </c>
      <c r="U18" s="1">
        <f>$R$10*SIN(U6)</f>
        <v>0</v>
      </c>
      <c r="V18" s="1">
        <f t="shared" ref="V18:AC18" si="21">$R$10*SIN(V6)</f>
        <v>447982.03647518426</v>
      </c>
      <c r="W18" s="1">
        <f t="shared" si="21"/>
        <v>894770.60075782938</v>
      </c>
      <c r="X18" s="1">
        <f t="shared" si="21"/>
        <v>1339175.4001933204</v>
      </c>
      <c r="Y18" s="1">
        <f t="shared" si="21"/>
        <v>1780012.4927322608</v>
      </c>
      <c r="Z18" s="1">
        <f t="shared" si="21"/>
        <v>2216107.4410790741</v>
      </c>
      <c r="AA18" s="1">
        <f t="shared" si="21"/>
        <v>2646298.4415189186</v>
      </c>
      <c r="AB18" s="1">
        <f t="shared" si="21"/>
        <v>3069439.4190873941</v>
      </c>
      <c r="AC18" s="1">
        <f t="shared" si="21"/>
        <v>3484403.0808371645</v>
      </c>
    </row>
    <row r="19" spans="1:29">
      <c r="I19" s="1">
        <f>2*I4</f>
        <v>1.6406094968746698</v>
      </c>
      <c r="J19" s="1">
        <f t="shared" ref="J19:J31" si="22">SIN(I19)</f>
        <v>0.9975640502598242</v>
      </c>
      <c r="K19" s="1">
        <f>3*I4</f>
        <v>2.4609142453120048</v>
      </c>
      <c r="L19" s="1">
        <f>SIN(K19)</f>
        <v>0.62932039104983739</v>
      </c>
      <c r="M19" s="1">
        <f>PI()/4+I4/2</f>
        <v>1.1955505376161157</v>
      </c>
      <c r="N19" s="1">
        <f>TAN(M19)</f>
        <v>2.5386478956643073</v>
      </c>
      <c r="S19" s="1">
        <v>40</v>
      </c>
      <c r="T19" s="1" t="s">
        <v>79</v>
      </c>
      <c r="U19" s="1">
        <f>$R$6-$R$11*COS(U6)</f>
        <v>2771307.4368980713</v>
      </c>
      <c r="V19" s="1">
        <f t="shared" ref="V19:AC19" si="23">$R$6-$R$11*COS(V6)</f>
        <v>2782146.5284113428</v>
      </c>
      <c r="W19" s="1">
        <f t="shared" si="23"/>
        <v>2814634.9264488388</v>
      </c>
      <c r="X19" s="1">
        <f t="shared" si="23"/>
        <v>2868686.0784337148</v>
      </c>
      <c r="Y19" s="1">
        <f t="shared" si="23"/>
        <v>2944155.9862999404</v>
      </c>
      <c r="Z19" s="1">
        <f t="shared" si="23"/>
        <v>3040843.5901185935</v>
      </c>
      <c r="AA19" s="1">
        <f t="shared" si="23"/>
        <v>3158491.3037430765</v>
      </c>
      <c r="AB19" s="1">
        <f t="shared" si="23"/>
        <v>3296785.7010462368</v>
      </c>
      <c r="AC19" s="1">
        <f t="shared" si="23"/>
        <v>3455358.3509211829</v>
      </c>
    </row>
    <row r="20" spans="1:29">
      <c r="I20" s="1">
        <f>2*I5</f>
        <v>0.17453292519943295</v>
      </c>
      <c r="J20" s="1">
        <f t="shared" si="22"/>
        <v>0.17364817766693033</v>
      </c>
      <c r="K20" s="1">
        <f t="shared" ref="K20:K31" si="24">3*I5</f>
        <v>0.26179938779914941</v>
      </c>
      <c r="L20" s="1">
        <f t="shared" ref="L20:L31" si="25">SIN(K20)</f>
        <v>0.25881904510252074</v>
      </c>
      <c r="M20" s="1">
        <f t="shared" ref="M20:M31" si="26">PI()/4+I5/2</f>
        <v>0.82903139469730647</v>
      </c>
      <c r="N20" s="1">
        <f t="shared" ref="N20:N31" si="27">TAN(M20)</f>
        <v>1.0913085010692711</v>
      </c>
      <c r="T20" s="1" t="s">
        <v>80</v>
      </c>
      <c r="U20" s="1">
        <f>$R$11*SIN(U6)</f>
        <v>0</v>
      </c>
      <c r="V20" s="1">
        <f t="shared" ref="V20:AC20" si="28">$R$11*SIN(V6)</f>
        <v>419857.92216008191</v>
      </c>
      <c r="W20" s="1">
        <f t="shared" si="28"/>
        <v>838597.29778455279</v>
      </c>
      <c r="X20" s="1">
        <f t="shared" si="28"/>
        <v>1255102.5602657394</v>
      </c>
      <c r="Y20" s="1">
        <f t="shared" si="28"/>
        <v>1668264.0949129981</v>
      </c>
      <c r="Z20" s="1">
        <f t="shared" si="28"/>
        <v>2076981.1950852587</v>
      </c>
      <c r="AA20" s="1">
        <f t="shared" si="28"/>
        <v>2480164.9945915709</v>
      </c>
      <c r="AB20" s="1">
        <f t="shared" si="28"/>
        <v>2876741.3685474209</v>
      </c>
      <c r="AC20" s="1">
        <f t="shared" si="28"/>
        <v>3265653.7949586273</v>
      </c>
    </row>
    <row r="21" spans="1:29">
      <c r="I21" s="1">
        <f t="shared" ref="I21:I31" si="29">2*I6</f>
        <v>0.52359877559829882</v>
      </c>
      <c r="J21" s="1">
        <f t="shared" si="22"/>
        <v>0.49999999999999994</v>
      </c>
      <c r="K21" s="1">
        <f t="shared" si="24"/>
        <v>0.78539816339744828</v>
      </c>
      <c r="L21" s="1">
        <f t="shared" si="25"/>
        <v>0.70710678118654746</v>
      </c>
      <c r="M21" s="1">
        <f t="shared" si="26"/>
        <v>0.91629785729702296</v>
      </c>
      <c r="N21" s="1">
        <f t="shared" si="27"/>
        <v>1.3032253728412055</v>
      </c>
      <c r="S21" s="1">
        <v>45</v>
      </c>
      <c r="T21" s="1" t="s">
        <v>85</v>
      </c>
      <c r="U21" s="1">
        <f>$R$6-$R$12*COS(U6)</f>
        <v>3320057.8838205133</v>
      </c>
      <c r="V21" s="1">
        <f t="shared" ref="V21:AC21" si="30">$R$6-$R$12*COS(V6)</f>
        <v>3330166.010310947</v>
      </c>
      <c r="W21" s="1">
        <f t="shared" si="30"/>
        <v>3360463.4606491514</v>
      </c>
      <c r="X21" s="1">
        <f t="shared" si="30"/>
        <v>3410869.519177936</v>
      </c>
      <c r="Y21" s="1">
        <f t="shared" si="30"/>
        <v>3481249.8987511853</v>
      </c>
      <c r="Z21" s="1">
        <f t="shared" si="30"/>
        <v>3571417.0984892175</v>
      </c>
      <c r="AA21" s="1">
        <f t="shared" si="30"/>
        <v>3681130.9033012353</v>
      </c>
      <c r="AB21" s="1">
        <f t="shared" si="30"/>
        <v>3810099.0238440977</v>
      </c>
      <c r="AC21" s="1">
        <f t="shared" si="30"/>
        <v>3957977.8752124757</v>
      </c>
    </row>
    <row r="22" spans="1:29">
      <c r="A22" s="2" t="s">
        <v>41</v>
      </c>
      <c r="B22" s="2">
        <f>RADIANS(119.5)*N16</f>
        <v>7727258.1153586302</v>
      </c>
      <c r="I22" s="1">
        <f t="shared" si="29"/>
        <v>0.69813170079773179</v>
      </c>
      <c r="J22" s="1">
        <f t="shared" si="22"/>
        <v>0.64278760968653925</v>
      </c>
      <c r="K22" s="1">
        <f t="shared" si="24"/>
        <v>1.0471975511965976</v>
      </c>
      <c r="L22" s="1">
        <f t="shared" si="25"/>
        <v>0.8660254037844386</v>
      </c>
      <c r="M22" s="1">
        <f t="shared" si="26"/>
        <v>0.95993108859688125</v>
      </c>
      <c r="N22" s="1">
        <f t="shared" si="27"/>
        <v>1.4281480067421144</v>
      </c>
      <c r="T22" s="1" t="s">
        <v>84</v>
      </c>
      <c r="U22" s="1">
        <f>$R$12*SIN(U6)</f>
        <v>0</v>
      </c>
      <c r="V22" s="1">
        <f t="shared" ref="V22:AC22" si="31">$R$12*SIN(V6)</f>
        <v>391543.60676895088</v>
      </c>
      <c r="W22" s="1">
        <f t="shared" si="31"/>
        <v>782044.09937528486</v>
      </c>
      <c r="X22" s="1">
        <f t="shared" si="31"/>
        <v>1170461.142624391</v>
      </c>
      <c r="Y22" s="1">
        <f t="shared" si="31"/>
        <v>1555759.9518542027</v>
      </c>
      <c r="Z22" s="1">
        <f t="shared" si="31"/>
        <v>1936914.0497125199</v>
      </c>
      <c r="AA22" s="1">
        <f t="shared" si="31"/>
        <v>2312908.0008027679</v>
      </c>
      <c r="AB22" s="1">
        <f t="shared" si="31"/>
        <v>2682740.1169128036</v>
      </c>
      <c r="AC22" s="1">
        <f t="shared" si="31"/>
        <v>3045425.1256197458</v>
      </c>
    </row>
    <row r="23" spans="1:29">
      <c r="A23" s="2" t="s">
        <v>42</v>
      </c>
      <c r="B23" s="2"/>
      <c r="I23" s="1">
        <f t="shared" si="29"/>
        <v>0.87266462599716477</v>
      </c>
      <c r="J23" s="1">
        <f t="shared" si="22"/>
        <v>0.76604444311897801</v>
      </c>
      <c r="K23" s="1">
        <f t="shared" si="24"/>
        <v>1.3089969389957472</v>
      </c>
      <c r="L23" s="1">
        <f t="shared" si="25"/>
        <v>0.96592582628906831</v>
      </c>
      <c r="M23" s="1">
        <f t="shared" si="26"/>
        <v>1.0035643198967394</v>
      </c>
      <c r="N23" s="1">
        <f t="shared" si="27"/>
        <v>1.5696855771174902</v>
      </c>
      <c r="S23" s="1">
        <v>50</v>
      </c>
      <c r="T23" s="1" t="s">
        <v>79</v>
      </c>
      <c r="U23" s="1">
        <f>$R$6-$R$13*COS(U6)</f>
        <v>3877206.1968144942</v>
      </c>
      <c r="V23" s="1">
        <f t="shared" ref="V23:AC23" si="32">$R$6-$R$13*COS(V6)</f>
        <v>3886572.1718741357</v>
      </c>
      <c r="W23" s="1">
        <f t="shared" si="32"/>
        <v>3914645.145090973</v>
      </c>
      <c r="X23" s="1">
        <f t="shared" si="32"/>
        <v>3961350.32705345</v>
      </c>
      <c r="Y23" s="1">
        <f t="shared" si="32"/>
        <v>4026563.2901475513</v>
      </c>
      <c r="Z23" s="1">
        <f t="shared" si="32"/>
        <v>4110110.3000453161</v>
      </c>
      <c r="AA23" s="1">
        <f t="shared" si="32"/>
        <v>4211768.7785517182</v>
      </c>
      <c r="AB23" s="1">
        <f t="shared" si="32"/>
        <v>4331267.8965768507</v>
      </c>
      <c r="AC23" s="1">
        <f t="shared" si="32"/>
        <v>4468289.2956536682</v>
      </c>
    </row>
    <row r="24" spans="1:29">
      <c r="I24" s="1">
        <f t="shared" si="29"/>
        <v>1.0471975511965976</v>
      </c>
      <c r="J24" s="1">
        <f t="shared" si="22"/>
        <v>0.8660254037844386</v>
      </c>
      <c r="K24" s="1">
        <f t="shared" si="24"/>
        <v>1.5707963267948966</v>
      </c>
      <c r="L24" s="1">
        <f>SIN(K24)</f>
        <v>1</v>
      </c>
      <c r="M24" s="1">
        <f t="shared" si="26"/>
        <v>1.0471975511965976</v>
      </c>
      <c r="N24" s="1">
        <f t="shared" si="27"/>
        <v>1.7320508075688767</v>
      </c>
      <c r="T24" s="1" t="s">
        <v>80</v>
      </c>
      <c r="U24" s="1">
        <f>$R$13*SIN(U6)</f>
        <v>0</v>
      </c>
      <c r="V24" s="1">
        <f t="shared" ref="V24:AC24" si="33">$R$13*SIN(V6)</f>
        <v>362795.97997024725</v>
      </c>
      <c r="W24" s="1">
        <f t="shared" si="33"/>
        <v>724625.43253893557</v>
      </c>
      <c r="X24" s="1">
        <f t="shared" si="33"/>
        <v>1084524.4052371662</v>
      </c>
      <c r="Y24" s="1">
        <f t="shared" si="33"/>
        <v>1441534.0886014653</v>
      </c>
      <c r="Z24" s="1">
        <f t="shared" si="33"/>
        <v>1794703.3705450296</v>
      </c>
      <c r="AA24" s="1">
        <f t="shared" si="33"/>
        <v>2143091.3702223338</v>
      </c>
      <c r="AB24" s="1">
        <f t="shared" si="33"/>
        <v>2485769.9446366169</v>
      </c>
      <c r="AC24" s="1">
        <f t="shared" si="33"/>
        <v>2821826.161312371</v>
      </c>
    </row>
    <row r="25" spans="1:29">
      <c r="I25" s="1">
        <f t="shared" si="29"/>
        <v>1.2217304763960306</v>
      </c>
      <c r="J25" s="1">
        <f t="shared" si="22"/>
        <v>0.93969262078590832</v>
      </c>
      <c r="K25" s="1">
        <f t="shared" si="24"/>
        <v>1.8325957145940459</v>
      </c>
      <c r="L25" s="1">
        <f t="shared" si="25"/>
        <v>0.96592582628906831</v>
      </c>
      <c r="M25" s="1">
        <f t="shared" si="26"/>
        <v>1.090830782496456</v>
      </c>
      <c r="N25" s="1">
        <f t="shared" si="27"/>
        <v>1.9209821269711662</v>
      </c>
      <c r="S25" s="1">
        <v>55</v>
      </c>
      <c r="T25" s="1" t="s">
        <v>85</v>
      </c>
      <c r="U25" s="1">
        <f>$R$6-$R$14*COS(U6)</f>
        <v>4448251.3930129083</v>
      </c>
      <c r="V25" s="1">
        <f t="shared" ref="V25:AC25" si="34">$R$6-$R$14*COS(V6)</f>
        <v>4456856.7052480895</v>
      </c>
      <c r="W25" s="1">
        <f t="shared" si="34"/>
        <v>4482649.7164788917</v>
      </c>
      <c r="X25" s="1">
        <f t="shared" si="34"/>
        <v>4525561.7113570226</v>
      </c>
      <c r="Y25" s="1">
        <f t="shared" si="34"/>
        <v>4585478.3677256908</v>
      </c>
      <c r="Z25" s="1">
        <f t="shared" si="34"/>
        <v>4662240.0611860948</v>
      </c>
      <c r="AA25" s="1">
        <f t="shared" si="34"/>
        <v>4755642.2903539436</v>
      </c>
      <c r="AB25" s="1">
        <f t="shared" si="34"/>
        <v>4865436.2216730742</v>
      </c>
      <c r="AC25" s="1">
        <f t="shared" si="34"/>
        <v>4991329.352334735</v>
      </c>
    </row>
    <row r="26" spans="1:29">
      <c r="I26" s="1">
        <f t="shared" si="29"/>
        <v>1.3962634015954636</v>
      </c>
      <c r="J26" s="1">
        <f t="shared" si="22"/>
        <v>0.98480775301220802</v>
      </c>
      <c r="K26" s="1">
        <f t="shared" si="24"/>
        <v>2.0943951023931953</v>
      </c>
      <c r="L26" s="1">
        <f t="shared" si="25"/>
        <v>0.86602540378443871</v>
      </c>
      <c r="M26" s="1">
        <f t="shared" si="26"/>
        <v>1.1344640137963142</v>
      </c>
      <c r="N26" s="1">
        <f t="shared" si="27"/>
        <v>2.1445069205095586</v>
      </c>
      <c r="T26" s="1" t="s">
        <v>86</v>
      </c>
      <c r="U26" s="1">
        <f>$R$14*SIN(U6)</f>
        <v>0</v>
      </c>
      <c r="V26" s="1">
        <f t="shared" ref="V26:AC26" si="35">$R$14*SIN(V6)</f>
        <v>333331.30458195106</v>
      </c>
      <c r="W26" s="1">
        <f t="shared" si="35"/>
        <v>665774.57881774928</v>
      </c>
      <c r="X26" s="1">
        <f t="shared" si="35"/>
        <v>996444.1581693273</v>
      </c>
      <c r="Y26" s="1">
        <f t="shared" si="35"/>
        <v>1324459.103412024</v>
      </c>
      <c r="Z26" s="1">
        <f t="shared" si="35"/>
        <v>1648945.5475511611</v>
      </c>
      <c r="AA26" s="1">
        <f t="shared" si="35"/>
        <v>1969039.023897442</v>
      </c>
      <c r="AB26" s="1">
        <f t="shared" si="35"/>
        <v>2283886.7690989291</v>
      </c>
      <c r="AC26" s="1">
        <f t="shared" si="35"/>
        <v>2592649.9949940741</v>
      </c>
    </row>
    <row r="27" spans="1:29">
      <c r="I27" s="1">
        <f t="shared" si="29"/>
        <v>1.5707963267948966</v>
      </c>
      <c r="J27" s="1">
        <f t="shared" si="22"/>
        <v>1</v>
      </c>
      <c r="K27" s="1">
        <f t="shared" si="24"/>
        <v>2.3561944901923448</v>
      </c>
      <c r="L27" s="1">
        <f t="shared" si="25"/>
        <v>0.70710678118654757</v>
      </c>
      <c r="M27" s="1">
        <f t="shared" si="26"/>
        <v>1.1780972450961724</v>
      </c>
      <c r="N27" s="1">
        <f t="shared" si="27"/>
        <v>2.4142135623730949</v>
      </c>
    </row>
    <row r="28" spans="1:29">
      <c r="A28" s="2" t="s">
        <v>43</v>
      </c>
      <c r="B28" s="2"/>
      <c r="I28" s="1">
        <f t="shared" si="29"/>
        <v>1.7453292519943295</v>
      </c>
      <c r="J28" s="1">
        <f t="shared" si="22"/>
        <v>0.98480775301220802</v>
      </c>
      <c r="K28" s="1">
        <f t="shared" si="24"/>
        <v>2.6179938779914944</v>
      </c>
      <c r="L28" s="1">
        <f t="shared" si="25"/>
        <v>0.49999999999999994</v>
      </c>
      <c r="M28" s="1">
        <f t="shared" si="26"/>
        <v>1.2217304763960306</v>
      </c>
      <c r="N28" s="1">
        <f t="shared" si="27"/>
        <v>2.7474774194546216</v>
      </c>
      <c r="S28" s="6" t="s">
        <v>78</v>
      </c>
      <c r="T28" s="5" t="s">
        <v>76</v>
      </c>
      <c r="U28" s="1">
        <v>105</v>
      </c>
      <c r="V28" s="1">
        <v>110</v>
      </c>
      <c r="W28" s="1">
        <v>115</v>
      </c>
      <c r="X28" s="1">
        <v>120</v>
      </c>
      <c r="Y28" s="1">
        <v>125</v>
      </c>
      <c r="Z28" s="1">
        <v>130</v>
      </c>
      <c r="AA28" s="1">
        <v>135</v>
      </c>
      <c r="AB28" s="1">
        <v>140</v>
      </c>
      <c r="AC28" s="1">
        <v>145</v>
      </c>
    </row>
    <row r="29" spans="1:29">
      <c r="A29" s="2" t="s">
        <v>44</v>
      </c>
      <c r="B29" s="2">
        <f>B$3*B$3*E$7*(RADIANS(120-115))*(B30-B31+B32-B33)</f>
        <v>154577698386.52097</v>
      </c>
      <c r="E29" s="1" t="s">
        <v>45</v>
      </c>
      <c r="F29" s="1" t="s">
        <v>46</v>
      </c>
      <c r="I29" s="1">
        <f t="shared" si="29"/>
        <v>1.9198621771937625</v>
      </c>
      <c r="J29" s="1">
        <f t="shared" si="22"/>
        <v>0.93969262078590843</v>
      </c>
      <c r="K29" s="1">
        <f t="shared" si="24"/>
        <v>2.879793265790644</v>
      </c>
      <c r="L29" s="1">
        <f t="shared" si="25"/>
        <v>0.25881904510252057</v>
      </c>
      <c r="M29" s="1">
        <f t="shared" si="26"/>
        <v>1.2653637076958888</v>
      </c>
      <c r="N29" s="1">
        <f t="shared" si="27"/>
        <v>3.1715948023632108</v>
      </c>
      <c r="S29" s="1">
        <v>15</v>
      </c>
      <c r="T29" s="1" t="s">
        <v>85</v>
      </c>
      <c r="U29" s="1">
        <f>U9/6000</f>
        <v>0</v>
      </c>
      <c r="V29" s="1">
        <f>V9/6000</f>
        <v>2.4217702724315848</v>
      </c>
      <c r="W29" s="1">
        <f>W9/6000</f>
        <v>9.6806292339780686</v>
      </c>
      <c r="X29" s="1">
        <f t="shared" ref="X29:AC29" si="36">X9/6000</f>
        <v>21.757238505832539</v>
      </c>
      <c r="Y29" s="1">
        <f t="shared" si="36"/>
        <v>38.61942470564383</v>
      </c>
      <c r="Z29" s="1">
        <f>Z9/6000</f>
        <v>60.222265160856772</v>
      </c>
      <c r="AA29" s="1">
        <f t="shared" si="36"/>
        <v>86.508207587532084</v>
      </c>
      <c r="AB29" s="1">
        <f>AB9/6000</f>
        <v>117.40722341580161</v>
      </c>
      <c r="AC29" s="1">
        <f t="shared" si="36"/>
        <v>152.83699435348964</v>
      </c>
    </row>
    <row r="30" spans="1:29">
      <c r="B30" s="1">
        <f>E9*(E30-E31)</f>
        <v>4.3804038839815256E-2</v>
      </c>
      <c r="D30" s="1" t="s">
        <v>47</v>
      </c>
      <c r="E30" s="1">
        <f>SIN(F30)</f>
        <v>0.57357643635104605</v>
      </c>
      <c r="F30" s="1">
        <f>RADIANS(35)</f>
        <v>0.6108652381980153</v>
      </c>
      <c r="I30" s="1">
        <f t="shared" si="29"/>
        <v>2.0943951023931953</v>
      </c>
      <c r="J30" s="1">
        <f t="shared" si="22"/>
        <v>0.86602540378443871</v>
      </c>
      <c r="K30" s="1">
        <f t="shared" si="24"/>
        <v>3.1415926535897931</v>
      </c>
      <c r="L30" s="1">
        <f t="shared" si="25"/>
        <v>1.22514845490862E-16</v>
      </c>
      <c r="M30" s="1">
        <f t="shared" si="26"/>
        <v>1.308996938995747</v>
      </c>
      <c r="N30" s="1">
        <f t="shared" si="27"/>
        <v>3.7320508075688745</v>
      </c>
      <c r="T30" s="1" t="s">
        <v>84</v>
      </c>
      <c r="U30" s="1">
        <f t="shared" ref="U30:AC30" si="37">U10/6000</f>
        <v>0</v>
      </c>
      <c r="V30" s="1">
        <f t="shared" si="37"/>
        <v>93.808547818533086</v>
      </c>
      <c r="W30" s="1">
        <f t="shared" si="37"/>
        <v>187.36717960443949</v>
      </c>
      <c r="X30" s="1">
        <f t="shared" si="37"/>
        <v>280.42664512820761</v>
      </c>
      <c r="Y30" s="1">
        <f>Y10/6000</f>
        <v>372.73902399278541</v>
      </c>
      <c r="Z30" s="1">
        <f t="shared" si="37"/>
        <v>464.05838612010785</v>
      </c>
      <c r="AA30" s="1">
        <f t="shared" si="37"/>
        <v>554.14144693520211</v>
      </c>
      <c r="AB30" s="1">
        <f t="shared" si="37"/>
        <v>642.74821550238767</v>
      </c>
      <c r="AC30" s="1">
        <f t="shared" si="37"/>
        <v>729.6426338868697</v>
      </c>
    </row>
    <row r="31" spans="1:29">
      <c r="B31" s="1">
        <f>E10*(E32-E33)</f>
        <v>-3.2147408048207896E-5</v>
      </c>
      <c r="D31" s="1" t="s">
        <v>48</v>
      </c>
      <c r="E31" s="1">
        <f t="shared" ref="E31:E37" si="38">SIN(F31)</f>
        <v>0.5299192642332049</v>
      </c>
      <c r="F31" s="1">
        <f>RADIANS(32)</f>
        <v>0.55850536063818546</v>
      </c>
      <c r="I31" s="1">
        <f t="shared" si="29"/>
        <v>1.9051491912257905</v>
      </c>
      <c r="J31" s="1">
        <f t="shared" si="22"/>
        <v>0.94462287008947721</v>
      </c>
      <c r="K31" s="1">
        <f t="shared" si="24"/>
        <v>2.8577237868386858</v>
      </c>
      <c r="L31" s="1">
        <f t="shared" si="25"/>
        <v>0.28007176645858495</v>
      </c>
      <c r="M31" s="1">
        <f t="shared" si="26"/>
        <v>1.2616854612038959</v>
      </c>
      <c r="N31" s="1">
        <f t="shared" si="27"/>
        <v>3.1313859162285502</v>
      </c>
      <c r="S31" s="1">
        <v>20</v>
      </c>
      <c r="T31" s="1" t="s">
        <v>79</v>
      </c>
      <c r="U31" s="1">
        <f t="shared" ref="U31:AC31" si="39">U11/6000</f>
        <v>95.256593156275954</v>
      </c>
      <c r="V31" s="1">
        <f t="shared" si="39"/>
        <v>97.551476538350812</v>
      </c>
      <c r="W31" s="1">
        <f t="shared" si="39"/>
        <v>104.43001286911188</v>
      </c>
      <c r="X31" s="1">
        <f t="shared" si="39"/>
        <v>115.87387699003176</v>
      </c>
      <c r="Y31" s="1">
        <f t="shared" si="39"/>
        <v>131.85258121970452</v>
      </c>
      <c r="Z31" s="1">
        <f>Z11/6000</f>
        <v>152.32355657629978</v>
      </c>
      <c r="AA31" s="1">
        <f t="shared" si="39"/>
        <v>177.23226618589678</v>
      </c>
      <c r="AB31" s="1">
        <f t="shared" si="39"/>
        <v>206.51235057456418</v>
      </c>
      <c r="AC31" s="1">
        <f t="shared" si="39"/>
        <v>240.08580445711655</v>
      </c>
    </row>
    <row r="32" spans="1:29">
      <c r="B32" s="1">
        <f>E11*(E34-E35)</f>
        <v>-4.3309230358441807E-7</v>
      </c>
      <c r="D32" s="1" t="s">
        <v>49</v>
      </c>
      <c r="E32" s="1">
        <f t="shared" si="38"/>
        <v>0.96592582628906831</v>
      </c>
      <c r="F32" s="1">
        <f>3*F30</f>
        <v>1.8325957145940459</v>
      </c>
      <c r="T32" s="1" t="s">
        <v>80</v>
      </c>
      <c r="U32" s="1">
        <f t="shared" ref="U32:AC32" si="40">U12/6000</f>
        <v>0</v>
      </c>
      <c r="V32" s="1">
        <f t="shared" si="40"/>
        <v>88.89351724892218</v>
      </c>
      <c r="W32" s="1">
        <f t="shared" si="40"/>
        <v>177.55021263380635</v>
      </c>
      <c r="X32" s="1">
        <f t="shared" si="40"/>
        <v>265.73389520946017</v>
      </c>
      <c r="Y32" s="1">
        <f t="shared" si="40"/>
        <v>353.20963418754701</v>
      </c>
      <c r="Z32" s="1">
        <f t="shared" si="40"/>
        <v>439.74438481740333</v>
      </c>
      <c r="AA32" s="1">
        <f t="shared" si="40"/>
        <v>525.10760924224871</v>
      </c>
      <c r="AB32" s="1">
        <f t="shared" si="40"/>
        <v>609.07189067676268</v>
      </c>
      <c r="AC32" s="1">
        <f t="shared" si="40"/>
        <v>691.41353926979161</v>
      </c>
    </row>
    <row r="33" spans="2:29">
      <c r="B33" s="1">
        <f>E12*(E36-E37)</f>
        <v>-5.6693203390145606E-10</v>
      </c>
      <c r="D33" s="1" t="s">
        <v>50</v>
      </c>
      <c r="E33" s="1">
        <f t="shared" si="38"/>
        <v>0.99452189536827329</v>
      </c>
      <c r="F33" s="1">
        <f>3*F31</f>
        <v>1.6755160819145565</v>
      </c>
      <c r="I33" s="1" t="s">
        <v>51</v>
      </c>
      <c r="J33" s="1" t="s">
        <v>52</v>
      </c>
      <c r="K33" s="1" t="s">
        <v>53</v>
      </c>
      <c r="L33" s="1" t="s">
        <v>54</v>
      </c>
      <c r="S33" s="1">
        <v>25</v>
      </c>
      <c r="T33" s="1" t="s">
        <v>85</v>
      </c>
      <c r="U33" s="1">
        <f t="shared" ref="U33:AC33" si="41">U13/6000</f>
        <v>188.39542570954188</v>
      </c>
      <c r="V33" s="1">
        <f t="shared" si="41"/>
        <v>190.5662431719511</v>
      </c>
      <c r="W33" s="1">
        <f t="shared" si="41"/>
        <v>197.07291226863208</v>
      </c>
      <c r="X33" s="1">
        <f t="shared" si="41"/>
        <v>207.89809853525242</v>
      </c>
      <c r="Y33" s="1">
        <f t="shared" si="41"/>
        <v>223.012962514565</v>
      </c>
      <c r="Z33" s="1">
        <f t="shared" si="41"/>
        <v>242.37723658781653</v>
      </c>
      <c r="AA33" s="1">
        <f t="shared" si="41"/>
        <v>265.93933225200107</v>
      </c>
      <c r="AB33" s="1">
        <f t="shared" si="41"/>
        <v>293.63647755716647</v>
      </c>
      <c r="AC33" s="1">
        <f t="shared" si="41"/>
        <v>325.39488433762079</v>
      </c>
    </row>
    <row r="34" spans="2:29">
      <c r="D34" s="1" t="s">
        <v>55</v>
      </c>
      <c r="E34" s="1">
        <f t="shared" si="38"/>
        <v>8.7155742747658194E-2</v>
      </c>
      <c r="F34" s="1">
        <f>5*F30</f>
        <v>3.0543261909900767</v>
      </c>
      <c r="I34" s="1">
        <f>4*I4</f>
        <v>3.2812189937493397</v>
      </c>
      <c r="J34" s="1">
        <f t="shared" ref="J34:J46" si="42">SIN(I34)</f>
        <v>-0.13917310096006552</v>
      </c>
      <c r="K34" s="1">
        <f>5*I4</f>
        <v>4.101523742186675</v>
      </c>
      <c r="L34" s="1">
        <f t="shared" ref="L34:L46" si="43">SIN(K34)</f>
        <v>-0.81915204428899213</v>
      </c>
      <c r="T34" s="1" t="s">
        <v>84</v>
      </c>
      <c r="U34" s="1">
        <f t="shared" ref="U34:AC34" si="44">U14/6000</f>
        <v>0</v>
      </c>
      <c r="V34" s="1">
        <f t="shared" si="44"/>
        <v>84.087758465735917</v>
      </c>
      <c r="W34" s="1">
        <f t="shared" si="44"/>
        <v>167.95149812426376</v>
      </c>
      <c r="X34" s="1">
        <f t="shared" si="44"/>
        <v>251.36779697850454</v>
      </c>
      <c r="Y34" s="1">
        <f t="shared" si="44"/>
        <v>334.11442506167128</v>
      </c>
      <c r="Z34" s="1">
        <f t="shared" si="44"/>
        <v>415.97093648173518</v>
      </c>
      <c r="AA34" s="1">
        <f t="shared" si="44"/>
        <v>496.71925671292547</v>
      </c>
      <c r="AB34" s="1">
        <f t="shared" si="44"/>
        <v>576.14426356965532</v>
      </c>
      <c r="AC34" s="1">
        <f t="shared" si="44"/>
        <v>654.03436031509682</v>
      </c>
    </row>
    <row r="35" spans="2:29">
      <c r="D35" s="1" t="s">
        <v>56</v>
      </c>
      <c r="E35" s="1">
        <f t="shared" si="38"/>
        <v>0.34202014332566888</v>
      </c>
      <c r="F35" s="1">
        <f>5*F31</f>
        <v>2.7925268031909272</v>
      </c>
      <c r="I35" s="1">
        <f t="shared" ref="I35:I46" si="45">4*I5</f>
        <v>0.3490658503988659</v>
      </c>
      <c r="J35" s="1">
        <f t="shared" si="42"/>
        <v>0.34202014332566871</v>
      </c>
      <c r="K35" s="1">
        <f t="shared" ref="K35:K46" si="46">5*I5</f>
        <v>0.43633231299858238</v>
      </c>
      <c r="L35" s="1">
        <f t="shared" si="43"/>
        <v>0.42261826174069944</v>
      </c>
      <c r="S35" s="1">
        <v>30</v>
      </c>
      <c r="T35" s="1" t="s">
        <v>79</v>
      </c>
      <c r="U35" s="1">
        <f t="shared" ref="U35:AC35" si="47">U15/6000</f>
        <v>280.10156916211389</v>
      </c>
      <c r="V35" s="1">
        <f t="shared" si="47"/>
        <v>282.15022912356972</v>
      </c>
      <c r="W35" s="1">
        <f t="shared" si="47"/>
        <v>288.29075115807478</v>
      </c>
      <c r="X35" s="1">
        <f t="shared" si="47"/>
        <v>298.50677625634057</v>
      </c>
      <c r="Y35" s="1">
        <f t="shared" si="47"/>
        <v>312.77108783180699</v>
      </c>
      <c r="Z35" s="1">
        <f t="shared" si="47"/>
        <v>331.04568422854845</v>
      </c>
      <c r="AA35" s="1">
        <f t="shared" si="47"/>
        <v>353.28187996176069</v>
      </c>
      <c r="AB35" s="1">
        <f t="shared" si="47"/>
        <v>379.42043542111384</v>
      </c>
      <c r="AC35" s="1">
        <f t="shared" si="47"/>
        <v>409.39171469142877</v>
      </c>
    </row>
    <row r="36" spans="2:29">
      <c r="D36" s="1" t="s">
        <v>57</v>
      </c>
      <c r="E36" s="1">
        <f t="shared" si="38"/>
        <v>-0.90630778703664971</v>
      </c>
      <c r="F36" s="1">
        <f>7*F30</f>
        <v>4.2760566673861069</v>
      </c>
      <c r="I36" s="1">
        <f t="shared" si="45"/>
        <v>1.0471975511965976</v>
      </c>
      <c r="J36" s="1">
        <f t="shared" si="42"/>
        <v>0.8660254037844386</v>
      </c>
      <c r="K36" s="1">
        <f t="shared" si="46"/>
        <v>1.308996938995747</v>
      </c>
      <c r="L36" s="1">
        <f t="shared" si="43"/>
        <v>0.9659258262890682</v>
      </c>
      <c r="T36" s="1" t="s">
        <v>80</v>
      </c>
      <c r="U36" s="1">
        <f t="shared" ref="U36:AC36" si="48">U16/6000</f>
        <v>0</v>
      </c>
      <c r="V36" s="1">
        <f t="shared" si="48"/>
        <v>79.355923287135283</v>
      </c>
      <c r="W36" s="1">
        <f t="shared" si="48"/>
        <v>158.50043388348132</v>
      </c>
      <c r="X36" s="1">
        <f t="shared" si="48"/>
        <v>237.22268232433169</v>
      </c>
      <c r="Y36" s="1">
        <f t="shared" si="48"/>
        <v>315.31294409665117</v>
      </c>
      <c r="Z36" s="1">
        <f t="shared" si="48"/>
        <v>392.56317836767187</v>
      </c>
      <c r="AA36" s="1">
        <f t="shared" si="48"/>
        <v>468.76758222798458</v>
      </c>
      <c r="AB36" s="1">
        <f t="shared" si="48"/>
        <v>543.72313897256277</v>
      </c>
      <c r="AC36" s="1">
        <f t="shared" si="48"/>
        <v>617.23015895903859</v>
      </c>
    </row>
    <row r="37" spans="2:29">
      <c r="D37" s="1" t="s">
        <v>58</v>
      </c>
      <c r="E37" s="1">
        <f t="shared" si="38"/>
        <v>-0.69465837045899737</v>
      </c>
      <c r="F37" s="1">
        <f>7*F31</f>
        <v>3.9095375244672983</v>
      </c>
      <c r="I37" s="1">
        <f t="shared" si="45"/>
        <v>1.3962634015954636</v>
      </c>
      <c r="J37" s="1">
        <f t="shared" si="42"/>
        <v>0.98480775301220802</v>
      </c>
      <c r="K37" s="1">
        <f t="shared" si="46"/>
        <v>1.7453292519943295</v>
      </c>
      <c r="L37" s="1">
        <f t="shared" si="43"/>
        <v>0.98480775301220802</v>
      </c>
      <c r="S37" s="1">
        <v>35</v>
      </c>
      <c r="T37" s="1" t="s">
        <v>85</v>
      </c>
      <c r="U37" s="1">
        <f t="shared" ref="U37:AC37" si="49">U17/6000</f>
        <v>371.04053575994976</v>
      </c>
      <c r="V37" s="1">
        <f t="shared" si="49"/>
        <v>372.96806014116356</v>
      </c>
      <c r="W37" s="1">
        <f t="shared" si="49"/>
        <v>378.74549815312059</v>
      </c>
      <c r="X37" s="1">
        <f t="shared" si="49"/>
        <v>388.3574580813106</v>
      </c>
      <c r="Y37" s="1">
        <f t="shared" si="49"/>
        <v>401.77833263357388</v>
      </c>
      <c r="Z37" s="1">
        <f t="shared" si="49"/>
        <v>418.97236716067573</v>
      </c>
      <c r="AA37" s="1">
        <f t="shared" si="49"/>
        <v>439.89375491052601</v>
      </c>
      <c r="AB37" s="1">
        <f t="shared" si="49"/>
        <v>464.48675906227982</v>
      </c>
      <c r="AC37" s="1">
        <f t="shared" si="49"/>
        <v>492.68586121520588</v>
      </c>
    </row>
    <row r="38" spans="2:29">
      <c r="I38" s="1">
        <f t="shared" si="45"/>
        <v>1.7453292519943295</v>
      </c>
      <c r="J38" s="1">
        <f t="shared" si="42"/>
        <v>0.98480775301220802</v>
      </c>
      <c r="K38" s="1">
        <f t="shared" si="46"/>
        <v>2.1816615649929121</v>
      </c>
      <c r="L38" s="1">
        <f t="shared" si="43"/>
        <v>0.81915204428899169</v>
      </c>
      <c r="T38" s="1" t="s">
        <v>84</v>
      </c>
      <c r="U38" s="1">
        <f t="shared" ref="U38:AC38" si="50">U18/6000</f>
        <v>0</v>
      </c>
      <c r="V38" s="1">
        <f t="shared" si="50"/>
        <v>74.663672745864048</v>
      </c>
      <c r="W38" s="1">
        <f t="shared" si="50"/>
        <v>149.12843345963822</v>
      </c>
      <c r="X38" s="1">
        <f t="shared" si="50"/>
        <v>223.19590003222007</v>
      </c>
      <c r="Y38" s="1">
        <f t="shared" si="50"/>
        <v>296.66874878871016</v>
      </c>
      <c r="Z38" s="1">
        <f t="shared" si="50"/>
        <v>369.35124017984566</v>
      </c>
      <c r="AA38" s="1">
        <f t="shared" si="50"/>
        <v>441.04974025315312</v>
      </c>
      <c r="AB38" s="1">
        <f t="shared" si="50"/>
        <v>511.57323651456568</v>
      </c>
      <c r="AC38" s="1">
        <f t="shared" si="50"/>
        <v>580.73384680619404</v>
      </c>
    </row>
    <row r="39" spans="2:29">
      <c r="I39" s="1">
        <f t="shared" si="45"/>
        <v>2.0943951023931953</v>
      </c>
      <c r="J39" s="1">
        <f t="shared" si="42"/>
        <v>0.86602540378443871</v>
      </c>
      <c r="K39" s="1">
        <f t="shared" si="46"/>
        <v>2.617993877991494</v>
      </c>
      <c r="L39" s="1">
        <f t="shared" si="43"/>
        <v>0.50000000000000033</v>
      </c>
      <c r="S39" s="1">
        <v>40</v>
      </c>
      <c r="T39" s="1" t="s">
        <v>79</v>
      </c>
      <c r="U39" s="1">
        <f t="shared" ref="U39:AC39" si="51">U19/6000</f>
        <v>461.88457281634521</v>
      </c>
      <c r="V39" s="1">
        <f t="shared" si="51"/>
        <v>463.69108806855712</v>
      </c>
      <c r="W39" s="1">
        <f t="shared" si="51"/>
        <v>469.10582107480644</v>
      </c>
      <c r="X39" s="1">
        <f t="shared" si="51"/>
        <v>478.11434640561913</v>
      </c>
      <c r="Y39" s="1">
        <f t="shared" si="51"/>
        <v>490.6926643833234</v>
      </c>
      <c r="Z39" s="1">
        <f t="shared" si="51"/>
        <v>506.80726501976557</v>
      </c>
      <c r="AA39" s="1">
        <f t="shared" si="51"/>
        <v>526.41521729051271</v>
      </c>
      <c r="AB39" s="1">
        <f t="shared" si="51"/>
        <v>549.46428350770611</v>
      </c>
      <c r="AC39" s="1">
        <f t="shared" si="51"/>
        <v>575.89305848686377</v>
      </c>
    </row>
    <row r="40" spans="2:29">
      <c r="I40" s="1">
        <f>4*I10</f>
        <v>2.4434609527920612</v>
      </c>
      <c r="J40" s="1">
        <f>SIN(I40)</f>
        <v>0.64278760968653947</v>
      </c>
      <c r="K40" s="1">
        <f>5*I10</f>
        <v>3.0543261909900767</v>
      </c>
      <c r="L40" s="1">
        <f t="shared" si="43"/>
        <v>8.7155742747658194E-2</v>
      </c>
      <c r="T40" s="1" t="s">
        <v>80</v>
      </c>
      <c r="U40" s="1">
        <f t="shared" ref="U40:AC40" si="52">U20/6000</f>
        <v>0</v>
      </c>
      <c r="V40" s="1">
        <f t="shared" si="52"/>
        <v>69.976320360013659</v>
      </c>
      <c r="W40" s="1">
        <f t="shared" si="52"/>
        <v>139.76621629742547</v>
      </c>
      <c r="X40" s="1">
        <f t="shared" si="52"/>
        <v>209.1837600442899</v>
      </c>
      <c r="Y40" s="1">
        <f t="shared" si="52"/>
        <v>278.04401581883303</v>
      </c>
      <c r="Z40" s="1">
        <f t="shared" si="52"/>
        <v>346.16353251420981</v>
      </c>
      <c r="AA40" s="1">
        <f t="shared" si="52"/>
        <v>413.36083243192849</v>
      </c>
      <c r="AB40" s="1">
        <f t="shared" si="52"/>
        <v>479.45689475790351</v>
      </c>
      <c r="AC40" s="1">
        <f t="shared" si="52"/>
        <v>544.27563249310458</v>
      </c>
    </row>
    <row r="41" spans="2:29">
      <c r="I41" s="1">
        <f t="shared" si="45"/>
        <v>2.7925268031909272</v>
      </c>
      <c r="J41" s="1">
        <f t="shared" si="42"/>
        <v>0.34202014332566888</v>
      </c>
      <c r="K41" s="1">
        <f t="shared" si="46"/>
        <v>3.4906585039886591</v>
      </c>
      <c r="L41" s="1">
        <f t="shared" si="43"/>
        <v>-0.34202014332566866</v>
      </c>
      <c r="S41" s="1">
        <v>45</v>
      </c>
      <c r="T41" s="1" t="s">
        <v>85</v>
      </c>
      <c r="U41" s="1">
        <f t="shared" ref="U41:AC41" si="53">U21/6000</f>
        <v>553.34298063675226</v>
      </c>
      <c r="V41" s="1">
        <f t="shared" si="53"/>
        <v>555.02766838515788</v>
      </c>
      <c r="W41" s="1">
        <f t="shared" si="53"/>
        <v>560.07724344152518</v>
      </c>
      <c r="X41" s="1">
        <f t="shared" si="53"/>
        <v>568.47825319632273</v>
      </c>
      <c r="Y41" s="1">
        <f t="shared" si="53"/>
        <v>580.20831645853093</v>
      </c>
      <c r="Z41" s="1">
        <f t="shared" si="53"/>
        <v>595.2361830815363</v>
      </c>
      <c r="AA41" s="1">
        <f t="shared" si="53"/>
        <v>613.52181721687259</v>
      </c>
      <c r="AB41" s="1">
        <f t="shared" si="53"/>
        <v>635.01650397401625</v>
      </c>
      <c r="AC41" s="1">
        <f t="shared" si="53"/>
        <v>659.66297920207933</v>
      </c>
    </row>
    <row r="42" spans="2:29">
      <c r="I42" s="1">
        <f t="shared" si="45"/>
        <v>3.1415926535897931</v>
      </c>
      <c r="J42" s="1">
        <f t="shared" si="42"/>
        <v>1.22514845490862E-16</v>
      </c>
      <c r="K42" s="1">
        <f t="shared" si="46"/>
        <v>3.9269908169872414</v>
      </c>
      <c r="L42" s="1">
        <f t="shared" si="43"/>
        <v>-0.70710678118654746</v>
      </c>
      <c r="T42" s="1" t="s">
        <v>84</v>
      </c>
      <c r="U42" s="1">
        <f t="shared" ref="U42:AC42" si="54">U22/6000</f>
        <v>0</v>
      </c>
      <c r="V42" s="1">
        <f t="shared" si="54"/>
        <v>65.25726779482514</v>
      </c>
      <c r="W42" s="1">
        <f t="shared" si="54"/>
        <v>130.34068322921414</v>
      </c>
      <c r="X42" s="1">
        <f t="shared" si="54"/>
        <v>195.07685710406517</v>
      </c>
      <c r="Y42" s="1">
        <f t="shared" si="54"/>
        <v>259.29332530903378</v>
      </c>
      <c r="Z42" s="1">
        <f t="shared" si="54"/>
        <v>322.81900828541995</v>
      </c>
      <c r="AA42" s="1">
        <f t="shared" si="54"/>
        <v>385.4846668004613</v>
      </c>
      <c r="AB42" s="1">
        <f t="shared" si="54"/>
        <v>447.12335281880058</v>
      </c>
      <c r="AC42" s="1">
        <f t="shared" si="54"/>
        <v>507.57085426995764</v>
      </c>
    </row>
    <row r="43" spans="2:29">
      <c r="I43" s="1">
        <f t="shared" si="45"/>
        <v>3.4906585039886591</v>
      </c>
      <c r="J43" s="1">
        <f t="shared" si="42"/>
        <v>-0.34202014332566866</v>
      </c>
      <c r="K43" s="1">
        <f t="shared" si="46"/>
        <v>4.3633231299858242</v>
      </c>
      <c r="L43" s="1">
        <f t="shared" si="43"/>
        <v>-0.93969262078590843</v>
      </c>
      <c r="S43" s="1">
        <v>50</v>
      </c>
      <c r="T43" s="1" t="s">
        <v>79</v>
      </c>
      <c r="U43" s="1">
        <f t="shared" ref="U43:AC43" si="55">U23/6000</f>
        <v>646.20103280241574</v>
      </c>
      <c r="V43" s="1">
        <f t="shared" si="55"/>
        <v>647.76202864568927</v>
      </c>
      <c r="W43" s="1">
        <f t="shared" si="55"/>
        <v>652.44085751516218</v>
      </c>
      <c r="X43" s="1">
        <f t="shared" si="55"/>
        <v>660.22505450890833</v>
      </c>
      <c r="Y43" s="1">
        <f t="shared" si="55"/>
        <v>671.0938816912585</v>
      </c>
      <c r="Z43" s="1">
        <f t="shared" si="55"/>
        <v>685.01838334088598</v>
      </c>
      <c r="AA43" s="1">
        <f t="shared" si="55"/>
        <v>701.96146309195308</v>
      </c>
      <c r="AB43" s="1">
        <f t="shared" si="55"/>
        <v>721.87798276280841</v>
      </c>
      <c r="AC43" s="1">
        <f t="shared" si="55"/>
        <v>744.71488260894466</v>
      </c>
    </row>
    <row r="44" spans="2:29">
      <c r="I44" s="1">
        <f t="shared" si="45"/>
        <v>3.839724354387525</v>
      </c>
      <c r="J44" s="1">
        <f t="shared" si="42"/>
        <v>-0.64278760968653925</v>
      </c>
      <c r="K44" s="1">
        <f t="shared" si="46"/>
        <v>4.7996554429844061</v>
      </c>
      <c r="L44" s="1">
        <f t="shared" si="43"/>
        <v>-0.99619469809174555</v>
      </c>
      <c r="T44" s="1" t="s">
        <v>80</v>
      </c>
      <c r="U44" s="1">
        <f t="shared" ref="U44:AC44" si="56">U24/6000</f>
        <v>0</v>
      </c>
      <c r="V44" s="1">
        <f t="shared" si="56"/>
        <v>60.465996661707877</v>
      </c>
      <c r="W44" s="1">
        <f t="shared" si="56"/>
        <v>120.77090542315592</v>
      </c>
      <c r="X44" s="1">
        <f t="shared" si="56"/>
        <v>180.75406753952771</v>
      </c>
      <c r="Y44" s="1">
        <f t="shared" si="56"/>
        <v>240.25568143357756</v>
      </c>
      <c r="Z44" s="1">
        <f t="shared" si="56"/>
        <v>299.11722842417163</v>
      </c>
      <c r="AA44" s="1">
        <f t="shared" si="56"/>
        <v>357.18189503705565</v>
      </c>
      <c r="AB44" s="1">
        <f t="shared" si="56"/>
        <v>414.29499077276949</v>
      </c>
      <c r="AC44" s="1">
        <f t="shared" si="56"/>
        <v>470.3043602187285</v>
      </c>
    </row>
    <row r="45" spans="2:29">
      <c r="I45" s="1">
        <f t="shared" si="45"/>
        <v>4.1887902047863905</v>
      </c>
      <c r="J45" s="1">
        <f t="shared" si="42"/>
        <v>-0.86602540378443837</v>
      </c>
      <c r="K45" s="1">
        <f t="shared" si="46"/>
        <v>5.2359877559829879</v>
      </c>
      <c r="L45" s="1">
        <f t="shared" si="43"/>
        <v>-0.86602540378443904</v>
      </c>
      <c r="S45" s="1">
        <v>55</v>
      </c>
      <c r="T45" s="1" t="s">
        <v>85</v>
      </c>
      <c r="U45" s="1">
        <f t="shared" ref="U45:AC45" si="57">U25/6000</f>
        <v>741.375232168818</v>
      </c>
      <c r="V45" s="1">
        <f t="shared" si="57"/>
        <v>742.8094508746816</v>
      </c>
      <c r="W45" s="1">
        <f t="shared" si="57"/>
        <v>747.10828607981523</v>
      </c>
      <c r="X45" s="1">
        <f t="shared" si="57"/>
        <v>754.26028522617048</v>
      </c>
      <c r="Y45" s="1">
        <f t="shared" si="57"/>
        <v>764.24639462094842</v>
      </c>
      <c r="Z45" s="1">
        <f t="shared" si="57"/>
        <v>777.04001019768248</v>
      </c>
      <c r="AA45" s="1">
        <f>AA25/6000</f>
        <v>792.60704839232392</v>
      </c>
      <c r="AB45" s="1">
        <f>AB25/6000</f>
        <v>810.90603694551237</v>
      </c>
      <c r="AC45" s="1">
        <f t="shared" si="57"/>
        <v>831.88822538912245</v>
      </c>
    </row>
    <row r="46" spans="2:29">
      <c r="I46" s="1">
        <f t="shared" si="45"/>
        <v>3.810298382451581</v>
      </c>
      <c r="J46" s="1">
        <f t="shared" si="42"/>
        <v>-0.61997098944166529</v>
      </c>
      <c r="K46" s="1">
        <f t="shared" si="46"/>
        <v>4.7628729780644763</v>
      </c>
      <c r="L46" s="1">
        <f t="shared" si="43"/>
        <v>-0.9987259536134494</v>
      </c>
      <c r="T46" s="1" t="s">
        <v>86</v>
      </c>
      <c r="U46" s="1">
        <f t="shared" ref="U46:AC46" si="58">U26/6000</f>
        <v>0</v>
      </c>
      <c r="V46" s="1">
        <f t="shared" si="58"/>
        <v>55.555217430325179</v>
      </c>
      <c r="W46" s="1">
        <f>W26/6000</f>
        <v>110.96242980295821</v>
      </c>
      <c r="X46" s="1">
        <f t="shared" si="58"/>
        <v>166.07402636155456</v>
      </c>
      <c r="Y46" s="1">
        <f t="shared" si="58"/>
        <v>220.74318390200401</v>
      </c>
      <c r="Z46" s="1">
        <f>Z26/6000</f>
        <v>274.82425792519354</v>
      </c>
      <c r="AA46" s="1">
        <f t="shared" si="58"/>
        <v>328.17317064957365</v>
      </c>
      <c r="AB46" s="1">
        <f>AB26/6000</f>
        <v>380.64779484982154</v>
      </c>
      <c r="AC46" s="1">
        <f t="shared" si="58"/>
        <v>432.10833249901236</v>
      </c>
    </row>
    <row r="47" spans="2:29">
      <c r="T47" s="1" t="s">
        <v>92</v>
      </c>
      <c r="U47" s="1">
        <f>R6/6000</f>
        <v>1818.0726543962173</v>
      </c>
    </row>
    <row r="48" spans="2:29">
      <c r="I48" s="1" t="s">
        <v>59</v>
      </c>
      <c r="J48" s="1" t="s">
        <v>60</v>
      </c>
      <c r="K48" s="1" t="s">
        <v>61</v>
      </c>
      <c r="L48" s="1" t="s">
        <v>62</v>
      </c>
      <c r="S48" s="1" t="s">
        <v>87</v>
      </c>
      <c r="T48" s="1" t="s">
        <v>88</v>
      </c>
      <c r="U48" s="1" t="s">
        <v>89</v>
      </c>
      <c r="V48" s="1" t="s">
        <v>90</v>
      </c>
    </row>
    <row r="49" spans="9:27">
      <c r="I49" s="1">
        <f>6*I4</f>
        <v>4.9218284906240095</v>
      </c>
      <c r="J49" s="1">
        <f t="shared" ref="J49:J61" si="59">SIN(I49)</f>
        <v>-0.97814760073380558</v>
      </c>
      <c r="K49" s="1">
        <f>7*I4</f>
        <v>5.742133239061344</v>
      </c>
      <c r="L49" s="1">
        <f t="shared" ref="L49:L61" si="60">SIN(K49)</f>
        <v>-0.51503807491005449</v>
      </c>
      <c r="S49" s="1">
        <v>15</v>
      </c>
      <c r="T49" s="1">
        <f>$T$2*R6/N6</f>
        <v>1.0471380985009384</v>
      </c>
      <c r="U49" s="1">
        <f>T49*T49</f>
        <v>1.096498197332161</v>
      </c>
      <c r="V49" s="1">
        <f>R6/3000</f>
        <v>3636.1453087924347</v>
      </c>
      <c r="W49" s="1">
        <v>0.96383938800000002</v>
      </c>
      <c r="X49" s="1">
        <v>35.5</v>
      </c>
      <c r="Y49" s="1">
        <v>1437.954</v>
      </c>
    </row>
    <row r="50" spans="9:27">
      <c r="I50" s="1">
        <f t="shared" ref="I50:I61" si="61">6*I5</f>
        <v>0.52359877559829882</v>
      </c>
      <c r="J50" s="1">
        <f t="shared" si="59"/>
        <v>0.49999999999999994</v>
      </c>
      <c r="K50" s="1">
        <f t="shared" ref="K50:K61" si="62">7*I5</f>
        <v>0.6108652381980153</v>
      </c>
      <c r="L50" s="1">
        <f t="shared" si="60"/>
        <v>0.57357643635104605</v>
      </c>
      <c r="S50" s="1">
        <v>20</v>
      </c>
      <c r="T50" s="1">
        <f>$T$2*R7/N7</f>
        <v>1.0198044098688053</v>
      </c>
      <c r="U50" s="1">
        <f t="shared" ref="U50:U59" si="63">T50*T50</f>
        <v>1.0400010343878621</v>
      </c>
      <c r="V50" s="1">
        <f t="shared" ref="V50:V57" si="64">R7/3000</f>
        <v>3445.6321224798826</v>
      </c>
      <c r="W50" s="1">
        <v>1</v>
      </c>
      <c r="X50" s="1">
        <v>25</v>
      </c>
      <c r="Y50" s="1">
        <f>R8/6000</f>
        <v>1629.6772286866753</v>
      </c>
      <c r="Z50" s="1">
        <v>47</v>
      </c>
      <c r="AA50" s="1">
        <f>R4/6000</f>
        <v>1227.8020582798956</v>
      </c>
    </row>
    <row r="51" spans="9:27">
      <c r="I51" s="1">
        <f t="shared" si="61"/>
        <v>1.5707963267948966</v>
      </c>
      <c r="J51" s="1">
        <f t="shared" si="59"/>
        <v>1</v>
      </c>
      <c r="K51" s="1">
        <f t="shared" si="62"/>
        <v>1.8325957145940459</v>
      </c>
      <c r="L51" s="1">
        <f t="shared" si="60"/>
        <v>0.96592582628906831</v>
      </c>
      <c r="S51" s="1">
        <v>25</v>
      </c>
      <c r="T51" s="1">
        <f t="shared" ref="T51:T57" si="65">$T$2*R8/N8</f>
        <v>0.99999999999999922</v>
      </c>
      <c r="U51" s="1">
        <f t="shared" si="63"/>
        <v>0.99999999999999845</v>
      </c>
      <c r="V51" s="1">
        <f t="shared" si="64"/>
        <v>3259.3544573733507</v>
      </c>
      <c r="W51" s="1">
        <v>1.04</v>
      </c>
      <c r="X51" s="1">
        <v>20.000108000000001</v>
      </c>
      <c r="Y51" s="1">
        <v>1722.817</v>
      </c>
      <c r="Z51" s="1">
        <v>51.433880000000002</v>
      </c>
      <c r="AA51" s="1">
        <v>1144.8599999999999</v>
      </c>
    </row>
    <row r="52" spans="9:27">
      <c r="I52" s="1">
        <f t="shared" si="61"/>
        <v>2.0943951023931953</v>
      </c>
      <c r="J52" s="1">
        <f t="shared" si="59"/>
        <v>0.86602540378443871</v>
      </c>
      <c r="K52" s="1">
        <f t="shared" si="62"/>
        <v>2.4434609527920612</v>
      </c>
      <c r="L52" s="1">
        <f t="shared" si="60"/>
        <v>0.64278760968653947</v>
      </c>
      <c r="S52" s="1">
        <v>30</v>
      </c>
      <c r="T52" s="1">
        <f t="shared" si="65"/>
        <v>0.98738771889039123</v>
      </c>
      <c r="U52" s="1">
        <f t="shared" si="63"/>
        <v>0.97493450741557031</v>
      </c>
      <c r="V52" s="1">
        <f t="shared" si="64"/>
        <v>3075.9421704682068</v>
      </c>
      <c r="W52" s="1">
        <v>1.08</v>
      </c>
      <c r="X52" s="1">
        <v>16.308109999999999</v>
      </c>
      <c r="Y52" s="1">
        <v>1792.9069999999999</v>
      </c>
      <c r="Z52" s="1">
        <v>54.578504000000002</v>
      </c>
      <c r="AA52" s="1">
        <v>1080.836</v>
      </c>
    </row>
    <row r="53" spans="9:27">
      <c r="I53" s="1">
        <f>6*I8</f>
        <v>2.6179938779914944</v>
      </c>
      <c r="J53" s="1">
        <f t="shared" si="59"/>
        <v>0.49999999999999994</v>
      </c>
      <c r="K53" s="1">
        <f t="shared" si="62"/>
        <v>3.0543261909900767</v>
      </c>
      <c r="L53" s="1">
        <f t="shared" si="60"/>
        <v>8.7155742747658194E-2</v>
      </c>
      <c r="S53" s="1">
        <v>35</v>
      </c>
      <c r="T53" s="1">
        <f>$T$2*R10/N10</f>
        <v>0.98190344960801601</v>
      </c>
      <c r="U53" s="1">
        <f t="shared" si="63"/>
        <v>0.96413438435212162</v>
      </c>
      <c r="V53" s="1">
        <f t="shared" si="64"/>
        <v>2894.0642372725351</v>
      </c>
    </row>
    <row r="54" spans="9:27">
      <c r="I54" s="1">
        <f t="shared" si="61"/>
        <v>3.1415926535897931</v>
      </c>
      <c r="J54" s="1">
        <f t="shared" si="59"/>
        <v>1.22514845490862E-16</v>
      </c>
      <c r="K54" s="1">
        <f>7*I9</f>
        <v>3.6651914291880918</v>
      </c>
      <c r="L54" s="1">
        <f t="shared" si="60"/>
        <v>-0.49999999999999972</v>
      </c>
      <c r="S54" s="1">
        <v>40</v>
      </c>
      <c r="T54" s="1">
        <f t="shared" si="65"/>
        <v>0.98378094859316301</v>
      </c>
      <c r="U54" s="1">
        <f t="shared" si="63"/>
        <v>0.96782495481486364</v>
      </c>
      <c r="V54" s="1">
        <f t="shared" si="64"/>
        <v>2712.376163159744</v>
      </c>
    </row>
    <row r="55" spans="9:27">
      <c r="I55" s="1">
        <f t="shared" si="61"/>
        <v>3.6651914291880918</v>
      </c>
      <c r="J55" s="1">
        <f t="shared" si="59"/>
        <v>-0.49999999999999972</v>
      </c>
      <c r="K55" s="1">
        <f t="shared" si="62"/>
        <v>4.2760566673861069</v>
      </c>
      <c r="L55" s="1">
        <f t="shared" si="60"/>
        <v>-0.90630778703664971</v>
      </c>
      <c r="S55" s="1">
        <v>45</v>
      </c>
      <c r="T55" s="1">
        <f t="shared" si="65"/>
        <v>0.99361595596098229</v>
      </c>
      <c r="U55" s="1">
        <f>T55*T55</f>
        <v>0.9872726679402567</v>
      </c>
      <c r="V55" s="1">
        <f t="shared" si="64"/>
        <v>2529.4593475189304</v>
      </c>
    </row>
    <row r="56" spans="9:27">
      <c r="I56" s="1">
        <f t="shared" si="61"/>
        <v>4.1887902047863905</v>
      </c>
      <c r="J56" s="1">
        <f t="shared" si="59"/>
        <v>-0.86602540378443837</v>
      </c>
      <c r="K56" s="1">
        <f t="shared" si="62"/>
        <v>4.8869219055841224</v>
      </c>
      <c r="L56" s="1">
        <f t="shared" si="60"/>
        <v>-0.98480775301220813</v>
      </c>
      <c r="S56" s="1">
        <v>50</v>
      </c>
      <c r="T56" s="1">
        <f t="shared" si="65"/>
        <v>1.0124922725585352</v>
      </c>
      <c r="U56" s="1">
        <f t="shared" si="63"/>
        <v>1.0251406019907472</v>
      </c>
      <c r="V56" s="1">
        <f t="shared" si="64"/>
        <v>2343.7432431876032</v>
      </c>
    </row>
    <row r="57" spans="9:27">
      <c r="I57" s="1">
        <f t="shared" si="61"/>
        <v>4.7123889803846897</v>
      </c>
      <c r="J57" s="1">
        <f t="shared" si="59"/>
        <v>-1</v>
      </c>
      <c r="K57" s="1">
        <f t="shared" si="62"/>
        <v>5.497787143782138</v>
      </c>
      <c r="L57" s="1">
        <f t="shared" si="60"/>
        <v>-0.70710678118654768</v>
      </c>
      <c r="S57" s="1">
        <v>55</v>
      </c>
      <c r="T57" s="1">
        <f t="shared" si="65"/>
        <v>1.0422181998632203</v>
      </c>
      <c r="U57" s="1">
        <f t="shared" si="63"/>
        <v>1.0862187761261315</v>
      </c>
      <c r="V57" s="1">
        <f t="shared" si="64"/>
        <v>2153.3948444547987</v>
      </c>
    </row>
    <row r="58" spans="9:27">
      <c r="I58" s="1">
        <f t="shared" si="61"/>
        <v>5.2359877559829888</v>
      </c>
      <c r="J58" s="1">
        <f t="shared" si="59"/>
        <v>-0.8660254037844386</v>
      </c>
      <c r="K58" s="1">
        <f t="shared" si="62"/>
        <v>6.1086523819801535</v>
      </c>
      <c r="L58" s="1">
        <f t="shared" si="60"/>
        <v>-0.17364817766693039</v>
      </c>
    </row>
    <row r="59" spans="9:27">
      <c r="I59" s="1">
        <f t="shared" si="61"/>
        <v>5.759586531581288</v>
      </c>
      <c r="J59" s="1">
        <f t="shared" si="59"/>
        <v>-0.49999999999999967</v>
      </c>
      <c r="K59" s="1">
        <f t="shared" si="62"/>
        <v>6.719517620178169</v>
      </c>
      <c r="L59" s="1">
        <f t="shared" si="60"/>
        <v>0.42261826174069955</v>
      </c>
      <c r="T59" s="1">
        <f t="shared" ref="T59" si="66">$T$2*R16/N16</f>
        <v>1.0392304878551757</v>
      </c>
      <c r="U59" s="1">
        <f t="shared" si="63"/>
        <v>1.0800000068877065</v>
      </c>
    </row>
    <row r="60" spans="9:27">
      <c r="I60" s="1">
        <f t="shared" si="61"/>
        <v>6.2831853071795862</v>
      </c>
      <c r="J60" s="1">
        <f t="shared" si="59"/>
        <v>-2.45029690981724E-16</v>
      </c>
      <c r="K60" s="1">
        <f t="shared" si="62"/>
        <v>7.3303828583761836</v>
      </c>
      <c r="L60" s="1">
        <f t="shared" si="60"/>
        <v>0.86602540378443837</v>
      </c>
    </row>
    <row r="61" spans="9:27">
      <c r="I61" s="1">
        <f t="shared" si="61"/>
        <v>5.7154475736773716</v>
      </c>
      <c r="J61" s="1">
        <f t="shared" si="59"/>
        <v>-0.53772606511071419</v>
      </c>
      <c r="K61" s="1">
        <f t="shared" si="62"/>
        <v>6.6680221692902668</v>
      </c>
      <c r="L61" s="1">
        <f t="shared" si="60"/>
        <v>0.37540793581048082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0"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0"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ZHWJS</cp:lastModifiedBy>
  <dcterms:created xsi:type="dcterms:W3CDTF">2006-09-16T00:00:00Z</dcterms:created>
  <dcterms:modified xsi:type="dcterms:W3CDTF">2007-03-01T10:39:44Z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