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1215" yWindow="465" windowWidth="19320" windowHeight="11640"/>
  </bookViews>
  <sheets>
    <sheet name="Sheet1" sheetId="1" r:id="rId1"/>
    <sheet name="Sheet2" sheetId="2" r:id="rId2"/>
    <sheet name="Sheet3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6" i="1"/>
  <c r="T35"/>
  <c r="T34"/>
  <c r="S34"/>
  <c r="S36"/>
  <c r="W35"/>
  <c r="W36"/>
  <c r="W34"/>
  <c r="U22"/>
  <c r="V22"/>
  <c r="W22"/>
  <c r="X22"/>
  <c r="U23"/>
  <c r="V23"/>
  <c r="W23"/>
  <c r="X23"/>
  <c r="U24"/>
  <c r="V24"/>
  <c r="W24"/>
  <c r="X24"/>
  <c r="U25"/>
  <c r="V25"/>
  <c r="W25"/>
  <c r="X25"/>
  <c r="U26"/>
  <c r="V26"/>
  <c r="W26"/>
  <c r="X26"/>
  <c r="U27"/>
  <c r="V27"/>
  <c r="W27"/>
  <c r="X27"/>
  <c r="U28"/>
  <c r="V28"/>
  <c r="W28"/>
  <c r="X28"/>
  <c r="U29"/>
  <c r="V29"/>
  <c r="W29"/>
  <c r="X29"/>
  <c r="U30"/>
  <c r="V30"/>
  <c r="W30"/>
  <c r="X30"/>
  <c r="V21"/>
  <c r="W21"/>
  <c r="X21"/>
  <c r="U21"/>
  <c r="V9"/>
  <c r="W9"/>
  <c r="X9"/>
  <c r="V10"/>
  <c r="W10"/>
  <c r="X10"/>
  <c r="V11"/>
  <c r="W11"/>
  <c r="X11"/>
  <c r="V12"/>
  <c r="W12"/>
  <c r="X12"/>
  <c r="V13"/>
  <c r="W13"/>
  <c r="X13"/>
  <c r="V14"/>
  <c r="W14"/>
  <c r="X14"/>
  <c r="V15"/>
  <c r="W15"/>
  <c r="X15"/>
  <c r="V16"/>
  <c r="W16"/>
  <c r="X16"/>
  <c r="V17"/>
  <c r="W17"/>
  <c r="X17"/>
  <c r="V18"/>
  <c r="W18"/>
  <c r="X18"/>
  <c r="U13"/>
  <c r="U17"/>
  <c r="U15"/>
  <c r="U11"/>
  <c r="U9"/>
  <c r="H11"/>
  <c r="W6"/>
  <c r="V6"/>
  <c r="I11"/>
  <c r="J11"/>
  <c r="M11"/>
  <c r="K11"/>
  <c r="N11"/>
  <c r="M26"/>
  <c r="N26"/>
  <c r="Q11"/>
  <c r="V2"/>
  <c r="R11"/>
  <c r="R4"/>
  <c r="W2"/>
  <c r="W5"/>
  <c r="X5"/>
  <c r="V5"/>
  <c r="R5"/>
  <c r="R6"/>
  <c r="R7"/>
  <c r="R8"/>
  <c r="Q6"/>
  <c r="Q4"/>
  <c r="T2"/>
  <c r="I8"/>
  <c r="J8"/>
  <c r="M8"/>
  <c r="K8"/>
  <c r="N8"/>
  <c r="M23"/>
  <c r="N23"/>
  <c r="Q8"/>
  <c r="X6"/>
  <c r="I6"/>
  <c r="M21"/>
  <c r="N21"/>
  <c r="J6"/>
  <c r="U10"/>
  <c r="H5"/>
  <c r="H4"/>
  <c r="I4"/>
  <c r="J4"/>
  <c r="M4"/>
  <c r="K4"/>
  <c r="N4"/>
  <c r="M19"/>
  <c r="N19"/>
  <c r="I16"/>
  <c r="M31"/>
  <c r="N31"/>
  <c r="J16"/>
  <c r="Q16"/>
  <c r="R16"/>
  <c r="G16"/>
  <c r="I7"/>
  <c r="M22"/>
  <c r="N22"/>
  <c r="J7"/>
  <c r="Q7"/>
  <c r="I9" l="1"/>
  <c r="M24"/>
  <c r="N24"/>
  <c r="J9"/>
  <c r="Q9"/>
  <c r="R9"/>
  <c r="I10"/>
  <c r="M25"/>
  <c r="N25"/>
  <c r="J10"/>
  <c r="Q10"/>
  <c r="R10"/>
  <c r="I12"/>
  <c r="M27"/>
  <c r="N27"/>
  <c r="J12"/>
  <c r="Q12"/>
  <c r="R12"/>
  <c r="I13"/>
  <c r="M28"/>
  <c r="N28"/>
  <c r="J13"/>
  <c r="Q13"/>
  <c r="R13"/>
  <c r="I14"/>
  <c r="M29"/>
  <c r="N29"/>
  <c r="J14"/>
  <c r="Q14"/>
  <c r="R14"/>
  <c r="U18"/>
  <c r="U16"/>
  <c r="U14"/>
  <c r="U12"/>
  <c r="U32"/>
  <c r="M7"/>
  <c r="K7"/>
  <c r="N7"/>
  <c r="M12"/>
  <c r="K12"/>
  <c r="N12"/>
  <c r="I5"/>
  <c r="K5"/>
  <c r="K6"/>
  <c r="K9"/>
  <c r="K10"/>
  <c r="K13"/>
  <c r="K14"/>
  <c r="I15"/>
  <c r="K15"/>
  <c r="K16"/>
  <c r="M16"/>
  <c r="N16"/>
  <c r="E16"/>
  <c r="M6"/>
  <c r="N6"/>
  <c r="U34"/>
  <c r="M20"/>
  <c r="N20"/>
  <c r="J5"/>
  <c r="Q5"/>
  <c r="M30"/>
  <c r="N30"/>
  <c r="J15"/>
  <c r="Q15"/>
  <c r="R15"/>
  <c r="M10"/>
  <c r="N10"/>
  <c r="U35"/>
  <c r="U36"/>
  <c r="M9"/>
  <c r="N9"/>
  <c r="M13"/>
  <c r="N13"/>
  <c r="M14"/>
  <c r="N14"/>
  <c r="E6"/>
  <c r="B6"/>
  <c r="B22"/>
  <c r="E7"/>
  <c r="E9"/>
  <c r="E10"/>
  <c r="K19"/>
  <c r="L19"/>
  <c r="E11"/>
  <c r="K34"/>
  <c r="L34"/>
  <c r="E12"/>
  <c r="K49"/>
  <c r="L49"/>
  <c r="P4"/>
  <c r="K54"/>
  <c r="I53"/>
  <c r="K40"/>
  <c r="I40"/>
  <c r="J40"/>
  <c r="K24"/>
  <c r="L24"/>
  <c r="I20"/>
  <c r="I19"/>
  <c r="B9"/>
  <c r="B10"/>
  <c r="I21"/>
  <c r="J21"/>
  <c r="B11"/>
  <c r="I36"/>
  <c r="J36"/>
  <c r="B12"/>
  <c r="I51"/>
  <c r="J51"/>
  <c r="O6"/>
  <c r="B13"/>
  <c r="J20"/>
  <c r="I35"/>
  <c r="J35"/>
  <c r="I50"/>
  <c r="J50"/>
  <c r="O5"/>
  <c r="J19"/>
  <c r="I34"/>
  <c r="J34"/>
  <c r="I49"/>
  <c r="J49"/>
  <c r="O4"/>
  <c r="M5"/>
  <c r="N5"/>
  <c r="K21"/>
  <c r="L21"/>
  <c r="K36"/>
  <c r="L36"/>
  <c r="K51"/>
  <c r="L51"/>
  <c r="P6"/>
  <c r="L5"/>
  <c r="L6"/>
  <c r="L7"/>
  <c r="L8"/>
  <c r="L9"/>
  <c r="L10"/>
  <c r="L11"/>
  <c r="L12"/>
  <c r="L13"/>
  <c r="L14"/>
  <c r="L15"/>
  <c r="L16"/>
  <c r="L4"/>
  <c r="K61"/>
  <c r="L61"/>
  <c r="I61"/>
  <c r="J61"/>
  <c r="K60"/>
  <c r="L60"/>
  <c r="I60"/>
  <c r="J60"/>
  <c r="K59"/>
  <c r="L59"/>
  <c r="I59"/>
  <c r="J59"/>
  <c r="K58"/>
  <c r="L58"/>
  <c r="I58"/>
  <c r="J58"/>
  <c r="K57"/>
  <c r="L57"/>
  <c r="I57"/>
  <c r="J57"/>
  <c r="K56"/>
  <c r="L56"/>
  <c r="I56"/>
  <c r="J56"/>
  <c r="K55"/>
  <c r="L55"/>
  <c r="I55"/>
  <c r="J55"/>
  <c r="L54"/>
  <c r="I54"/>
  <c r="J54"/>
  <c r="K53"/>
  <c r="L53"/>
  <c r="J53"/>
  <c r="K52"/>
  <c r="L52"/>
  <c r="I52"/>
  <c r="J52"/>
  <c r="K50"/>
  <c r="L50"/>
  <c r="K46"/>
  <c r="L46"/>
  <c r="I46"/>
  <c r="J46"/>
  <c r="K45"/>
  <c r="L45"/>
  <c r="I45"/>
  <c r="J45"/>
  <c r="K44"/>
  <c r="L44"/>
  <c r="I44"/>
  <c r="J44"/>
  <c r="K43"/>
  <c r="L43"/>
  <c r="I43"/>
  <c r="J43"/>
  <c r="K42"/>
  <c r="L42"/>
  <c r="I42"/>
  <c r="J42"/>
  <c r="K41"/>
  <c r="L41"/>
  <c r="I41"/>
  <c r="J41"/>
  <c r="L40"/>
  <c r="K39"/>
  <c r="L39"/>
  <c r="I39"/>
  <c r="J39"/>
  <c r="K38"/>
  <c r="L38"/>
  <c r="I38"/>
  <c r="J38"/>
  <c r="K37"/>
  <c r="L37"/>
  <c r="I37"/>
  <c r="J37"/>
  <c r="F31"/>
  <c r="F37"/>
  <c r="E37"/>
  <c r="F30"/>
  <c r="F36"/>
  <c r="E36"/>
  <c r="K35"/>
  <c r="L35"/>
  <c r="F35"/>
  <c r="E35"/>
  <c r="F34"/>
  <c r="E34"/>
  <c r="F33"/>
  <c r="E33"/>
  <c r="F32"/>
  <c r="E32"/>
  <c r="K31"/>
  <c r="L31"/>
  <c r="I31"/>
  <c r="J31"/>
  <c r="E31"/>
  <c r="K30"/>
  <c r="L30"/>
  <c r="I30"/>
  <c r="J30"/>
  <c r="E30"/>
  <c r="K29"/>
  <c r="L29"/>
  <c r="I29"/>
  <c r="J29"/>
  <c r="K28"/>
  <c r="L28"/>
  <c r="I28"/>
  <c r="J28"/>
  <c r="K27"/>
  <c r="L27"/>
  <c r="I27"/>
  <c r="J27"/>
  <c r="K26"/>
  <c r="L26"/>
  <c r="I26"/>
  <c r="J26"/>
  <c r="K25"/>
  <c r="L25"/>
  <c r="I25"/>
  <c r="J25"/>
  <c r="I24"/>
  <c r="J24"/>
  <c r="K23"/>
  <c r="L23"/>
  <c r="I23"/>
  <c r="J23"/>
  <c r="K22"/>
  <c r="L22"/>
  <c r="I22"/>
  <c r="J22"/>
  <c r="K20"/>
  <c r="L20"/>
  <c r="B7"/>
  <c r="B5"/>
  <c r="B30"/>
  <c r="B31"/>
  <c r="B32"/>
  <c r="B33"/>
  <c r="M15"/>
  <c r="N15"/>
  <c r="O16"/>
  <c r="P15"/>
  <c r="P14"/>
  <c r="P13"/>
  <c r="O12"/>
  <c r="O11"/>
  <c r="O10"/>
  <c r="O9"/>
  <c r="O8"/>
  <c r="O7"/>
  <c r="B29"/>
  <c r="P16"/>
  <c r="O15"/>
  <c r="O14"/>
  <c r="O13"/>
  <c r="P12"/>
  <c r="P11"/>
  <c r="P10"/>
  <c r="P9"/>
  <c r="P8"/>
  <c r="P7"/>
  <c r="P5"/>
</calcChain>
</file>

<file path=xl/sharedStrings.xml><?xml version="1.0" encoding="utf-8"?>
<sst xmlns="http://schemas.openxmlformats.org/spreadsheetml/2006/main" count="119" uniqueCount="98">
  <si>
    <t>子午圈</t>
  </si>
  <si>
    <t>卯酉圈</t>
  </si>
  <si>
    <t>赤道起</t>
  </si>
  <si>
    <t>赤道起经度1°</t>
  </si>
  <si>
    <t>1975国际椭球参数</t>
  </si>
  <si>
    <t>纬度</t>
  </si>
  <si>
    <t>曲率半径</t>
  </si>
  <si>
    <t>纬圈半径</t>
  </si>
  <si>
    <t>经线弧长</t>
  </si>
  <si>
    <t>椭球面梯形面积</t>
  </si>
  <si>
    <t xml:space="preserve">a </t>
  </si>
  <si>
    <t>B(°)</t>
  </si>
  <si>
    <t>B(rad)</t>
  </si>
  <si>
    <t>sinB</t>
  </si>
  <si>
    <t>cosB</t>
  </si>
  <si>
    <t>M</t>
  </si>
  <si>
    <t>N</t>
  </si>
  <si>
    <t>r</t>
  </si>
  <si>
    <t>Sm</t>
  </si>
  <si>
    <t>S</t>
  </si>
  <si>
    <t>b</t>
  </si>
  <si>
    <t>α</t>
  </si>
  <si>
    <t>e1</t>
  </si>
  <si>
    <r>
      <rPr>
        <sz val="11"/>
        <color theme="1"/>
        <rFont val="微软雅黑"/>
        <family val="3"/>
        <charset val="134"/>
      </rPr>
      <t>e1^</t>
    </r>
    <r>
      <rPr>
        <sz val="11"/>
        <color theme="1"/>
        <rFont val="微软雅黑"/>
        <family val="3"/>
        <charset val="134"/>
      </rPr>
      <t>2</t>
    </r>
  </si>
  <si>
    <t>e2</t>
  </si>
  <si>
    <t>1-e^2</t>
  </si>
  <si>
    <t>系数1</t>
  </si>
  <si>
    <t>系数2</t>
  </si>
  <si>
    <t>A</t>
  </si>
  <si>
    <t>A'</t>
  </si>
  <si>
    <t>B</t>
  </si>
  <si>
    <t>B'</t>
  </si>
  <si>
    <t>C</t>
  </si>
  <si>
    <t>C'</t>
  </si>
  <si>
    <t>D</t>
  </si>
  <si>
    <t>D'</t>
  </si>
  <si>
    <t>p°</t>
  </si>
  <si>
    <t>2B(rad)</t>
  </si>
  <si>
    <t>sin2B</t>
  </si>
  <si>
    <t>3B(rad)</t>
  </si>
  <si>
    <t>sin3B</t>
  </si>
  <si>
    <t>Sn</t>
  </si>
  <si>
    <t>纬度32°30’29”N的纬圈上，从首子午线至119°30 ’ E的纬线弧长</t>
  </si>
  <si>
    <t>椭球面上纬度自32°N至35°N，经度115°E至120°E之间的一椭球面梯形的面积</t>
  </si>
  <si>
    <t>T</t>
  </si>
  <si>
    <t>sin</t>
  </si>
  <si>
    <t>rad</t>
  </si>
  <si>
    <t>B1(35°)</t>
  </si>
  <si>
    <t>B2(32°)</t>
  </si>
  <si>
    <t>3B1</t>
  </si>
  <si>
    <t>3B2</t>
  </si>
  <si>
    <t>4B(rad)</t>
  </si>
  <si>
    <t>sin4B</t>
  </si>
  <si>
    <t>5B(rad)</t>
  </si>
  <si>
    <t>sin5B</t>
  </si>
  <si>
    <t>5B1</t>
  </si>
  <si>
    <t>5B2</t>
  </si>
  <si>
    <t>7B1</t>
  </si>
  <si>
    <t>7B2</t>
  </si>
  <si>
    <t>6B(rad)</t>
  </si>
  <si>
    <t>sin6B</t>
  </si>
  <si>
    <t>7B(rad)</t>
  </si>
  <si>
    <t>sin7B</t>
  </si>
  <si>
    <t>罗皓文 15303096 地图投影与地图设计 实习05</t>
    <phoneticPr fontId="3" type="noConversion"/>
  </si>
  <si>
    <t>中国全图经纬网格</t>
  </si>
  <si>
    <t>符号</t>
    <rPh sb="0" eb="1">
      <t>fu'hao</t>
    </rPh>
    <phoneticPr fontId="3" type="noConversion"/>
  </si>
  <si>
    <t>U</t>
    <phoneticPr fontId="3" type="noConversion"/>
  </si>
  <si>
    <t>45+B/2</t>
    <phoneticPr fontId="3" type="noConversion"/>
  </si>
  <si>
    <t>tan</t>
    <phoneticPr fontId="3" type="noConversion"/>
  </si>
  <si>
    <t>常数Σ</t>
    <rPh sb="0" eb="1">
      <t>chang'shu</t>
    </rPh>
    <phoneticPr fontId="3" type="noConversion"/>
  </si>
  <si>
    <t>常数K</t>
    <rPh sb="0" eb="1">
      <t>c'shu</t>
    </rPh>
    <phoneticPr fontId="3" type="noConversion"/>
  </si>
  <si>
    <t>λ</t>
  </si>
  <si>
    <t>δλ</t>
    <phoneticPr fontId="3" type="noConversion"/>
  </si>
  <si>
    <t>φ</t>
  </si>
  <si>
    <t>x</t>
    <phoneticPr fontId="3" type="noConversion"/>
  </si>
  <si>
    <t>y</t>
    <phoneticPr fontId="3" type="noConversion"/>
  </si>
  <si>
    <t>δ</t>
    <phoneticPr fontId="3" type="noConversion"/>
  </si>
  <si>
    <t>p</t>
    <phoneticPr fontId="3" type="noConversion"/>
  </si>
  <si>
    <t>极径</t>
    <rPh sb="0" eb="1">
      <t>ji'xian</t>
    </rPh>
    <phoneticPr fontId="3" type="noConversion"/>
  </si>
  <si>
    <t>y</t>
    <phoneticPr fontId="3" type="noConversion"/>
  </si>
  <si>
    <t>x</t>
    <phoneticPr fontId="3" type="noConversion"/>
  </si>
  <si>
    <t>B</t>
    <phoneticPr fontId="3" type="noConversion"/>
  </si>
  <si>
    <t>m=n</t>
    <phoneticPr fontId="3" type="noConversion"/>
  </si>
  <si>
    <t>p</t>
    <phoneticPr fontId="3" type="noConversion"/>
  </si>
  <si>
    <t>w=0</t>
    <phoneticPr fontId="3" type="noConversion"/>
  </si>
  <si>
    <t>p</t>
    <phoneticPr fontId="3" type="noConversion"/>
  </si>
  <si>
    <t>ps</t>
    <phoneticPr fontId="3" type="noConversion"/>
  </si>
  <si>
    <t>p</t>
    <phoneticPr fontId="3" type="noConversion"/>
  </si>
  <si>
    <t>1：100万</t>
    <phoneticPr fontId="3" type="noConversion"/>
  </si>
  <si>
    <t>114º--120ºE</t>
    <phoneticPr fontId="3" type="noConversion"/>
  </si>
  <si>
    <t>36º--40ºN</t>
    <phoneticPr fontId="3" type="noConversion"/>
  </si>
  <si>
    <t>中经117</t>
    <rPh sb="0" eb="1">
      <t>zhong'jing</t>
    </rPh>
    <phoneticPr fontId="3" type="noConversion"/>
  </si>
  <si>
    <t>B1=36º35',B2=39º25'</t>
    <phoneticPr fontId="3" type="noConversion"/>
  </si>
  <si>
    <t>Bm</t>
    <phoneticPr fontId="3" type="noConversion"/>
  </si>
  <si>
    <t>B0</t>
    <phoneticPr fontId="3" type="noConversion"/>
  </si>
  <si>
    <t>Bn</t>
    <phoneticPr fontId="3" type="noConversion"/>
  </si>
  <si>
    <t>Bs</t>
    <phoneticPr fontId="3" type="noConversion"/>
  </si>
  <si>
    <t>v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</si>
</sst>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DengXian"/>
      <charset val="134"/>
      <scheme val="minor"/>
    </font>
    <font>
      <sz val="11"/>
      <color theme="1"/>
      <name val="微软雅黑"/>
      <family val="3"/>
      <charset val="134"/>
    </font>
    <font>
      <sz val="11"/>
      <color rgb="FFFF0000"/>
      <name val="微软雅黑"/>
      <family val="3"/>
      <charset val="134"/>
    </font>
    <font>
      <sz val="9"/>
      <name val="DengXian"/>
      <family val="3"/>
      <charset val="134"/>
      <scheme val="minor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2" borderId="0" xfId="0" applyFont="1" applyFill="1"/>
    <xf numFmtId="0" fontId="4" fillId="0" borderId="0" xfId="0" applyFont="1"/>
    <xf numFmtId="0" fontId="4" fillId="0" borderId="0" xfId="0" applyFont="1" applyAlignment="1">
      <alignment horizontal="left" vertical="center" readingOrder="1"/>
    </xf>
    <xf numFmtId="0" fontId="2" fillId="3" borderId="0" xfId="0" applyFont="1" applyFill="1"/>
    <xf numFmtId="0" fontId="1" fillId="3" borderId="0" xfId="0" applyFont="1" applyFill="1"/>
    <xf numFmtId="0" fontId="2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1"/>
  <sheetViews>
    <sheetView tabSelected="1" showRuler="0" topLeftCell="L10" zoomScale="82" zoomScaleNormal="82" zoomScalePageLayoutView="70" workbookViewId="0">
      <selection activeCell="W20" sqref="W20"/>
    </sheetView>
  </sheetViews>
  <sheetFormatPr defaultColWidth="15.125" defaultRowHeight="16.5"/>
  <cols>
    <col min="1" max="16384" width="15.125" style="1"/>
  </cols>
  <sheetData>
    <row r="1" spans="1:24">
      <c r="A1" s="1" t="s">
        <v>63</v>
      </c>
      <c r="L1" s="2" t="s">
        <v>0</v>
      </c>
      <c r="M1" s="2" t="s">
        <v>1</v>
      </c>
      <c r="N1" s="2"/>
      <c r="O1" s="2" t="s">
        <v>2</v>
      </c>
      <c r="P1" s="2" t="s">
        <v>3</v>
      </c>
      <c r="R1" s="1" t="s">
        <v>64</v>
      </c>
      <c r="S1" s="1" t="s">
        <v>89</v>
      </c>
      <c r="T1" s="1" t="s">
        <v>90</v>
      </c>
      <c r="U1" s="1" t="s">
        <v>88</v>
      </c>
      <c r="V1" s="1" t="s">
        <v>91</v>
      </c>
      <c r="W1" s="1" t="s">
        <v>92</v>
      </c>
    </row>
    <row r="2" spans="1:24">
      <c r="A2" s="1" t="s">
        <v>4</v>
      </c>
      <c r="H2" s="1" t="s">
        <v>5</v>
      </c>
      <c r="I2" s="1" t="s">
        <v>5</v>
      </c>
      <c r="L2" s="2" t="s">
        <v>6</v>
      </c>
      <c r="M2" s="2" t="s">
        <v>6</v>
      </c>
      <c r="N2" s="2" t="s">
        <v>7</v>
      </c>
      <c r="O2" s="2" t="s">
        <v>8</v>
      </c>
      <c r="P2" s="2" t="s">
        <v>9</v>
      </c>
      <c r="Q2" s="1" t="s">
        <v>65</v>
      </c>
      <c r="R2" s="1" t="s">
        <v>78</v>
      </c>
      <c r="S2" s="1" t="s">
        <v>69</v>
      </c>
      <c r="T2" s="1">
        <f>(LOG10(N5)-LOG10(N4))/(LOG10(Q4)-(LOG10(Q5)))</f>
        <v>0.61572527250939091</v>
      </c>
      <c r="U2" s="1" t="s">
        <v>70</v>
      </c>
      <c r="V2" s="1">
        <f>2*N11*N5*POWER(Q11*Q5,T2)/T2/(N11*POWER(Q11,T2)+N5*POWER(Q5,T2))</f>
        <v>12682828.394778393</v>
      </c>
      <c r="W2" s="1">
        <f>2*N11*N4*POWER(Q4*Q11,T2)/T2/(N11*POWER(Q11,T2)+N4*POWER(Q4,T2))</f>
        <v>12682828.394778384</v>
      </c>
    </row>
    <row r="3" spans="1:24">
      <c r="A3" s="1" t="s">
        <v>10</v>
      </c>
      <c r="B3" s="1">
        <v>6378140</v>
      </c>
      <c r="H3" s="1" t="s">
        <v>11</v>
      </c>
      <c r="I3" s="1" t="s">
        <v>12</v>
      </c>
      <c r="J3" s="1" t="s">
        <v>13</v>
      </c>
      <c r="K3" s="1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1" t="s">
        <v>66</v>
      </c>
      <c r="R3" s="1" t="s">
        <v>77</v>
      </c>
    </row>
    <row r="4" spans="1:24">
      <c r="A4" s="1" t="s">
        <v>20</v>
      </c>
      <c r="B4" s="1">
        <v>6356755.29</v>
      </c>
      <c r="G4" s="1" t="s">
        <v>96</v>
      </c>
      <c r="H4" s="1">
        <f>36+35/60</f>
        <v>36.583333333333336</v>
      </c>
      <c r="I4" s="1">
        <f>RADIANS(H4)</f>
        <v>0.63849961802125899</v>
      </c>
      <c r="J4" s="1">
        <f>SIN(I4)</f>
        <v>0.59599131960659846</v>
      </c>
      <c r="K4" s="1">
        <f>COS(I4)</f>
        <v>0.80299087600892782</v>
      </c>
      <c r="L4" s="2">
        <f>B$3*E$7/(1-E$6*J4*J4)^(3/2)</f>
        <v>6358107.0458301995</v>
      </c>
      <c r="M4" s="2">
        <f>B$3/SQRT(1-E$6*J4*J4)</f>
        <v>6385736.7868395634</v>
      </c>
      <c r="N4" s="4">
        <f>M4*K4</f>
        <v>5127688.3764267368</v>
      </c>
      <c r="O4" s="2">
        <f>B$3*E$7*(B$9*H4/B$13-B$10*J19/2+B$11*J34/4+B$12*J49/6)</f>
        <v>4050273.7779033678</v>
      </c>
      <c r="P4" s="2">
        <f>B$3*B$3*E$7*(E$9*J4-E$10*L19+E$11*L34-E$12*L49)</f>
        <v>24121278204349.574</v>
      </c>
      <c r="Q4" s="3">
        <f>N19*POWER(((1-$B$6*J4)/(1+$B$6*J4)),$B$6/2)</f>
        <v>1.9796380514562475</v>
      </c>
      <c r="R4" s="1">
        <f>$V$2/POWER(Q4,$T$2)</f>
        <v>8329151.2404505983</v>
      </c>
      <c r="T4" s="5" t="s">
        <v>71</v>
      </c>
      <c r="U4" s="1">
        <v>117</v>
      </c>
      <c r="V4" s="1">
        <v>118</v>
      </c>
      <c r="W4" s="1">
        <v>119</v>
      </c>
      <c r="X4" s="1">
        <v>120</v>
      </c>
    </row>
    <row r="5" spans="1:24">
      <c r="A5" s="1" t="s">
        <v>21</v>
      </c>
      <c r="B5" s="1">
        <f>(B3-B4)/B3</f>
        <v>3.3528128890240672E-3</v>
      </c>
      <c r="G5" s="1" t="s">
        <v>95</v>
      </c>
      <c r="H5" s="1">
        <f>39+25/60</f>
        <v>39.416666666666664</v>
      </c>
      <c r="I5" s="1">
        <f t="shared" ref="I5:I16" si="0">RADIANS(H5)</f>
        <v>0.68795061349443154</v>
      </c>
      <c r="J5" s="1">
        <f t="shared" ref="J5:J16" si="1">SIN(I5)</f>
        <v>0.63495526542990566</v>
      </c>
      <c r="K5" s="1">
        <f t="shared" ref="K5:K16" si="2">COS(I5)</f>
        <v>0.77254890518519159</v>
      </c>
      <c r="L5" s="2">
        <f t="shared" ref="L5:L16" si="3">B$3*E$7/(1-E$6*J5*J5)^(3/2)</f>
        <v>6361177.7682675952</v>
      </c>
      <c r="M5" s="2">
        <f>B$3/SQRT(1-E$6*J5*J5)</f>
        <v>6386764.6435672175</v>
      </c>
      <c r="N5" s="4">
        <f>M5*K5</f>
        <v>4934088.0330633447</v>
      </c>
      <c r="O5" s="2">
        <f>B$3*E$7*(B$9*H5/B$13-B$10*J20/2+B$11*J35/4+B$12*J50/6)</f>
        <v>4364764.0949136224</v>
      </c>
      <c r="P5" s="2">
        <f>B$3*B$3*E$7*(E$9*J5-E$10*L20+E$11*L35-E$12*L50)</f>
        <v>25703765027864.437</v>
      </c>
      <c r="Q5" s="3">
        <f>N20*POWER(((1-$B$6*J5)/(1+$B$6*J5)),$B$6/2)</f>
        <v>2.1073283133389396</v>
      </c>
      <c r="R5" s="1">
        <f t="shared" ref="R5:R16" si="4">$V$2/POWER(Q5,$T$2)</f>
        <v>8014676.8766241809</v>
      </c>
      <c r="S5" s="6"/>
      <c r="T5" s="1" t="s">
        <v>72</v>
      </c>
      <c r="U5" s="1">
        <v>0</v>
      </c>
      <c r="V5" s="1">
        <f>RADIANS(V4-117)</f>
        <v>1.7453292519943295E-2</v>
      </c>
      <c r="W5" s="1">
        <f t="shared" ref="W5:X5" si="5">RADIANS(W4-117)</f>
        <v>3.4906585039886591E-2</v>
      </c>
      <c r="X5" s="1">
        <f t="shared" si="5"/>
        <v>5.235987755982989E-2</v>
      </c>
    </row>
    <row r="6" spans="1:24">
      <c r="A6" s="1" t="s">
        <v>22</v>
      </c>
      <c r="B6" s="1">
        <f>SQRT(E6)</f>
        <v>8.181921793673741E-2</v>
      </c>
      <c r="D6" s="1" t="s">
        <v>23</v>
      </c>
      <c r="E6" s="1">
        <f>(B3*B3-B4*B4)/(B3*B3)</f>
        <v>6.6943844237793331E-3</v>
      </c>
      <c r="H6" s="1">
        <v>36</v>
      </c>
      <c r="I6" s="1">
        <f t="shared" si="0"/>
        <v>0.62831853071795862</v>
      </c>
      <c r="J6" s="1">
        <f t="shared" si="1"/>
        <v>0.58778525229247314</v>
      </c>
      <c r="K6" s="1">
        <f t="shared" si="2"/>
        <v>0.80901699437494745</v>
      </c>
      <c r="L6" s="2">
        <f t="shared" si="3"/>
        <v>6357485.4142006999</v>
      </c>
      <c r="M6" s="2">
        <f t="shared" ref="M6:M16" si="6">B$3/SQRT(1-E$6*J6*J6)</f>
        <v>6385528.669061156</v>
      </c>
      <c r="N6" s="2">
        <f t="shared" ref="N6:N15" si="7">M6*K6</f>
        <v>5166001.2113389149</v>
      </c>
      <c r="O6" s="2">
        <f>B$3*E$7*(B$9*I6-B$10*J21/2+B$11*J36/4+B$12*J51/6)</f>
        <v>3985544.504980206</v>
      </c>
      <c r="P6" s="2">
        <f>B$3*B$3*E$7*(E$9*J6-E$10*L21+E$11*L36-E$12*L51)</f>
        <v>23788123807046.461</v>
      </c>
      <c r="Q6" s="1">
        <f>N21*POWER(((1-$B$6*J6)/(1+$B$6*J6)),$B$6/2)</f>
        <v>1.9548971422397226</v>
      </c>
      <c r="R6" s="9">
        <f t="shared" si="4"/>
        <v>8393899.5244773459</v>
      </c>
      <c r="T6" s="1" t="s">
        <v>76</v>
      </c>
      <c r="U6" s="1">
        <v>0</v>
      </c>
      <c r="V6" s="1">
        <f>$T$2*V5</f>
        <v>1.07464332930282E-2</v>
      </c>
      <c r="W6" s="1">
        <f t="shared" ref="W6:X6" si="8">$T$2*W5</f>
        <v>2.1492866586056401E-2</v>
      </c>
      <c r="X6" s="1">
        <f t="shared" si="8"/>
        <v>3.2239299879084603E-2</v>
      </c>
    </row>
    <row r="7" spans="1:24">
      <c r="A7" s="1" t="s">
        <v>24</v>
      </c>
      <c r="B7" s="1">
        <f>SQRT((B3*B3-B4*B4)/(B4*B4))</f>
        <v>8.2094465318173729E-2</v>
      </c>
      <c r="D7" s="1" t="s">
        <v>25</v>
      </c>
      <c r="E7" s="1">
        <f>1-E6</f>
        <v>0.99330561557622066</v>
      </c>
      <c r="H7" s="1">
        <v>37</v>
      </c>
      <c r="I7" s="1">
        <f t="shared" si="0"/>
        <v>0.64577182323790194</v>
      </c>
      <c r="J7" s="1">
        <f t="shared" si="1"/>
        <v>0.60181502315204827</v>
      </c>
      <c r="K7" s="1">
        <f t="shared" si="2"/>
        <v>0.79863551004729283</v>
      </c>
      <c r="L7" s="2">
        <f t="shared" si="3"/>
        <v>6358553.4980157642</v>
      </c>
      <c r="M7" s="2">
        <f t="shared" si="6"/>
        <v>6385886.2474362683</v>
      </c>
      <c r="N7" s="2">
        <f t="shared" si="7"/>
        <v>5099995.5203252565</v>
      </c>
      <c r="O7" s="2">
        <f t="shared" ref="O7:O15" si="9">B$3*E$7*(B$9*I7-B$10*J22/2+B$11*J37/4+B$12*J52/6)</f>
        <v>4096512.8578496403</v>
      </c>
      <c r="P7" s="2">
        <f t="shared" ref="P7:P16" si="10">B$3*B$3*E$7*(E$9*J7-E$10*L22+E$11*L37-E$12*L52)</f>
        <v>24357738595949.945</v>
      </c>
      <c r="Q7" s="1">
        <f t="shared" ref="Q7:Q16" si="11">N22*POWER(((1-$B$6*J7)/(1+$B$6*J7)),$B$6/2)</f>
        <v>1.9976189650438045</v>
      </c>
      <c r="R7" s="2">
        <f t="shared" si="4"/>
        <v>8282908.8360922253</v>
      </c>
    </row>
    <row r="8" spans="1:24">
      <c r="A8" s="1" t="s">
        <v>26</v>
      </c>
      <c r="D8" s="1" t="s">
        <v>27</v>
      </c>
      <c r="H8" s="1">
        <v>38</v>
      </c>
      <c r="I8" s="1">
        <f t="shared" si="0"/>
        <v>0.66322511575784526</v>
      </c>
      <c r="J8" s="1">
        <f>SIN(I8)</f>
        <v>0.61566147532565829</v>
      </c>
      <c r="K8" s="1">
        <f t="shared" si="2"/>
        <v>0.7880107536067219</v>
      </c>
      <c r="L8" s="2">
        <f t="shared" si="3"/>
        <v>6359632.6311074663</v>
      </c>
      <c r="M8" s="2">
        <f t="shared" si="6"/>
        <v>6386247.4842785615</v>
      </c>
      <c r="N8" s="7">
        <f t="shared" si="7"/>
        <v>5032431.6928053815</v>
      </c>
      <c r="O8" s="2">
        <f t="shared" si="9"/>
        <v>4207499.9509267248</v>
      </c>
      <c r="P8" s="2">
        <f t="shared" si="10"/>
        <v>24920037146846.641</v>
      </c>
      <c r="Q8" s="8">
        <f t="shared" si="11"/>
        <v>2.0418638275081502</v>
      </c>
      <c r="R8" s="2">
        <f t="shared" si="4"/>
        <v>8171932.9652924519</v>
      </c>
      <c r="S8" s="6" t="s">
        <v>73</v>
      </c>
      <c r="T8" s="5" t="s">
        <v>71</v>
      </c>
      <c r="U8" s="1">
        <v>114</v>
      </c>
      <c r="V8" s="1">
        <v>115</v>
      </c>
      <c r="W8" s="1">
        <v>116</v>
      </c>
      <c r="X8" s="1">
        <v>117</v>
      </c>
    </row>
    <row r="9" spans="1:24">
      <c r="A9" s="1" t="s">
        <v>28</v>
      </c>
      <c r="B9" s="1">
        <f>1+3*E6/4+45*E6*E6/64+175*E6*E6*E6/256</f>
        <v>1.005052503795173</v>
      </c>
      <c r="D9" s="1" t="s">
        <v>29</v>
      </c>
      <c r="E9" s="1">
        <f>1+E6/2+3*E6*E6/8+5*E6*E6*E6/16</f>
        <v>1.0033640915077522</v>
      </c>
      <c r="H9" s="1">
        <v>39</v>
      </c>
      <c r="I9" s="1">
        <f t="shared" si="0"/>
        <v>0.68067840827778847</v>
      </c>
      <c r="J9" s="1">
        <f t="shared" si="1"/>
        <v>0.62932039104983739</v>
      </c>
      <c r="K9" s="1">
        <f t="shared" si="2"/>
        <v>0.7771459614569709</v>
      </c>
      <c r="L9" s="2">
        <f t="shared" si="3"/>
        <v>6360721.507398013</v>
      </c>
      <c r="M9" s="2">
        <f t="shared" si="6"/>
        <v>6386611.941212954</v>
      </c>
      <c r="N9" s="2">
        <f t="shared" si="7"/>
        <v>4963329.677506512</v>
      </c>
      <c r="O9" s="2">
        <f t="shared" si="9"/>
        <v>4318505.965714803</v>
      </c>
      <c r="P9" s="2">
        <f t="shared" si="10"/>
        <v>25474846004169.18</v>
      </c>
      <c r="Q9" s="1">
        <f t="shared" si="11"/>
        <v>2.0877218379925546</v>
      </c>
      <c r="R9" s="2">
        <f t="shared" si="4"/>
        <v>8060938.2918568878</v>
      </c>
      <c r="S9" s="1">
        <v>36</v>
      </c>
      <c r="T9" s="1" t="s">
        <v>80</v>
      </c>
      <c r="U9" s="1">
        <f>$R$12-$R$6*COS(U6)</f>
        <v>55511.297921670601</v>
      </c>
      <c r="V9" s="1">
        <f t="shared" ref="V9:X9" si="12">$R$12-$R$6*COS(V6)</f>
        <v>55995.981477690861</v>
      </c>
      <c r="W9" s="1">
        <f t="shared" si="12"/>
        <v>57449.976172212511</v>
      </c>
      <c r="X9" s="1">
        <f t="shared" si="12"/>
        <v>59873.114091068506</v>
      </c>
    </row>
    <row r="10" spans="1:24">
      <c r="A10" s="1" t="s">
        <v>30</v>
      </c>
      <c r="B10" s="1">
        <f>3*E6/4+15*E6*E6/16+525*E6*E6*E6/512</f>
        <v>5.0631098014810114E-3</v>
      </c>
      <c r="D10" s="1" t="s">
        <v>31</v>
      </c>
      <c r="E10" s="1">
        <f>E6/6+3*E6*E6/16+3*E6*E6*E6/16</f>
        <v>1.1241897604585605E-3</v>
      </c>
      <c r="H10" s="1">
        <v>40</v>
      </c>
      <c r="I10" s="1">
        <f t="shared" si="0"/>
        <v>0.69813170079773179</v>
      </c>
      <c r="J10" s="1">
        <f t="shared" si="1"/>
        <v>0.64278760968653925</v>
      </c>
      <c r="K10" s="1">
        <f t="shared" si="2"/>
        <v>0.76604444311897801</v>
      </c>
      <c r="L10" s="2">
        <f t="shared" si="3"/>
        <v>6361818.807890309</v>
      </c>
      <c r="M10" s="2">
        <f t="shared" si="6"/>
        <v>6386979.1757301847</v>
      </c>
      <c r="N10" s="2">
        <f t="shared" si="7"/>
        <v>4892709.9058847381</v>
      </c>
      <c r="O10" s="2">
        <f t="shared" si="9"/>
        <v>4429531.0608029654</v>
      </c>
      <c r="P10" s="2">
        <f t="shared" si="10"/>
        <v>26021993716020.465</v>
      </c>
      <c r="Q10" s="1">
        <f t="shared" si="11"/>
        <v>2.1352903029994987</v>
      </c>
      <c r="R10" s="2">
        <f t="shared" si="4"/>
        <v>7949890.7341248505</v>
      </c>
      <c r="T10" s="1" t="s">
        <v>79</v>
      </c>
      <c r="U10" s="1">
        <f>$R$6*SIN(U6)</f>
        <v>0</v>
      </c>
      <c r="V10" s="1">
        <f t="shared" ref="V10:X10" si="13">$R$6*SIN(V6)</f>
        <v>90202.745094992322</v>
      </c>
      <c r="W10" s="1">
        <f t="shared" si="13"/>
        <v>180395.07315148468</v>
      </c>
      <c r="X10" s="1">
        <f t="shared" si="13"/>
        <v>270566.56833398598</v>
      </c>
    </row>
    <row r="11" spans="1:24">
      <c r="A11" s="1" t="s">
        <v>32</v>
      </c>
      <c r="B11" s="1">
        <f>15*E6*E6/64+105*E6*E6*E6/256</f>
        <v>1.062651462547864E-5</v>
      </c>
      <c r="D11" s="1" t="s">
        <v>33</v>
      </c>
      <c r="E11" s="1">
        <f>3*E6*E6/80+E6*E6*E6/16</f>
        <v>1.6993048170015181E-6</v>
      </c>
      <c r="G11" s="1" t="s">
        <v>93</v>
      </c>
      <c r="H11" s="1">
        <f>(H5+H4)/2</f>
        <v>38</v>
      </c>
      <c r="I11" s="1">
        <f t="shared" si="0"/>
        <v>0.66322511575784526</v>
      </c>
      <c r="J11" s="1">
        <f>SIN(I11)</f>
        <v>0.61566147532565829</v>
      </c>
      <c r="K11" s="1">
        <f t="shared" si="2"/>
        <v>0.7880107536067219</v>
      </c>
      <c r="L11" s="2">
        <f t="shared" si="3"/>
        <v>6359632.6311074663</v>
      </c>
      <c r="M11" s="2">
        <f t="shared" si="6"/>
        <v>6386247.4842785615</v>
      </c>
      <c r="N11" s="4">
        <f t="shared" si="7"/>
        <v>5032431.6928053815</v>
      </c>
      <c r="O11" s="2">
        <f t="shared" si="9"/>
        <v>4207499.9509267248</v>
      </c>
      <c r="P11" s="2">
        <f t="shared" si="10"/>
        <v>24920037146846.641</v>
      </c>
      <c r="Q11" s="3">
        <f t="shared" si="11"/>
        <v>2.0418638275081502</v>
      </c>
      <c r="R11" s="2">
        <f>$V$2/POWER(Q11,$T$2)</f>
        <v>8171932.9652924519</v>
      </c>
      <c r="S11" s="1">
        <v>37</v>
      </c>
      <c r="T11" s="1" t="s">
        <v>74</v>
      </c>
      <c r="U11" s="1">
        <f>$R$12-$R$7*COS(U6)</f>
        <v>166501.98630679119</v>
      </c>
      <c r="V11" s="1">
        <f t="shared" ref="V11:X11" si="14">$R$12-$R$7*COS(V6)</f>
        <v>166980.26099868771</v>
      </c>
      <c r="W11" s="1">
        <f t="shared" si="14"/>
        <v>168415.02984095924</v>
      </c>
      <c r="X11" s="1">
        <f t="shared" si="14"/>
        <v>170806.12713973317</v>
      </c>
    </row>
    <row r="12" spans="1:24">
      <c r="A12" s="1" t="s">
        <v>34</v>
      </c>
      <c r="B12" s="1">
        <f>35*E6*E6*E6/512</f>
        <v>2.0508317267038174E-8</v>
      </c>
      <c r="D12" s="1" t="s">
        <v>35</v>
      </c>
      <c r="E12" s="1">
        <f>E6*E6*E6/112</f>
        <v>2.6786373573274349E-9</v>
      </c>
      <c r="G12" s="1" t="s">
        <v>94</v>
      </c>
      <c r="H12" s="1">
        <v>35.5</v>
      </c>
      <c r="I12" s="1">
        <f t="shared" si="0"/>
        <v>0.61959188445798696</v>
      </c>
      <c r="J12" s="1">
        <f t="shared" si="1"/>
        <v>0.58070295571093977</v>
      </c>
      <c r="K12" s="1">
        <f t="shared" si="2"/>
        <v>0.81411551835631923</v>
      </c>
      <c r="L12" s="2">
        <f t="shared" si="3"/>
        <v>6356955.9200070901</v>
      </c>
      <c r="M12" s="2">
        <f t="shared" si="6"/>
        <v>6385351.387531097</v>
      </c>
      <c r="N12" s="2">
        <f t="shared" si="7"/>
        <v>5198413.654747121</v>
      </c>
      <c r="O12" s="2">
        <f t="shared" si="9"/>
        <v>3930067.2931963094</v>
      </c>
      <c r="P12" s="2">
        <f t="shared" si="10"/>
        <v>23500627561664.742</v>
      </c>
      <c r="Q12" s="1">
        <f t="shared" si="11"/>
        <v>1.9340810175650252</v>
      </c>
      <c r="R12" s="4">
        <f t="shared" si="4"/>
        <v>8449410.8223990165</v>
      </c>
      <c r="T12" s="1" t="s">
        <v>75</v>
      </c>
      <c r="U12" s="1">
        <f>$R$7*SIN(U6)</f>
        <v>0</v>
      </c>
      <c r="V12" s="1">
        <f t="shared" ref="V12:X12" si="15">$R$7*SIN(V6)</f>
        <v>89010.014023679643</v>
      </c>
      <c r="W12" s="1">
        <f t="shared" si="15"/>
        <v>178009.74875106971</v>
      </c>
      <c r="X12" s="1">
        <f t="shared" si="15"/>
        <v>266988.92607298231</v>
      </c>
    </row>
    <row r="13" spans="1:24">
      <c r="A13" s="1" t="s">
        <v>36</v>
      </c>
      <c r="B13" s="1">
        <f>180/PI()</f>
        <v>57.295779513082323</v>
      </c>
      <c r="H13" s="1">
        <v>0</v>
      </c>
      <c r="I13" s="1">
        <f t="shared" si="0"/>
        <v>0</v>
      </c>
      <c r="J13" s="1">
        <f t="shared" si="1"/>
        <v>0</v>
      </c>
      <c r="K13" s="1">
        <f t="shared" si="2"/>
        <v>1</v>
      </c>
      <c r="L13" s="2">
        <f t="shared" si="3"/>
        <v>6335442.278931316</v>
      </c>
      <c r="M13" s="2">
        <f t="shared" si="6"/>
        <v>6378140</v>
      </c>
      <c r="N13" s="2">
        <f t="shared" si="7"/>
        <v>6378140</v>
      </c>
      <c r="O13" s="2">
        <f t="shared" si="9"/>
        <v>0</v>
      </c>
      <c r="P13" s="2">
        <f t="shared" si="10"/>
        <v>0</v>
      </c>
      <c r="Q13" s="1">
        <f t="shared" si="11"/>
        <v>0.99999999999999989</v>
      </c>
      <c r="R13" s="2">
        <f t="shared" si="4"/>
        <v>12682828.394778395</v>
      </c>
      <c r="S13" s="1">
        <v>38</v>
      </c>
      <c r="T13" s="1" t="s">
        <v>80</v>
      </c>
      <c r="U13" s="1">
        <f>$R$12-$R$8*COS(U6)</f>
        <v>277477.85710656457</v>
      </c>
      <c r="V13" s="1">
        <f t="shared" ref="V13:X13" si="16">$R$12-$R$8*COS(V6)</f>
        <v>277949.72378993779</v>
      </c>
      <c r="W13" s="1">
        <f t="shared" si="16"/>
        <v>279365.26934666932</v>
      </c>
      <c r="X13" s="1">
        <f t="shared" si="16"/>
        <v>281724.33030287828</v>
      </c>
    </row>
    <row r="14" spans="1:24">
      <c r="H14" s="1">
        <v>0</v>
      </c>
      <c r="I14" s="1">
        <f t="shared" si="0"/>
        <v>0</v>
      </c>
      <c r="J14" s="1">
        <f t="shared" si="1"/>
        <v>0</v>
      </c>
      <c r="K14" s="1">
        <f t="shared" si="2"/>
        <v>1</v>
      </c>
      <c r="L14" s="2">
        <f t="shared" si="3"/>
        <v>6335442.278931316</v>
      </c>
      <c r="M14" s="2">
        <f t="shared" si="6"/>
        <v>6378140</v>
      </c>
      <c r="N14" s="2">
        <f t="shared" si="7"/>
        <v>6378140</v>
      </c>
      <c r="O14" s="2">
        <f t="shared" si="9"/>
        <v>0</v>
      </c>
      <c r="P14" s="2">
        <f t="shared" si="10"/>
        <v>0</v>
      </c>
      <c r="Q14" s="1">
        <f t="shared" si="11"/>
        <v>0.99999999999999989</v>
      </c>
      <c r="R14" s="2">
        <f t="shared" si="4"/>
        <v>12682828.394778395</v>
      </c>
      <c r="T14" s="1" t="s">
        <v>79</v>
      </c>
      <c r="U14" s="1">
        <f>$R$8*SIN(U6)</f>
        <v>0</v>
      </c>
      <c r="V14" s="1">
        <f t="shared" ref="V14:X14" si="17">$R$8*SIN(V6)</f>
        <v>87817.442185494583</v>
      </c>
      <c r="W14" s="1">
        <f t="shared" si="17"/>
        <v>175624.74279852095</v>
      </c>
      <c r="X14" s="1">
        <f t="shared" si="17"/>
        <v>263411.76143780758</v>
      </c>
    </row>
    <row r="15" spans="1:24">
      <c r="H15" s="1">
        <v>0</v>
      </c>
      <c r="I15" s="1">
        <f t="shared" si="0"/>
        <v>0</v>
      </c>
      <c r="J15" s="1">
        <f t="shared" si="1"/>
        <v>0</v>
      </c>
      <c r="K15" s="1">
        <f t="shared" si="2"/>
        <v>1</v>
      </c>
      <c r="L15" s="2">
        <f t="shared" si="3"/>
        <v>6335442.278931316</v>
      </c>
      <c r="M15" s="2">
        <f t="shared" si="6"/>
        <v>6378140</v>
      </c>
      <c r="N15" s="2">
        <f t="shared" si="7"/>
        <v>6378140</v>
      </c>
      <c r="O15" s="2">
        <f t="shared" si="9"/>
        <v>0</v>
      </c>
      <c r="P15" s="2">
        <f t="shared" si="10"/>
        <v>0</v>
      </c>
      <c r="Q15" s="1">
        <f t="shared" si="11"/>
        <v>0.99999999999999989</v>
      </c>
      <c r="R15" s="1">
        <f t="shared" si="4"/>
        <v>12682828.394778395</v>
      </c>
      <c r="S15" s="1">
        <v>39</v>
      </c>
      <c r="T15" s="1" t="s">
        <v>74</v>
      </c>
      <c r="U15" s="1">
        <f>$R$12-$R$9*COS(U6)</f>
        <v>388472.53054212872</v>
      </c>
      <c r="V15" s="1">
        <f t="shared" ref="V15:X15" si="18">$R$12-$R$9*COS(V6)</f>
        <v>388937.98813127074</v>
      </c>
      <c r="W15" s="1">
        <f t="shared" si="18"/>
        <v>390334.30714546051</v>
      </c>
      <c r="X15" s="1">
        <f t="shared" si="18"/>
        <v>392661.32633119076</v>
      </c>
    </row>
    <row r="16" spans="1:24">
      <c r="D16" s="1" t="s">
        <v>85</v>
      </c>
      <c r="E16" s="1">
        <f>U44</f>
        <v>0</v>
      </c>
      <c r="F16" s="1" t="s">
        <v>87</v>
      </c>
      <c r="G16" s="1">
        <f>R16/6000</f>
        <v>1050.2393124262612</v>
      </c>
      <c r="H16" s="1">
        <v>54.578504000000002</v>
      </c>
      <c r="I16" s="1">
        <f t="shared" si="0"/>
        <v>0.95257459561289526</v>
      </c>
      <c r="J16" s="1">
        <f t="shared" si="1"/>
        <v>0.81491040598695941</v>
      </c>
      <c r="K16" s="1">
        <f t="shared" si="2"/>
        <v>0.57958694793289556</v>
      </c>
      <c r="L16" s="2">
        <f t="shared" si="3"/>
        <v>6377925.5331676938</v>
      </c>
      <c r="M16" s="2">
        <f t="shared" si="6"/>
        <v>6392364.7751639029</v>
      </c>
      <c r="N16" s="2">
        <f>M16*K16</f>
        <v>3704931.1901109968</v>
      </c>
      <c r="O16" s="2">
        <f>B$3*E$7*(B$9*I16-B$10*J31/2+B$11*J46/4+B$12*J61/6)</f>
        <v>6050312.3340700679</v>
      </c>
      <c r="P16" s="2">
        <f t="shared" si="10"/>
        <v>33027160395122.801</v>
      </c>
      <c r="Q16" s="1">
        <f t="shared" si="11"/>
        <v>3.1143244603745988</v>
      </c>
      <c r="R16" s="1">
        <f t="shared" si="4"/>
        <v>6301435.8745575678</v>
      </c>
      <c r="T16" s="1" t="s">
        <v>75</v>
      </c>
      <c r="U16" s="1">
        <f>$R$9*SIN(U6)</f>
        <v>0</v>
      </c>
      <c r="V16" s="1">
        <f t="shared" ref="V16:X16" si="19">$R$9*SIN(V6)</f>
        <v>86624.668289927431</v>
      </c>
      <c r="W16" s="1">
        <f t="shared" si="19"/>
        <v>173239.33275454256</v>
      </c>
      <c r="X16" s="1">
        <f t="shared" si="19"/>
        <v>259833.99072382206</v>
      </c>
    </row>
    <row r="17" spans="1:24">
      <c r="S17" s="1">
        <v>40</v>
      </c>
      <c r="T17" s="1" t="s">
        <v>80</v>
      </c>
      <c r="U17" s="1">
        <f>$R$12-$R$10*COS(U6)</f>
        <v>499520.08827416599</v>
      </c>
      <c r="V17" s="1">
        <f t="shared" ref="V17:X17" si="20">$R$12-$R$10*COS(V6)</f>
        <v>499979.13371541258</v>
      </c>
      <c r="W17" s="1">
        <f t="shared" si="20"/>
        <v>501356.2170264218</v>
      </c>
      <c r="X17" s="1">
        <f t="shared" si="20"/>
        <v>503651.17917511519</v>
      </c>
    </row>
    <row r="18" spans="1:24">
      <c r="I18" s="1" t="s">
        <v>37</v>
      </c>
      <c r="J18" s="1" t="s">
        <v>38</v>
      </c>
      <c r="K18" s="1" t="s">
        <v>39</v>
      </c>
      <c r="L18" s="1" t="s">
        <v>40</v>
      </c>
      <c r="M18" s="1" t="s">
        <v>67</v>
      </c>
      <c r="N18" s="1" t="s">
        <v>68</v>
      </c>
      <c r="T18" s="1" t="s">
        <v>79</v>
      </c>
      <c r="U18" s="1">
        <f>$R$10*SIN(U6)</f>
        <v>0</v>
      </c>
      <c r="V18" s="1">
        <f t="shared" ref="V18:X18" si="21">$R$10*SIN(V6)</f>
        <v>85431.326087734677</v>
      </c>
      <c r="W18" s="1">
        <f t="shared" si="21"/>
        <v>170852.7861629437</v>
      </c>
      <c r="X18" s="1">
        <f t="shared" si="21"/>
        <v>256254.51535247511</v>
      </c>
    </row>
    <row r="19" spans="1:24">
      <c r="I19" s="1">
        <f>2*I4</f>
        <v>1.276999236042518</v>
      </c>
      <c r="J19" s="1">
        <f t="shared" ref="J19:J31" si="22">SIN(I19)</f>
        <v>0.9571511836492389</v>
      </c>
      <c r="K19" s="1">
        <f>3*I4</f>
        <v>1.915498854063777</v>
      </c>
      <c r="L19" s="1">
        <f>SIN(K19)</f>
        <v>0.94117601525637051</v>
      </c>
      <c r="M19" s="1">
        <f>PI()/4+I4/2</f>
        <v>1.1046479724080778</v>
      </c>
      <c r="N19" s="1">
        <f>TAN(M19)</f>
        <v>1.987558473315522</v>
      </c>
    </row>
    <row r="20" spans="1:24">
      <c r="I20" s="1">
        <f>2*I5</f>
        <v>1.3759012269888631</v>
      </c>
      <c r="J20" s="1">
        <f t="shared" si="22"/>
        <v>0.98106799029889258</v>
      </c>
      <c r="K20" s="1">
        <f t="shared" ref="K20:K31" si="23">3*I5</f>
        <v>2.0638518404832946</v>
      </c>
      <c r="L20" s="1">
        <f t="shared" ref="L20:L31" si="24">SIN(K20)</f>
        <v>0.88089073820538555</v>
      </c>
      <c r="M20" s="1">
        <f t="shared" ref="M20:M31" si="25">PI()/4+I5/2</f>
        <v>1.129373470144664</v>
      </c>
      <c r="N20" s="1">
        <f t="shared" ref="N20:N31" si="26">TAN(M20)</f>
        <v>2.1163129666697049</v>
      </c>
      <c r="S20" s="6" t="s">
        <v>73</v>
      </c>
      <c r="T20" s="5" t="s">
        <v>71</v>
      </c>
      <c r="U20" s="1">
        <v>117</v>
      </c>
      <c r="V20" s="1">
        <v>118</v>
      </c>
      <c r="W20" s="1">
        <v>119</v>
      </c>
      <c r="X20" s="1">
        <v>120</v>
      </c>
    </row>
    <row r="21" spans="1:24">
      <c r="I21" s="1">
        <f t="shared" ref="I21:I31" si="27">2*I6</f>
        <v>1.2566370614359172</v>
      </c>
      <c r="J21" s="1">
        <f t="shared" si="22"/>
        <v>0.95105651629515353</v>
      </c>
      <c r="K21" s="1">
        <f t="shared" si="23"/>
        <v>1.8849555921538759</v>
      </c>
      <c r="L21" s="1">
        <f t="shared" si="24"/>
        <v>0.95105651629515364</v>
      </c>
      <c r="M21" s="1">
        <f t="shared" si="25"/>
        <v>1.0995574287564276</v>
      </c>
      <c r="N21" s="1">
        <f t="shared" si="26"/>
        <v>1.9626105055051504</v>
      </c>
      <c r="S21" s="1">
        <v>36</v>
      </c>
      <c r="T21" s="1" t="s">
        <v>74</v>
      </c>
      <c r="U21" s="1">
        <f>U9/1000</f>
        <v>55.511297921670604</v>
      </c>
      <c r="V21" s="1">
        <f t="shared" ref="V21:X21" si="28">V9/1000</f>
        <v>55.995981477690862</v>
      </c>
      <c r="W21" s="1">
        <f t="shared" si="28"/>
        <v>57.449976172212509</v>
      </c>
      <c r="X21" s="1">
        <f t="shared" si="28"/>
        <v>59.873114091068508</v>
      </c>
    </row>
    <row r="22" spans="1:24">
      <c r="A22" s="2" t="s">
        <v>41</v>
      </c>
      <c r="B22" s="2">
        <f>RADIANS(119.5)*N16</f>
        <v>7727258.1153586302</v>
      </c>
      <c r="I22" s="1">
        <f t="shared" si="27"/>
        <v>1.2915436464758039</v>
      </c>
      <c r="J22" s="1">
        <f t="shared" si="22"/>
        <v>0.96126169593831889</v>
      </c>
      <c r="K22" s="1">
        <f t="shared" si="23"/>
        <v>1.9373154697137058</v>
      </c>
      <c r="L22" s="1">
        <f t="shared" si="24"/>
        <v>0.93358042649720174</v>
      </c>
      <c r="M22" s="1">
        <f t="shared" si="25"/>
        <v>1.1082840750163991</v>
      </c>
      <c r="N22" s="1">
        <f t="shared" si="26"/>
        <v>2.0056897082590193</v>
      </c>
      <c r="T22" s="1" t="s">
        <v>75</v>
      </c>
      <c r="U22" s="1">
        <f t="shared" ref="U22:X22" si="29">U10/1000</f>
        <v>0</v>
      </c>
      <c r="V22" s="1">
        <f t="shared" si="29"/>
        <v>90.202745094992324</v>
      </c>
      <c r="W22" s="1">
        <f t="shared" si="29"/>
        <v>180.3950731514847</v>
      </c>
      <c r="X22" s="1">
        <f t="shared" si="29"/>
        <v>270.56656833398597</v>
      </c>
    </row>
    <row r="23" spans="1:24">
      <c r="A23" s="2" t="s">
        <v>42</v>
      </c>
      <c r="B23" s="2"/>
      <c r="I23" s="1">
        <f t="shared" si="27"/>
        <v>1.3264502315156905</v>
      </c>
      <c r="J23" s="1">
        <f t="shared" si="22"/>
        <v>0.97029572627599647</v>
      </c>
      <c r="K23" s="1">
        <f t="shared" si="23"/>
        <v>1.9896753472735358</v>
      </c>
      <c r="L23" s="1">
        <f t="shared" si="24"/>
        <v>0.91354545764260087</v>
      </c>
      <c r="M23" s="1">
        <f t="shared" si="25"/>
        <v>1.1170107212763709</v>
      </c>
      <c r="N23" s="1">
        <f t="shared" si="26"/>
        <v>2.050303841579296</v>
      </c>
      <c r="S23" s="1">
        <v>37</v>
      </c>
      <c r="T23" s="1" t="s">
        <v>74</v>
      </c>
      <c r="U23" s="1">
        <f t="shared" ref="U23:X23" si="30">U11/1000</f>
        <v>166.5019863067912</v>
      </c>
      <c r="V23" s="1">
        <f t="shared" si="30"/>
        <v>166.9802609986877</v>
      </c>
      <c r="W23" s="1">
        <f t="shared" si="30"/>
        <v>168.41502984095925</v>
      </c>
      <c r="X23" s="1">
        <f t="shared" si="30"/>
        <v>170.80612713973318</v>
      </c>
    </row>
    <row r="24" spans="1:24">
      <c r="I24" s="1">
        <f t="shared" si="27"/>
        <v>1.3613568165555769</v>
      </c>
      <c r="J24" s="1">
        <f t="shared" si="22"/>
        <v>0.97814760073380558</v>
      </c>
      <c r="K24" s="1">
        <f t="shared" si="23"/>
        <v>2.0420352248333655</v>
      </c>
      <c r="L24" s="1">
        <f>SIN(K24)</f>
        <v>0.8910065241883679</v>
      </c>
      <c r="M24" s="1">
        <f t="shared" si="25"/>
        <v>1.1257373675363425</v>
      </c>
      <c r="N24" s="1">
        <f t="shared" si="26"/>
        <v>2.0965435990881738</v>
      </c>
      <c r="T24" s="1" t="s">
        <v>75</v>
      </c>
      <c r="U24" s="1">
        <f t="shared" ref="U24:X24" si="31">U12/1000</f>
        <v>0</v>
      </c>
      <c r="V24" s="1">
        <f t="shared" si="31"/>
        <v>89.010014023679645</v>
      </c>
      <c r="W24" s="1">
        <f t="shared" si="31"/>
        <v>178.00974875106971</v>
      </c>
      <c r="X24" s="1">
        <f t="shared" si="31"/>
        <v>266.98892607298234</v>
      </c>
    </row>
    <row r="25" spans="1:24">
      <c r="I25" s="1">
        <f t="shared" si="27"/>
        <v>1.3962634015954636</v>
      </c>
      <c r="J25" s="1">
        <f t="shared" si="22"/>
        <v>0.98480775301220802</v>
      </c>
      <c r="K25" s="1">
        <f t="shared" si="23"/>
        <v>2.0943951023931953</v>
      </c>
      <c r="L25" s="1">
        <f t="shared" si="24"/>
        <v>0.86602540378443871</v>
      </c>
      <c r="M25" s="1">
        <f t="shared" si="25"/>
        <v>1.1344640137963142</v>
      </c>
      <c r="N25" s="1">
        <f t="shared" si="26"/>
        <v>2.1445069205095586</v>
      </c>
      <c r="S25" s="1">
        <v>38</v>
      </c>
      <c r="T25" s="1" t="s">
        <v>74</v>
      </c>
      <c r="U25" s="1">
        <f t="shared" ref="U25:X25" si="32">U13/1000</f>
        <v>277.47785710656456</v>
      </c>
      <c r="V25" s="1">
        <f t="shared" si="32"/>
        <v>277.94972378993782</v>
      </c>
      <c r="W25" s="1">
        <f t="shared" si="32"/>
        <v>279.36526934666932</v>
      </c>
      <c r="X25" s="1">
        <f t="shared" si="32"/>
        <v>281.72433030287829</v>
      </c>
    </row>
    <row r="26" spans="1:24">
      <c r="I26" s="1">
        <f t="shared" si="27"/>
        <v>1.3264502315156905</v>
      </c>
      <c r="J26" s="1">
        <f t="shared" si="22"/>
        <v>0.97029572627599647</v>
      </c>
      <c r="K26" s="1">
        <f t="shared" si="23"/>
        <v>1.9896753472735358</v>
      </c>
      <c r="L26" s="1">
        <f t="shared" si="24"/>
        <v>0.91354545764260087</v>
      </c>
      <c r="M26" s="1">
        <f t="shared" si="25"/>
        <v>1.1170107212763709</v>
      </c>
      <c r="N26" s="1">
        <f t="shared" si="26"/>
        <v>2.050303841579296</v>
      </c>
      <c r="T26" s="1" t="s">
        <v>75</v>
      </c>
      <c r="U26" s="1">
        <f t="shared" ref="U26:X26" si="33">U14/1000</f>
        <v>0</v>
      </c>
      <c r="V26" s="1">
        <f t="shared" si="33"/>
        <v>87.817442185494585</v>
      </c>
      <c r="W26" s="1">
        <f t="shared" si="33"/>
        <v>175.62474279852094</v>
      </c>
      <c r="X26" s="1">
        <f t="shared" si="33"/>
        <v>263.41176143780757</v>
      </c>
    </row>
    <row r="27" spans="1:24">
      <c r="I27" s="1">
        <f t="shared" si="27"/>
        <v>1.2391837689159739</v>
      </c>
      <c r="J27" s="1">
        <f t="shared" si="22"/>
        <v>0.94551857559931674</v>
      </c>
      <c r="K27" s="1">
        <f t="shared" si="23"/>
        <v>1.8587756533739608</v>
      </c>
      <c r="L27" s="1">
        <f t="shared" si="24"/>
        <v>0.95881973486819316</v>
      </c>
      <c r="M27" s="1">
        <f t="shared" si="25"/>
        <v>1.0951941056264418</v>
      </c>
      <c r="N27" s="1">
        <f t="shared" si="26"/>
        <v>1.9416199790692397</v>
      </c>
      <c r="S27" s="1">
        <v>39</v>
      </c>
      <c r="T27" s="1" t="s">
        <v>74</v>
      </c>
      <c r="U27" s="1">
        <f t="shared" ref="U27:X27" si="34">U15/1000</f>
        <v>388.47253054212871</v>
      </c>
      <c r="V27" s="1">
        <f t="shared" si="34"/>
        <v>388.93798813127074</v>
      </c>
      <c r="W27" s="1">
        <f t="shared" si="34"/>
        <v>390.33430714546051</v>
      </c>
      <c r="X27" s="1">
        <f t="shared" si="34"/>
        <v>392.66132633119076</v>
      </c>
    </row>
    <row r="28" spans="1:24">
      <c r="A28" s="2" t="s">
        <v>43</v>
      </c>
      <c r="B28" s="2"/>
      <c r="I28" s="1">
        <f t="shared" si="27"/>
        <v>0</v>
      </c>
      <c r="J28" s="1">
        <f t="shared" si="22"/>
        <v>0</v>
      </c>
      <c r="K28" s="1">
        <f t="shared" si="23"/>
        <v>0</v>
      </c>
      <c r="L28" s="1">
        <f t="shared" si="24"/>
        <v>0</v>
      </c>
      <c r="M28" s="1">
        <f t="shared" si="25"/>
        <v>0.78539816339744828</v>
      </c>
      <c r="N28" s="1">
        <f t="shared" si="26"/>
        <v>0.99999999999999989</v>
      </c>
      <c r="T28" s="1" t="s">
        <v>75</v>
      </c>
      <c r="U28" s="1">
        <f t="shared" ref="U28:X28" si="35">U16/1000</f>
        <v>0</v>
      </c>
      <c r="V28" s="1">
        <f t="shared" si="35"/>
        <v>86.624668289927428</v>
      </c>
      <c r="W28" s="1">
        <f t="shared" si="35"/>
        <v>173.23933275454254</v>
      </c>
      <c r="X28" s="1">
        <f t="shared" si="35"/>
        <v>259.83399072382207</v>
      </c>
    </row>
    <row r="29" spans="1:24">
      <c r="A29" s="2" t="s">
        <v>44</v>
      </c>
      <c r="B29" s="2">
        <f>B$3*B$3*E$7*(RADIANS(120-115))*(B30-B31+B32-B33)</f>
        <v>154577698386.52097</v>
      </c>
      <c r="E29" s="1" t="s">
        <v>45</v>
      </c>
      <c r="F29" s="1" t="s">
        <v>46</v>
      </c>
      <c r="I29" s="1">
        <f t="shared" si="27"/>
        <v>0</v>
      </c>
      <c r="J29" s="1">
        <f t="shared" si="22"/>
        <v>0</v>
      </c>
      <c r="K29" s="1">
        <f t="shared" si="23"/>
        <v>0</v>
      </c>
      <c r="L29" s="1">
        <f t="shared" si="24"/>
        <v>0</v>
      </c>
      <c r="M29" s="1">
        <f t="shared" si="25"/>
        <v>0.78539816339744828</v>
      </c>
      <c r="N29" s="1">
        <f t="shared" si="26"/>
        <v>0.99999999999999989</v>
      </c>
      <c r="S29" s="1">
        <v>40</v>
      </c>
      <c r="T29" s="1" t="s">
        <v>74</v>
      </c>
      <c r="U29" s="1">
        <f t="shared" ref="U29:X29" si="36">U17/1000</f>
        <v>499.52008827416597</v>
      </c>
      <c r="V29" s="1">
        <f t="shared" si="36"/>
        <v>499.97913371541256</v>
      </c>
      <c r="W29" s="1">
        <f t="shared" si="36"/>
        <v>501.3562170264218</v>
      </c>
      <c r="X29" s="1">
        <f t="shared" si="36"/>
        <v>503.6511791751152</v>
      </c>
    </row>
    <row r="30" spans="1:24">
      <c r="B30" s="1">
        <f>E9*(E30-E31)</f>
        <v>4.3804038839815256E-2</v>
      </c>
      <c r="D30" s="1" t="s">
        <v>47</v>
      </c>
      <c r="E30" s="1">
        <f>SIN(F30)</f>
        <v>0.57357643635104605</v>
      </c>
      <c r="F30" s="1">
        <f>RADIANS(35)</f>
        <v>0.6108652381980153</v>
      </c>
      <c r="I30" s="1">
        <f t="shared" si="27"/>
        <v>0</v>
      </c>
      <c r="J30" s="1">
        <f t="shared" si="22"/>
        <v>0</v>
      </c>
      <c r="K30" s="1">
        <f t="shared" si="23"/>
        <v>0</v>
      </c>
      <c r="L30" s="1">
        <f t="shared" si="24"/>
        <v>0</v>
      </c>
      <c r="M30" s="1">
        <f t="shared" si="25"/>
        <v>0.78539816339744828</v>
      </c>
      <c r="N30" s="1">
        <f t="shared" si="26"/>
        <v>0.99999999999999989</v>
      </c>
      <c r="T30" s="1" t="s">
        <v>75</v>
      </c>
      <c r="U30" s="1">
        <f t="shared" ref="U30:X30" si="37">U18/1000</f>
        <v>0</v>
      </c>
      <c r="V30" s="1">
        <f t="shared" si="37"/>
        <v>85.431326087734675</v>
      </c>
      <c r="W30" s="1">
        <f t="shared" si="37"/>
        <v>170.85278616294369</v>
      </c>
      <c r="X30" s="1">
        <f t="shared" si="37"/>
        <v>256.2545153524751</v>
      </c>
    </row>
    <row r="31" spans="1:24">
      <c r="B31" s="1">
        <f>E10*(E32-E33)</f>
        <v>-3.2147408048207896E-5</v>
      </c>
      <c r="D31" s="1" t="s">
        <v>48</v>
      </c>
      <c r="E31" s="1">
        <f t="shared" ref="E31:E37" si="38">SIN(F31)</f>
        <v>0.5299192642332049</v>
      </c>
      <c r="F31" s="1">
        <f>RADIANS(32)</f>
        <v>0.55850536063818546</v>
      </c>
      <c r="I31" s="1">
        <f t="shared" si="27"/>
        <v>1.9051491912257905</v>
      </c>
      <c r="J31" s="1">
        <f t="shared" si="22"/>
        <v>0.94462287008947721</v>
      </c>
      <c r="K31" s="1">
        <f t="shared" si="23"/>
        <v>2.8577237868386858</v>
      </c>
      <c r="L31" s="1">
        <f t="shared" si="24"/>
        <v>0.28007176645858495</v>
      </c>
      <c r="M31" s="1">
        <f t="shared" si="25"/>
        <v>1.2616854612038959</v>
      </c>
      <c r="N31" s="1">
        <f t="shared" si="26"/>
        <v>3.1313859162285502</v>
      </c>
    </row>
    <row r="32" spans="1:24">
      <c r="B32" s="1">
        <f>E11*(E34-E35)</f>
        <v>-4.3309230358441807E-7</v>
      </c>
      <c r="D32" s="1" t="s">
        <v>49</v>
      </c>
      <c r="E32" s="1">
        <f t="shared" si="38"/>
        <v>0.96592582628906831</v>
      </c>
      <c r="F32" s="1">
        <f>3*F30</f>
        <v>1.8325957145940459</v>
      </c>
      <c r="T32" s="1" t="s">
        <v>86</v>
      </c>
      <c r="U32" s="1">
        <f>R6/6000</f>
        <v>1398.9832540795576</v>
      </c>
    </row>
    <row r="33" spans="2:23">
      <c r="B33" s="1">
        <f>E12*(E36-E37)</f>
        <v>-5.6693203390145606E-10</v>
      </c>
      <c r="D33" s="1" t="s">
        <v>50</v>
      </c>
      <c r="E33" s="1">
        <f t="shared" si="38"/>
        <v>0.99452189536827329</v>
      </c>
      <c r="F33" s="1">
        <f>3*F31</f>
        <v>1.6755160819145565</v>
      </c>
      <c r="I33" s="1" t="s">
        <v>51</v>
      </c>
      <c r="J33" s="1" t="s">
        <v>52</v>
      </c>
      <c r="K33" s="1" t="s">
        <v>53</v>
      </c>
      <c r="L33" s="1" t="s">
        <v>54</v>
      </c>
      <c r="S33" s="1" t="s">
        <v>81</v>
      </c>
      <c r="T33" s="1" t="s">
        <v>82</v>
      </c>
      <c r="U33" s="1" t="s">
        <v>83</v>
      </c>
      <c r="V33" s="1" t="s">
        <v>84</v>
      </c>
      <c r="W33" s="1" t="s">
        <v>97</v>
      </c>
    </row>
    <row r="34" spans="2:23">
      <c r="D34" s="1" t="s">
        <v>55</v>
      </c>
      <c r="E34" s="1">
        <f t="shared" si="38"/>
        <v>8.7155742747658194E-2</v>
      </c>
      <c r="F34" s="1">
        <f>5*F30</f>
        <v>3.0543261909900767</v>
      </c>
      <c r="I34" s="1">
        <f>4*I4</f>
        <v>2.5539984720850359</v>
      </c>
      <c r="J34" s="1">
        <f t="shared" ref="J34:J46" si="39">SIN(I34)</f>
        <v>0.55436032228937127</v>
      </c>
      <c r="K34" s="1">
        <f>5*I4</f>
        <v>3.1924980901062949</v>
      </c>
      <c r="L34" s="1">
        <f t="shared" ref="L34:L46" si="40">SIN(K34)</f>
        <v>-5.0883453616902941E-2</v>
      </c>
      <c r="S34" s="2">
        <f>H4</f>
        <v>36.583333333333336</v>
      </c>
      <c r="T34" s="1">
        <f>$T$2*R4/N4</f>
        <v>1.0001522208087423</v>
      </c>
      <c r="U34" s="1">
        <f>T34*T34</f>
        <v>1.0003044647886592</v>
      </c>
      <c r="W34" s="1">
        <f>T34-1</f>
        <v>1.5222080874233157E-4</v>
      </c>
    </row>
    <row r="35" spans="2:23">
      <c r="D35" s="1" t="s">
        <v>56</v>
      </c>
      <c r="E35" s="1">
        <f t="shared" si="38"/>
        <v>0.34202014332566888</v>
      </c>
      <c r="F35" s="1">
        <f>5*F31</f>
        <v>2.7925268031909272</v>
      </c>
      <c r="I35" s="1">
        <f t="shared" ref="I35:I46" si="41">4*I5</f>
        <v>2.7518024539777262</v>
      </c>
      <c r="J35" s="1">
        <f t="shared" si="39"/>
        <v>0.37999436047779905</v>
      </c>
      <c r="K35" s="1">
        <f t="shared" ref="K35:K46" si="42">5*I5</f>
        <v>3.4397530674721577</v>
      </c>
      <c r="L35" s="1">
        <f t="shared" si="40"/>
        <v>-0.29376228387804421</v>
      </c>
      <c r="S35" s="1">
        <v>38</v>
      </c>
      <c r="T35" s="1">
        <f>$T$2*R11/N11</f>
        <v>0.99984777919125922</v>
      </c>
      <c r="U35" s="1">
        <f t="shared" ref="U35:U36" si="43">T35*T35</f>
        <v>0.99969558155369309</v>
      </c>
      <c r="W35" s="1">
        <f t="shared" ref="W35:W36" si="44">T35-1</f>
        <v>-1.5222080874077726E-4</v>
      </c>
    </row>
    <row r="36" spans="2:23">
      <c r="D36" s="1" t="s">
        <v>57</v>
      </c>
      <c r="E36" s="1">
        <f t="shared" si="38"/>
        <v>-0.90630778703664971</v>
      </c>
      <c r="F36" s="1">
        <f>7*F30</f>
        <v>4.2760566673861069</v>
      </c>
      <c r="I36" s="1">
        <f t="shared" si="41"/>
        <v>2.5132741228718345</v>
      </c>
      <c r="J36" s="1">
        <f t="shared" si="39"/>
        <v>0.58778525229247325</v>
      </c>
      <c r="K36" s="1">
        <f t="shared" si="42"/>
        <v>3.1415926535897931</v>
      </c>
      <c r="L36" s="1">
        <f t="shared" si="40"/>
        <v>1.22514845490862E-16</v>
      </c>
      <c r="S36" s="2">
        <f>H5</f>
        <v>39.416666666666664</v>
      </c>
      <c r="T36" s="1">
        <f>$T$2*R5/N5</f>
        <v>1.0001522208087412</v>
      </c>
      <c r="U36" s="1">
        <f t="shared" si="43"/>
        <v>1.000304464788657</v>
      </c>
      <c r="W36" s="1">
        <f t="shared" si="44"/>
        <v>1.5222080874122135E-4</v>
      </c>
    </row>
    <row r="37" spans="2:23">
      <c r="D37" s="1" t="s">
        <v>58</v>
      </c>
      <c r="E37" s="1">
        <f t="shared" si="38"/>
        <v>-0.69465837045899737</v>
      </c>
      <c r="F37" s="1">
        <f>7*F31</f>
        <v>3.9095375244672983</v>
      </c>
      <c r="I37" s="1">
        <f t="shared" si="41"/>
        <v>2.5830872929516078</v>
      </c>
      <c r="J37" s="1">
        <f t="shared" si="39"/>
        <v>0.5299192642332049</v>
      </c>
      <c r="K37" s="1">
        <f t="shared" si="42"/>
        <v>3.2288591161895095</v>
      </c>
      <c r="L37" s="1">
        <f t="shared" si="40"/>
        <v>-8.7155742747657944E-2</v>
      </c>
    </row>
    <row r="38" spans="2:23">
      <c r="I38" s="1">
        <f t="shared" si="41"/>
        <v>2.6529004630313811</v>
      </c>
      <c r="J38" s="1">
        <f t="shared" si="39"/>
        <v>0.46947156278589069</v>
      </c>
      <c r="K38" s="1">
        <f t="shared" si="42"/>
        <v>3.3161255787892263</v>
      </c>
      <c r="L38" s="1">
        <f t="shared" si="40"/>
        <v>-0.17364817766693047</v>
      </c>
      <c r="S38" s="2"/>
    </row>
    <row r="39" spans="2:23">
      <c r="I39" s="1">
        <f t="shared" si="41"/>
        <v>2.7227136331111539</v>
      </c>
      <c r="J39" s="1">
        <f t="shared" si="39"/>
        <v>0.40673664307580043</v>
      </c>
      <c r="K39" s="1">
        <f t="shared" si="42"/>
        <v>3.4033920413889422</v>
      </c>
      <c r="L39" s="1">
        <f t="shared" si="40"/>
        <v>-0.25881904510252035</v>
      </c>
    </row>
    <row r="40" spans="2:23">
      <c r="I40" s="1">
        <f>4*I10</f>
        <v>2.7925268031909272</v>
      </c>
      <c r="J40" s="1">
        <f>SIN(I40)</f>
        <v>0.34202014332566888</v>
      </c>
      <c r="K40" s="1">
        <f>5*I10</f>
        <v>3.4906585039886591</v>
      </c>
      <c r="L40" s="1">
        <f t="shared" si="40"/>
        <v>-0.34202014332566866</v>
      </c>
    </row>
    <row r="41" spans="2:23">
      <c r="I41" s="1">
        <f t="shared" si="41"/>
        <v>2.6529004630313811</v>
      </c>
      <c r="J41" s="1">
        <f t="shared" si="39"/>
        <v>0.46947156278589069</v>
      </c>
      <c r="K41" s="1">
        <f t="shared" si="42"/>
        <v>3.3161255787892263</v>
      </c>
      <c r="L41" s="1">
        <f t="shared" si="40"/>
        <v>-0.17364817766693047</v>
      </c>
    </row>
    <row r="42" spans="2:23">
      <c r="I42" s="1">
        <f t="shared" si="41"/>
        <v>2.4783675378319479</v>
      </c>
      <c r="J42" s="1">
        <f t="shared" si="39"/>
        <v>0.6156614753256584</v>
      </c>
      <c r="K42" s="1">
        <f t="shared" si="42"/>
        <v>3.0979594222899349</v>
      </c>
      <c r="L42" s="1">
        <f t="shared" si="40"/>
        <v>4.3619387365336069E-2</v>
      </c>
    </row>
    <row r="43" spans="2:23">
      <c r="I43" s="1">
        <f t="shared" si="41"/>
        <v>0</v>
      </c>
      <c r="J43" s="1">
        <f t="shared" si="39"/>
        <v>0</v>
      </c>
      <c r="K43" s="1">
        <f t="shared" si="42"/>
        <v>0</v>
      </c>
      <c r="L43" s="1">
        <f t="shared" si="40"/>
        <v>0</v>
      </c>
    </row>
    <row r="44" spans="2:23">
      <c r="I44" s="1">
        <f t="shared" si="41"/>
        <v>0</v>
      </c>
      <c r="J44" s="1">
        <f t="shared" si="39"/>
        <v>0</v>
      </c>
      <c r="K44" s="1">
        <f t="shared" si="42"/>
        <v>0</v>
      </c>
      <c r="L44" s="1">
        <f t="shared" si="40"/>
        <v>0</v>
      </c>
    </row>
    <row r="45" spans="2:23">
      <c r="I45" s="1">
        <f t="shared" si="41"/>
        <v>0</v>
      </c>
      <c r="J45" s="1">
        <f t="shared" si="39"/>
        <v>0</v>
      </c>
      <c r="K45" s="1">
        <f t="shared" si="42"/>
        <v>0</v>
      </c>
      <c r="L45" s="1">
        <f t="shared" si="40"/>
        <v>0</v>
      </c>
    </row>
    <row r="46" spans="2:23">
      <c r="I46" s="1">
        <f t="shared" si="41"/>
        <v>3.810298382451581</v>
      </c>
      <c r="J46" s="1">
        <f t="shared" si="39"/>
        <v>-0.61997098944166529</v>
      </c>
      <c r="K46" s="1">
        <f t="shared" si="42"/>
        <v>4.7628729780644763</v>
      </c>
      <c r="L46" s="1">
        <f t="shared" si="40"/>
        <v>-0.9987259536134494</v>
      </c>
    </row>
    <row r="48" spans="2:23">
      <c r="I48" s="1" t="s">
        <v>59</v>
      </c>
      <c r="J48" s="1" t="s">
        <v>60</v>
      </c>
      <c r="K48" s="1" t="s">
        <v>61</v>
      </c>
      <c r="L48" s="1" t="s">
        <v>62</v>
      </c>
    </row>
    <row r="49" spans="9:12">
      <c r="I49" s="1">
        <f>6*I4</f>
        <v>3.8309977081275539</v>
      </c>
      <c r="J49" s="1">
        <f t="shared" ref="J49:J61" si="45">SIN(I49)</f>
        <v>-0.63607822027776428</v>
      </c>
      <c r="K49" s="1">
        <f>7*I4</f>
        <v>4.4694973261488133</v>
      </c>
      <c r="L49" s="1">
        <f t="shared" ref="L49:L61" si="46">SIN(K49)</f>
        <v>-0.97064656100518065</v>
      </c>
    </row>
    <row r="50" spans="9:12">
      <c r="I50" s="1">
        <f t="shared" ref="I50:I61" si="47">6*I5</f>
        <v>4.1277036809665892</v>
      </c>
      <c r="J50" s="1">
        <f t="shared" si="45"/>
        <v>-0.8338858220671681</v>
      </c>
      <c r="K50" s="1">
        <f t="shared" ref="K50:K61" si="48">7*I5</f>
        <v>4.8156542944610212</v>
      </c>
      <c r="L50" s="1">
        <f t="shared" si="46"/>
        <v>-0.994672873896844</v>
      </c>
    </row>
    <row r="51" spans="9:12">
      <c r="I51" s="1">
        <f t="shared" si="47"/>
        <v>3.7699111843077517</v>
      </c>
      <c r="J51" s="1">
        <f t="shared" si="45"/>
        <v>-0.58778525229247303</v>
      </c>
      <c r="K51" s="1">
        <f t="shared" si="48"/>
        <v>4.3982297150257104</v>
      </c>
      <c r="L51" s="1">
        <f t="shared" si="46"/>
        <v>-0.95105651629515353</v>
      </c>
    </row>
    <row r="52" spans="9:12">
      <c r="I52" s="1">
        <f t="shared" si="47"/>
        <v>3.8746309394274117</v>
      </c>
      <c r="J52" s="1">
        <f t="shared" si="45"/>
        <v>-0.66913060635885824</v>
      </c>
      <c r="K52" s="1">
        <f t="shared" si="48"/>
        <v>4.5204027626653138</v>
      </c>
      <c r="L52" s="1">
        <f t="shared" si="46"/>
        <v>-0.98162718344766398</v>
      </c>
    </row>
    <row r="53" spans="9:12">
      <c r="I53" s="1">
        <f>6*I8</f>
        <v>3.9793506945470716</v>
      </c>
      <c r="J53" s="1">
        <f t="shared" si="45"/>
        <v>-0.74314482547739436</v>
      </c>
      <c r="K53" s="1">
        <f t="shared" si="48"/>
        <v>4.6425758103049173</v>
      </c>
      <c r="L53" s="1">
        <f t="shared" si="46"/>
        <v>-0.99756405025982431</v>
      </c>
    </row>
    <row r="54" spans="9:12">
      <c r="I54" s="1">
        <f t="shared" si="47"/>
        <v>4.0840704496667311</v>
      </c>
      <c r="J54" s="1">
        <f t="shared" si="45"/>
        <v>-0.80901699437494734</v>
      </c>
      <c r="K54" s="1">
        <f>7*I9</f>
        <v>4.764748857944519</v>
      </c>
      <c r="L54" s="1">
        <f t="shared" si="46"/>
        <v>-0.99862953475457394</v>
      </c>
    </row>
    <row r="55" spans="9:12">
      <c r="I55" s="1">
        <f t="shared" si="47"/>
        <v>4.1887902047863905</v>
      </c>
      <c r="J55" s="1">
        <f t="shared" si="45"/>
        <v>-0.86602540378443837</v>
      </c>
      <c r="K55" s="1">
        <f t="shared" si="48"/>
        <v>4.8869219055841224</v>
      </c>
      <c r="L55" s="1">
        <f t="shared" si="46"/>
        <v>-0.98480775301220813</v>
      </c>
    </row>
    <row r="56" spans="9:12">
      <c r="I56" s="1">
        <f t="shared" si="47"/>
        <v>3.9793506945470716</v>
      </c>
      <c r="J56" s="1">
        <f t="shared" si="45"/>
        <v>-0.74314482547739436</v>
      </c>
      <c r="K56" s="1">
        <f t="shared" si="48"/>
        <v>4.6425758103049173</v>
      </c>
      <c r="L56" s="1">
        <f t="shared" si="46"/>
        <v>-0.99756405025982431</v>
      </c>
    </row>
    <row r="57" spans="9:12">
      <c r="I57" s="1">
        <f t="shared" si="47"/>
        <v>3.7175513067479216</v>
      </c>
      <c r="J57" s="1">
        <f t="shared" si="45"/>
        <v>-0.54463903501502675</v>
      </c>
      <c r="K57" s="1">
        <f t="shared" si="48"/>
        <v>4.3371431912059091</v>
      </c>
      <c r="L57" s="1">
        <f t="shared" si="46"/>
        <v>-0.93041756798202457</v>
      </c>
    </row>
    <row r="58" spans="9:12">
      <c r="I58" s="1">
        <f t="shared" si="47"/>
        <v>0</v>
      </c>
      <c r="J58" s="1">
        <f t="shared" si="45"/>
        <v>0</v>
      </c>
      <c r="K58" s="1">
        <f t="shared" si="48"/>
        <v>0</v>
      </c>
      <c r="L58" s="1">
        <f t="shared" si="46"/>
        <v>0</v>
      </c>
    </row>
    <row r="59" spans="9:12">
      <c r="I59" s="1">
        <f t="shared" si="47"/>
        <v>0</v>
      </c>
      <c r="J59" s="1">
        <f t="shared" si="45"/>
        <v>0</v>
      </c>
      <c r="K59" s="1">
        <f t="shared" si="48"/>
        <v>0</v>
      </c>
      <c r="L59" s="1">
        <f t="shared" si="46"/>
        <v>0</v>
      </c>
    </row>
    <row r="60" spans="9:12">
      <c r="I60" s="1">
        <f t="shared" si="47"/>
        <v>0</v>
      </c>
      <c r="J60" s="1">
        <f t="shared" si="45"/>
        <v>0</v>
      </c>
      <c r="K60" s="1">
        <f t="shared" si="48"/>
        <v>0</v>
      </c>
      <c r="L60" s="1">
        <f t="shared" si="46"/>
        <v>0</v>
      </c>
    </row>
    <row r="61" spans="9:12">
      <c r="I61" s="1">
        <f t="shared" si="47"/>
        <v>5.7154475736773716</v>
      </c>
      <c r="J61" s="1">
        <f t="shared" si="45"/>
        <v>-0.53772606511071419</v>
      </c>
      <c r="K61" s="1">
        <f t="shared" si="48"/>
        <v>6.6680221692902668</v>
      </c>
      <c r="L61" s="1">
        <f t="shared" si="46"/>
        <v>0.37540793581048082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0"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0"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ZHWJS</cp:lastModifiedBy>
  <dcterms:created xsi:type="dcterms:W3CDTF">2006-09-16T00:00:00Z</dcterms:created>
  <dcterms:modified xsi:type="dcterms:W3CDTF">2016-10-14T04:01:53Z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