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eetv\Downloads\"/>
    </mc:Choice>
  </mc:AlternateContent>
  <xr:revisionPtr revIDLastSave="0" documentId="13_ncr:1_{EDF7C5C3-F3B0-4603-81A2-4E94AE4BC2A4}" xr6:coauthVersionLast="47" xr6:coauthVersionMax="47" xr10:uidLastSave="{00000000-0000-0000-0000-000000000000}"/>
  <bookViews>
    <workbookView xWindow="-108" yWindow="-108" windowWidth="23256" windowHeight="13176" tabRatio="685" activeTab="2" xr2:uid="{00000000-000D-0000-FFFF-FFFF00000000}"/>
  </bookViews>
  <sheets>
    <sheet name="Cover Page" sheetId="27" r:id="rId1"/>
    <sheet name="DCF Model" sheetId="25" r:id="rId2"/>
    <sheet name="Comparable" sheetId="28" r:id="rId3"/>
  </sheets>
  <definedNames>
    <definedName name="_xlchart.v1.0" hidden="1">'DCF Model'!$L$37:$L$39</definedName>
    <definedName name="_xlchart.v1.1" hidden="1">'DCF Model'!$N$37:$N$39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fileRecoveryPr autoRecover="0"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25" l="1"/>
  <c r="D34" i="25"/>
  <c r="C26" i="28"/>
  <c r="D24" i="28"/>
  <c r="C24" i="28"/>
  <c r="K15" i="28"/>
  <c r="L11" i="28"/>
  <c r="K11" i="28"/>
  <c r="J11" i="28"/>
  <c r="M11" i="28" s="1"/>
  <c r="G11" i="28"/>
  <c r="L10" i="28"/>
  <c r="K10" i="28"/>
  <c r="J10" i="28"/>
  <c r="M10" i="28" s="1"/>
  <c r="G10" i="28"/>
  <c r="M9" i="28"/>
  <c r="L9" i="28"/>
  <c r="K9" i="28"/>
  <c r="J9" i="28"/>
  <c r="G9" i="28"/>
  <c r="L8" i="28"/>
  <c r="K8" i="28"/>
  <c r="J8" i="28"/>
  <c r="M8" i="28" s="1"/>
  <c r="G8" i="28"/>
  <c r="M7" i="28"/>
  <c r="L7" i="28"/>
  <c r="K7" i="28"/>
  <c r="J7" i="28"/>
  <c r="G7" i="28"/>
  <c r="L6" i="28"/>
  <c r="K6" i="28"/>
  <c r="K18" i="28" s="1"/>
  <c r="J6" i="28"/>
  <c r="M6" i="28" s="1"/>
  <c r="G6" i="28"/>
  <c r="L5" i="28"/>
  <c r="K5" i="28"/>
  <c r="J5" i="28"/>
  <c r="M5" i="28" s="1"/>
  <c r="G5" i="28"/>
  <c r="M4" i="28"/>
  <c r="L4" i="28"/>
  <c r="L18" i="28" s="1"/>
  <c r="K4" i="28"/>
  <c r="J4" i="28"/>
  <c r="G4" i="28"/>
  <c r="L3" i="28"/>
  <c r="L19" i="28" s="1"/>
  <c r="K3" i="28"/>
  <c r="K19" i="28" s="1"/>
  <c r="J3" i="28"/>
  <c r="M3" i="28" s="1"/>
  <c r="G3" i="28"/>
  <c r="L2" i="28"/>
  <c r="L17" i="28" s="1"/>
  <c r="D23" i="28" s="1"/>
  <c r="D25" i="28" s="1"/>
  <c r="D28" i="28" s="1"/>
  <c r="K2" i="28"/>
  <c r="K14" i="28" s="1"/>
  <c r="J2" i="28"/>
  <c r="M2" i="28" s="1"/>
  <c r="G2" i="28"/>
  <c r="E25" i="25"/>
  <c r="F22" i="25"/>
  <c r="G22" i="25"/>
  <c r="H22" i="25" s="1"/>
  <c r="I22" i="25" s="1"/>
  <c r="I38" i="25"/>
  <c r="N37" i="25" s="1"/>
  <c r="M14" i="28" l="1"/>
  <c r="M16" i="28"/>
  <c r="M17" i="28"/>
  <c r="M19" i="28"/>
  <c r="M15" i="28"/>
  <c r="M18" i="28"/>
  <c r="L15" i="28"/>
  <c r="K16" i="28"/>
  <c r="L16" i="28"/>
  <c r="L14" i="28"/>
  <c r="K17" i="28"/>
  <c r="C23" i="28" s="1"/>
  <c r="C25" i="28" s="1"/>
  <c r="C28" i="28" s="1"/>
  <c r="F20" i="25"/>
  <c r="G20" i="25" s="1"/>
  <c r="G19" i="25" s="1"/>
  <c r="G18" i="25" s="1"/>
  <c r="E19" i="25"/>
  <c r="E18" i="25" s="1"/>
  <c r="F19" i="25" l="1"/>
  <c r="F18" i="25" s="1"/>
  <c r="H20" i="25"/>
  <c r="I20" i="25" s="1"/>
  <c r="I19" i="25" s="1"/>
  <c r="F25" i="25"/>
  <c r="G25" i="25"/>
  <c r="H25" i="25"/>
  <c r="I25" i="25"/>
  <c r="I35" i="25"/>
  <c r="I34" i="25"/>
  <c r="G21" i="25" l="1"/>
  <c r="F21" i="25"/>
  <c r="I18" i="25"/>
  <c r="J19" i="25"/>
  <c r="H19" i="25"/>
  <c r="I21" i="25" s="1"/>
  <c r="I33" i="25"/>
  <c r="I36" i="25" s="1"/>
  <c r="D19" i="25"/>
  <c r="E21" i="25" s="1"/>
  <c r="H18" i="25" l="1"/>
  <c r="H21" i="25"/>
  <c r="D28" i="25"/>
  <c r="D30" i="25" s="1"/>
  <c r="E23" i="25" l="1"/>
  <c r="E27" i="25" l="1"/>
  <c r="E29" i="25" l="1"/>
  <c r="E30" i="25"/>
  <c r="F23" i="25"/>
  <c r="F27" i="25" l="1"/>
  <c r="G23" i="25"/>
  <c r="G27" i="25" s="1"/>
  <c r="G29" i="25" l="1"/>
  <c r="G30" i="25"/>
  <c r="F29" i="25"/>
  <c r="F30" i="25"/>
  <c r="H23" i="25"/>
  <c r="I23" i="25" l="1"/>
  <c r="H27" i="25" l="1"/>
  <c r="H29" i="25" l="1"/>
  <c r="H30" i="25"/>
  <c r="N20" i="25"/>
  <c r="I27" i="25"/>
  <c r="I30" i="25" s="1"/>
  <c r="N19" i="25" l="1"/>
  <c r="N21" i="25" s="1"/>
  <c r="I29" i="25"/>
  <c r="J28" i="25" l="1"/>
  <c r="J29" i="25" l="1"/>
  <c r="D33" i="25" s="1"/>
  <c r="D36" i="25" s="1"/>
  <c r="D38" i="25" s="1"/>
  <c r="J30" i="25"/>
  <c r="N34" i="25" s="1"/>
  <c r="N33" i="25" l="1"/>
  <c r="N38" i="25"/>
  <c r="N39" i="25" s="1"/>
</calcChain>
</file>

<file path=xl/sharedStrings.xml><?xml version="1.0" encoding="utf-8"?>
<sst xmlns="http://schemas.openxmlformats.org/spreadsheetml/2006/main" count="113" uniqueCount="105">
  <si>
    <t>Cash</t>
  </si>
  <si>
    <t>Debt</t>
  </si>
  <si>
    <t>Assumptions</t>
  </si>
  <si>
    <t>DCF Model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</si>
  <si>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</si>
  <si>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</si>
  <si>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</si>
  <si>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</si>
  <si>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</si>
  <si>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</si>
  <si>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</si>
  <si>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</si>
  <si>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</si>
  <si>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</si>
  <si>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</si>
  <si>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</si>
  <si>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</si>
  <si>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</si>
  <si>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</si>
  <si>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</si>
  <si>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</si>
  <si>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Shares Outstanding</t>
  </si>
  <si>
    <t>Entry</t>
  </si>
  <si>
    <t>Exit</t>
  </si>
  <si>
    <t>Date</t>
  </si>
  <si>
    <t>Current Price</t>
  </si>
  <si>
    <t>Market Cap</t>
  </si>
  <si>
    <t>Plus: Debt</t>
  </si>
  <si>
    <t>Less: Cash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</si>
  <si>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</si>
  <si>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</si>
  <si>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</si>
  <si>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</si>
  <si>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</si>
  <si>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</si>
  <si>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</si>
  <si>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</si>
  <si>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</si>
  <si>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Capex</t>
  </si>
  <si>
    <t>https://corporatefinanceinstitute.com/</t>
  </si>
  <si>
    <t>Instructions</t>
  </si>
  <si>
    <t>Fiscal Year End</t>
  </si>
  <si>
    <t>Transaction CF</t>
  </si>
  <si>
    <t>Year Fraction</t>
  </si>
  <si>
    <t>Time Periods</t>
  </si>
  <si>
    <t>Step 1: Get EBIT and D&amp;A from the income statement</t>
  </si>
  <si>
    <t>Step 2: Calculate the net working capital</t>
  </si>
  <si>
    <t>There are two ways to find NWC:</t>
  </si>
  <si>
    <t>1. NWC = Current Assets (less cash) - Current Liabilities (less debt)</t>
  </si>
  <si>
    <t>2. NWC = Accounts Receivable + Inventory - Accounts Payable</t>
  </si>
  <si>
    <t>Strictly Confidential</t>
  </si>
  <si>
    <t>Table of Contents</t>
  </si>
  <si>
    <t>Market Value vs Intrinsic Value</t>
  </si>
  <si>
    <t>Upside</t>
  </si>
  <si>
    <t>Internal Rate of Return (IRR)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</si>
  <si>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</si>
  <si>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</si>
  <si>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</si>
  <si>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</si>
  <si>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</si>
  <si>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</si>
  <si>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© 2015 to 2025 CFI Education Inc.</t>
  </si>
  <si>
    <t>Company</t>
  </si>
  <si>
    <t>Ticker</t>
  </si>
  <si>
    <t>Share Price</t>
  </si>
  <si>
    <t>Shares Outstanding (Cr)</t>
  </si>
  <si>
    <t>Market Cap (Cr)</t>
  </si>
  <si>
    <t>Enterprise Value (Cr)</t>
  </si>
  <si>
    <t>Net Debt (Cr)</t>
  </si>
  <si>
    <t>Revenue (Cr)</t>
  </si>
  <si>
    <t>EBITDA (Cr)</t>
  </si>
  <si>
    <t>Net Income (Cr)</t>
  </si>
  <si>
    <t>EV/Revenue</t>
  </si>
  <si>
    <t>P/E</t>
  </si>
  <si>
    <t>TCS</t>
  </si>
  <si>
    <t>TCS.NS</t>
  </si>
  <si>
    <t>Infosys</t>
  </si>
  <si>
    <t>INFY.NS</t>
  </si>
  <si>
    <t>HCL Technologies</t>
  </si>
  <si>
    <t>HCLTECH.NS</t>
  </si>
  <si>
    <t>Wipro</t>
  </si>
  <si>
    <t>WIPRO.NS</t>
  </si>
  <si>
    <t>LTIMindtree</t>
  </si>
  <si>
    <t>LTIM.NS</t>
  </si>
  <si>
    <t>Tech Mahindra</t>
  </si>
  <si>
    <t>TECHM.NS</t>
  </si>
  <si>
    <t>Oracle Fin.Serv.</t>
  </si>
  <si>
    <t>OFSS.NS</t>
  </si>
  <si>
    <t>Persistent Sys</t>
  </si>
  <si>
    <t>PERSISTENT.NS</t>
  </si>
  <si>
    <t>PB Fintech</t>
  </si>
  <si>
    <t>POLICYBZR.NS</t>
  </si>
  <si>
    <t>L&amp;T Technology</t>
  </si>
  <si>
    <t>LTTS.NS</t>
  </si>
  <si>
    <t>HIGH</t>
  </si>
  <si>
    <t>75 QUARTILE</t>
  </si>
  <si>
    <t>MEAN</t>
  </si>
  <si>
    <t>MEDIAN</t>
  </si>
  <si>
    <t>25 QUARTILE</t>
  </si>
  <si>
    <t>LOW</t>
  </si>
  <si>
    <t xml:space="preserve">Implied Valuation </t>
  </si>
  <si>
    <t>Implied Enterprise Value</t>
  </si>
  <si>
    <t>Net Debt</t>
  </si>
  <si>
    <t>Implied Equity Value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</si>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</sst>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(#,##0\)_-;_-* &quot;-&quot;_-;_-@_-"/>
    <numFmt numFmtId="166" formatCode="_-* #,##0_-;\-* #,##0_-;_-* &quot;-&quot;??_-;_-@_-"/>
    <numFmt numFmtId="167" formatCode="_(* #,##0_);_(* \(#,##0\);_(* &quot;-&quot;??_);_(@_)"/>
    <numFmt numFmtId="168" formatCode="0.0\x"/>
    <numFmt numFmtId="169" formatCode="_-* #,##0.00_-;\(#,##0.00\)_-;_-* &quot;-&quot;_-;_-@_-"/>
    <numFmt numFmtId="170" formatCode="_(#,##0_)_%;\(#,##0\)_%;_(&quot;–&quot;_)_%;_(@_)_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i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u/>
      <sz val="10"/>
      <color theme="10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i/>
      <sz val="10"/>
      <color rgb="FF000000"/>
      <name val="Open Sans"/>
      <family val="2"/>
    </font>
    <font>
      <sz val="10"/>
      <color rgb="FF000000"/>
      <name val="Open Sans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165" fontId="3" fillId="2" borderId="0" xfId="1" applyNumberFormat="1" applyFont="1" applyFill="1"/>
    <xf numFmtId="165" fontId="4" fillId="2" borderId="0" xfId="1" applyNumberFormat="1" applyFont="1" applyFill="1"/>
    <xf numFmtId="165" fontId="4" fillId="2" borderId="0" xfId="1" applyNumberFormat="1" applyFont="1" applyFill="1" applyAlignment="1">
      <alignment horizontal="center"/>
    </xf>
    <xf numFmtId="165" fontId="5" fillId="0" borderId="0" xfId="1" applyNumberFormat="1" applyFont="1"/>
    <xf numFmtId="165" fontId="6" fillId="0" borderId="0" xfId="1" applyNumberFormat="1" applyFont="1"/>
    <xf numFmtId="165" fontId="5" fillId="0" borderId="0" xfId="1" applyNumberFormat="1" applyFont="1" applyAlignment="1">
      <alignment horizontal="center"/>
    </xf>
    <xf numFmtId="165" fontId="7" fillId="0" borderId="0" xfId="1" applyNumberFormat="1" applyFont="1"/>
    <xf numFmtId="165" fontId="9" fillId="0" borderId="0" xfId="1" applyNumberFormat="1" applyFont="1"/>
    <xf numFmtId="14" fontId="7" fillId="0" borderId="0" xfId="1" applyNumberFormat="1" applyFont="1"/>
    <xf numFmtId="165" fontId="5" fillId="0" borderId="0" xfId="1" applyNumberFormat="1" applyFont="1" applyBorder="1"/>
    <xf numFmtId="165" fontId="7" fillId="0" borderId="0" xfId="1" applyNumberFormat="1" applyFont="1" applyBorder="1"/>
    <xf numFmtId="169" fontId="5" fillId="0" borderId="0" xfId="1" applyNumberFormat="1" applyFont="1"/>
    <xf numFmtId="165" fontId="10" fillId="0" borderId="0" xfId="1" applyNumberFormat="1" applyFont="1"/>
    <xf numFmtId="165" fontId="9" fillId="0" borderId="0" xfId="1" applyNumberFormat="1" applyFont="1" applyBorder="1"/>
    <xf numFmtId="14" fontId="10" fillId="0" borderId="0" xfId="1" applyNumberFormat="1" applyFont="1" applyBorder="1"/>
    <xf numFmtId="165" fontId="10" fillId="0" borderId="0" xfId="1" applyNumberFormat="1" applyFont="1" applyBorder="1"/>
    <xf numFmtId="165" fontId="5" fillId="0" borderId="0" xfId="1" applyNumberFormat="1" applyFont="1" applyAlignment="1">
      <alignment horizontal="left" indent="5"/>
    </xf>
    <xf numFmtId="0" fontId="1" fillId="0" borderId="0" xfId="7" applyFont="1"/>
    <xf numFmtId="0" fontId="1" fillId="2" borderId="2" xfId="7" applyFont="1" applyFill="1" applyBorder="1"/>
    <xf numFmtId="0" fontId="1" fillId="2" borderId="3" xfId="7" applyFont="1" applyFill="1" applyBorder="1"/>
    <xf numFmtId="0" fontId="1" fillId="2" borderId="4" xfId="7" applyFont="1" applyFill="1" applyBorder="1"/>
    <xf numFmtId="0" fontId="1" fillId="2" borderId="5" xfId="7" applyFont="1" applyFill="1" applyBorder="1"/>
    <xf numFmtId="0" fontId="1" fillId="2" borderId="0" xfId="7" applyFont="1" applyFill="1"/>
    <xf numFmtId="0" fontId="1" fillId="2" borderId="6" xfId="7" applyFont="1" applyFill="1" applyBorder="1"/>
    <xf numFmtId="0" fontId="1" fillId="0" borderId="5" xfId="7" applyFont="1" applyBorder="1"/>
    <xf numFmtId="0" fontId="1" fillId="0" borderId="6" xfId="7" applyFont="1" applyBorder="1"/>
    <xf numFmtId="0" fontId="15" fillId="0" borderId="0" xfId="7" applyFont="1" applyProtection="1">
      <protection locked="0"/>
    </xf>
    <xf numFmtId="0" fontId="16" fillId="0" borderId="0" xfId="7" applyFont="1" applyAlignment="1">
      <alignment horizontal="right"/>
    </xf>
    <xf numFmtId="0" fontId="1" fillId="0" borderId="0" xfId="7" applyFont="1" applyProtection="1">
      <protection locked="0"/>
    </xf>
    <xf numFmtId="0" fontId="13" fillId="0" borderId="0" xfId="7" applyFont="1"/>
    <xf numFmtId="0" fontId="16" fillId="0" borderId="7" xfId="7" applyFont="1" applyBorder="1" applyProtection="1">
      <protection locked="0"/>
    </xf>
    <xf numFmtId="0" fontId="5" fillId="0" borderId="0" xfId="7" applyFont="1"/>
    <xf numFmtId="170" fontId="17" fillId="0" borderId="0" xfId="4" applyNumberFormat="1" applyFont="1" applyFill="1" applyBorder="1" applyProtection="1">
      <protection locked="0"/>
    </xf>
    <xf numFmtId="170" fontId="18" fillId="0" borderId="0" xfId="8" applyNumberFormat="1" applyFont="1" applyFill="1" applyBorder="1" applyProtection="1">
      <protection locked="0"/>
    </xf>
    <xf numFmtId="0" fontId="19" fillId="0" borderId="0" xfId="8" applyFont="1" applyFill="1" applyBorder="1" applyProtection="1">
      <protection locked="0"/>
    </xf>
    <xf numFmtId="170" fontId="4" fillId="0" borderId="0" xfId="7" applyNumberFormat="1" applyFont="1"/>
    <xf numFmtId="170" fontId="12" fillId="0" borderId="0" xfId="8" applyNumberFormat="1" applyFill="1" applyBorder="1"/>
    <xf numFmtId="0" fontId="5" fillId="0" borderId="0" xfId="8" applyFont="1" applyFill="1" applyBorder="1"/>
    <xf numFmtId="0" fontId="20" fillId="3" borderId="0" xfId="7" applyFont="1" applyFill="1"/>
    <xf numFmtId="0" fontId="5" fillId="3" borderId="0" xfId="7" applyFont="1" applyFill="1"/>
    <xf numFmtId="170" fontId="14" fillId="3" borderId="0" xfId="7" applyNumberFormat="1" applyFont="1" applyFill="1"/>
    <xf numFmtId="0" fontId="21" fillId="3" borderId="0" xfId="7" applyFont="1" applyFill="1"/>
    <xf numFmtId="0" fontId="1" fillId="0" borderId="8" xfId="7" applyFont="1" applyBorder="1"/>
    <xf numFmtId="0" fontId="1" fillId="0" borderId="9" xfId="7" applyFont="1" applyBorder="1"/>
    <xf numFmtId="0" fontId="1" fillId="0" borderId="10" xfId="7" applyFont="1" applyBorder="1"/>
    <xf numFmtId="0" fontId="22" fillId="4" borderId="0" xfId="5" applyFont="1" applyFill="1" applyAlignment="1">
      <alignment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23" fillId="0" borderId="0" xfId="4" applyFont="1" applyAlignment="1">
      <alignment horizontal="right"/>
    </xf>
    <xf numFmtId="9" fontId="24" fillId="0" borderId="0" xfId="2" applyFont="1" applyBorder="1" applyAlignment="1">
      <alignment horizontal="right"/>
    </xf>
    <xf numFmtId="9" fontId="24" fillId="0" borderId="0" xfId="2" applyFont="1" applyAlignment="1">
      <alignment horizontal="right"/>
    </xf>
    <xf numFmtId="168" fontId="24" fillId="0" borderId="0" xfId="1" applyNumberFormat="1" applyFont="1" applyAlignment="1">
      <alignment horizontal="right"/>
    </xf>
    <xf numFmtId="14" fontId="24" fillId="0" borderId="0" xfId="1" applyNumberFormat="1" applyFont="1"/>
    <xf numFmtId="14" fontId="24" fillId="0" borderId="0" xfId="1" applyNumberFormat="1" applyFont="1" applyFill="1"/>
    <xf numFmtId="164" fontId="24" fillId="0" borderId="0" xfId="1" applyFont="1" applyAlignment="1">
      <alignment horizontal="right"/>
    </xf>
    <xf numFmtId="166" fontId="24" fillId="0" borderId="0" xfId="1" applyNumberFormat="1" applyFont="1" applyAlignment="1">
      <alignment horizontal="right"/>
    </xf>
    <xf numFmtId="165" fontId="24" fillId="0" borderId="0" xfId="1" applyNumberFormat="1" applyFont="1"/>
    <xf numFmtId="14" fontId="26" fillId="0" borderId="0" xfId="1" applyNumberFormat="1" applyFont="1" applyBorder="1"/>
    <xf numFmtId="165" fontId="27" fillId="0" borderId="0" xfId="1" applyNumberFormat="1" applyFont="1" applyBorder="1"/>
    <xf numFmtId="1" fontId="26" fillId="0" borderId="0" xfId="1" applyNumberFormat="1" applyFont="1"/>
    <xf numFmtId="167" fontId="27" fillId="0" borderId="0" xfId="1" applyNumberFormat="1" applyFont="1"/>
    <xf numFmtId="164" fontId="26" fillId="0" borderId="0" xfId="1" applyFont="1" applyBorder="1"/>
    <xf numFmtId="165" fontId="27" fillId="0" borderId="1" xfId="1" applyNumberFormat="1" applyFont="1" applyBorder="1"/>
    <xf numFmtId="165" fontId="24" fillId="0" borderId="0" xfId="1" applyNumberFormat="1" applyFont="1" applyBorder="1"/>
    <xf numFmtId="167" fontId="24" fillId="0" borderId="0" xfId="1" applyNumberFormat="1" applyFont="1"/>
    <xf numFmtId="165" fontId="27" fillId="0" borderId="0" xfId="1" applyNumberFormat="1" applyFont="1"/>
    <xf numFmtId="165" fontId="27" fillId="0" borderId="0" xfId="1" applyNumberFormat="1" applyFont="1" applyFill="1"/>
    <xf numFmtId="165" fontId="24" fillId="0" borderId="1" xfId="1" applyNumberFormat="1" applyFont="1" applyBorder="1"/>
    <xf numFmtId="9" fontId="27" fillId="0" borderId="0" xfId="2" applyFont="1" applyBorder="1"/>
    <xf numFmtId="9" fontId="27" fillId="0" borderId="0" xfId="2" applyFont="1"/>
    <xf numFmtId="169" fontId="27" fillId="0" borderId="0" xfId="1" applyNumberFormat="1" applyFont="1"/>
    <xf numFmtId="165" fontId="8" fillId="0" borderId="11" xfId="1" applyNumberFormat="1" applyFont="1" applyFill="1" applyBorder="1"/>
    <xf numFmtId="165" fontId="7" fillId="0" borderId="11" xfId="1" applyNumberFormat="1" applyFont="1" applyFill="1" applyBorder="1"/>
    <xf numFmtId="165" fontId="6" fillId="0" borderId="0" xfId="1" applyNumberFormat="1" applyFont="1" applyFill="1" applyBorder="1"/>
    <xf numFmtId="165" fontId="5" fillId="0" borderId="0" xfId="1" applyNumberFormat="1" applyFont="1" applyFill="1" applyBorder="1"/>
    <xf numFmtId="165" fontId="6" fillId="0" borderId="11" xfId="1" applyNumberFormat="1" applyFont="1" applyFill="1" applyBorder="1"/>
    <xf numFmtId="165" fontId="5" fillId="0" borderId="11" xfId="1" applyNumberFormat="1" applyFont="1" applyFill="1" applyBorder="1"/>
    <xf numFmtId="167" fontId="27" fillId="0" borderId="0" xfId="1" applyNumberFormat="1" applyFont="1" applyBorder="1"/>
    <xf numFmtId="165" fontId="27" fillId="0" borderId="12" xfId="1" applyNumberFormat="1" applyFont="1" applyBorder="1"/>
    <xf numFmtId="14" fontId="26" fillId="0" borderId="0" xfId="1" applyNumberFormat="1" applyFont="1" applyFill="1" applyBorder="1"/>
    <xf numFmtId="0" fontId="25" fillId="0" borderId="13" xfId="1" applyNumberFormat="1" applyFont="1" applyFill="1" applyBorder="1"/>
    <xf numFmtId="165" fontId="6" fillId="0" borderId="13" xfId="1" applyNumberFormat="1" applyFont="1" applyFill="1" applyBorder="1" applyAlignment="1">
      <alignment horizontal="right"/>
    </xf>
    <xf numFmtId="165" fontId="6" fillId="0" borderId="11" xfId="1" applyNumberFormat="1" applyFont="1" applyFill="1" applyBorder="1" applyAlignment="1">
      <alignment horizontal="right"/>
    </xf>
    <xf numFmtId="165" fontId="5" fillId="0" borderId="0" xfId="1" applyNumberFormat="1" applyFont="1" applyBorder="1" applyAlignment="1">
      <alignment horizontal="center"/>
    </xf>
    <xf numFmtId="0" fontId="10" fillId="0" borderId="0" xfId="0" applyFont="1" applyAlignment="1">
      <alignment horizontal="right"/>
    </xf>
    <xf numFmtId="165" fontId="5" fillId="0" borderId="11" xfId="1" applyNumberFormat="1" applyFont="1" applyFill="1" applyBorder="1" applyAlignment="1">
      <alignment horizontal="center"/>
    </xf>
    <xf numFmtId="3" fontId="0" fillId="0" borderId="0" xfId="0" applyNumberFormat="1"/>
    <xf numFmtId="0" fontId="28" fillId="0" borderId="14" xfId="0" applyFont="1" applyBorder="1" applyAlignment="1">
      <alignment horizontal="center" vertical="top"/>
    </xf>
  </cellXfs>
  <cellStyles count="9">
    <cellStyle name="Comma" xfId="1" builtinId="3"/>
    <cellStyle name="Hyperlink" xfId="4" builtinId="8"/>
    <cellStyle name="Hyperlink 2" xfId="6" xr:uid="{00000000-0005-0000-0000-000002000000}"/>
    <cellStyle name="Hyperlink 2 2" xfId="8" xr:uid="{A15ECA47-CB26-40AD-B182-7EFA407583D9}"/>
    <cellStyle name="Hyperlink 3" xfId="3" xr:uid="{00000000-0005-0000-0000-000003000000}"/>
    <cellStyle name="Normal" xfId="0" builtinId="0"/>
    <cellStyle name="Normal 2" xfId="5" xr:uid="{00000000-0005-0000-0000-000005000000}"/>
    <cellStyle name="Normal 2 2 2" xfId="7" xr:uid="{65687AD3-88B9-461F-8736-3AEEF1815662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1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9E5F7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Model'!$E$19:$I$19</c:f>
              <c:numCache>
                <c:formatCode>m/d/yyyy</c:formatCode>
                <c:ptCount val="5"/>
                <c:pt idx="0">
                  <c:v>46203</c:v>
                </c:pt>
                <c:pt idx="1">
                  <c:v>46568</c:v>
                </c:pt>
                <c:pt idx="2">
                  <c:v>46934</c:v>
                </c:pt>
                <c:pt idx="3">
                  <c:v>47299</c:v>
                </c:pt>
                <c:pt idx="4">
                  <c:v>47664</c:v>
                </c:pt>
              </c:numCache>
            </c:numRef>
          </c:cat>
          <c:val>
            <c:numRef>
              <c:f>'DCF Model'!$E$29:$I$29</c:f>
              <c:numCache>
                <c:formatCode>_-* #,##0_-;\(#,##0\)_-;_-* "-"_-;_-@_-</c:formatCode>
                <c:ptCount val="5"/>
                <c:pt idx="0">
                  <c:v>123598743055.55556</c:v>
                </c:pt>
                <c:pt idx="1">
                  <c:v>176200400000</c:v>
                </c:pt>
                <c:pt idx="2">
                  <c:v>217358930000</c:v>
                </c:pt>
                <c:pt idx="3">
                  <c:v>261604349750</c:v>
                </c:pt>
                <c:pt idx="4">
                  <c:v>309168175981.25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A-4754-B867-94CF948C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42849320"/>
        <c:axId val="542849648"/>
      </c:barChart>
      <c:dateAx>
        <c:axId val="54284932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648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4284964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Market Value vs Intrinsic Value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8DE9D384-90CA-46AD-9838-15A56339DF8B}" formatIdx="1">
          <cx:spPr>
            <a:solidFill>
              <a:srgbClr val="D9E5F7"/>
            </a:solidFill>
          </cx:spPr>
          <cx:dataLabels pos="outEnd">
            <cx:numFmt formatCode="$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/>
                    </a:solidFill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  <cx:numFmt formatCode="$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5907C5-FA61-4596-8F2F-822D97528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465" y="470245"/>
          <a:ext cx="4301312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2561487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F18DC9-BA26-439F-9EAA-9D2B50F95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6855" y="845820"/>
          <a:ext cx="2629432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714376</xdr:colOff>
      <xdr:row>4</xdr:row>
      <xdr:rowOff>28575</xdr:rowOff>
    </xdr:from>
    <xdr:to>
      <xdr:col>9</xdr:col>
      <xdr:colOff>771525</xdr:colOff>
      <xdr:row>15</xdr:row>
      <xdr:rowOff>51063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1E59A-1A30-40A8-B4F9-0770A24C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257174</xdr:colOff>
      <xdr:row>4</xdr:row>
      <xdr:rowOff>47626</xdr:rowOff>
    </xdr:from>
    <xdr:to>
      <xdr:col>13</xdr:col>
      <xdr:colOff>781049</xdr:colOff>
      <xdr:row>15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279C28A-B758-47E1-9CB3-ABF566CBF1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3834" y="1403986"/>
              <a:ext cx="3107055" cy="2255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99060</xdr:colOff>
      <xdr:row>0</xdr:row>
      <xdr:rowOff>0</xdr:rowOff>
    </xdr:from>
    <xdr:to>
      <xdr:col>3</xdr:col>
      <xdr:colOff>940235</xdr:colOff>
      <xdr:row>1</xdr:row>
      <xdr:rowOff>53458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BE3259-FD52-4CA3-9A18-4D45E275A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08402" cy="751958"/>
        </a:xfrm>
        <a:prstGeom prst="rect">
          <a:avLst/>
        </a:prstGeom>
      </xdr:spPr>
    </xdr:pic>
    <xdr:clientData/>
  </xdr:twoCellAnchor>
  <xdr:twoCellAnchor editAs="oneCell">
    <xdr:from>
      <xdr:col>11</xdr:col>
      <xdr:colOff>671514</xdr:colOff>
      <xdr:row>0</xdr:row>
      <xdr:rowOff>118643</xdr:rowOff>
    </xdr:from>
    <xdr:to>
      <xdr:col>13</xdr:col>
      <xdr:colOff>573877</xdr:colOff>
      <xdr:row>0</xdr:row>
      <xdr:rowOff>581315</xdr:rowOff>
    </xdr:to>
    <xdr:pic>
      <xdr:nvPicPr>
        <xdr:cNvPr id="8" name="Pictur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0298349-91E0-4B94-B456-2E9A9E0F4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9584" y="118643"/>
          <a:ext cx="1651398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C3DD-53EE-457E-906C-677EF8C9E335}">
  <sheetPr>
    <pageSetUpPr fitToPage="1"/>
  </sheetPr>
  <dimension ref="A1:M40"/>
  <sheetViews>
    <sheetView showGridLines="0" zoomScale="70" zoomScaleNormal="70" workbookViewId="0"/>
  </sheetViews>
  <sheetFormatPr defaultRowHeight="14.4" x14ac:dyDescent="0.3"/>
  <cols>
    <col min="1" max="1" width="4.6640625" customWidth="1"/>
    <col min="2" max="2" width="4.77734375" customWidth="1"/>
    <col min="3" max="3" width="36.6640625" customWidth="1"/>
    <col min="4" max="11" width="10.6640625" customWidth="1"/>
    <col min="12" max="12" width="36.6640625" customWidth="1"/>
    <col min="13" max="13" width="4.77734375" customWidth="1"/>
  </cols>
  <sheetData>
    <row r="1" spans="1:13" ht="19.5" customHeight="1" thickBot="1" x14ac:dyDescent="0.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9.5" customHeight="1" thickTop="1" x14ac:dyDescent="0.35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3" ht="19.5" customHeight="1" x14ac:dyDescent="0.35">
      <c r="A3" s="18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1:13" ht="19.5" customHeight="1" x14ac:dyDescent="0.35">
      <c r="A4" s="18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ht="19.5" customHeight="1" x14ac:dyDescent="0.35">
      <c r="A5" s="18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</row>
    <row r="6" spans="1:13" ht="19.5" customHeight="1" x14ac:dyDescent="0.35">
      <c r="A6" s="18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</row>
    <row r="7" spans="1:13" ht="19.5" customHeight="1" x14ac:dyDescent="0.35">
      <c r="A7" s="18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</row>
    <row r="8" spans="1:13" ht="19.5" customHeight="1" x14ac:dyDescent="0.35">
      <c r="A8" s="18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</row>
    <row r="9" spans="1:13" ht="19.5" customHeight="1" x14ac:dyDescent="0.35">
      <c r="A9" s="18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/>
    </row>
    <row r="10" spans="1:13" ht="19.5" customHeight="1" x14ac:dyDescent="0.35">
      <c r="A10" s="18"/>
      <c r="B10" s="25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6"/>
    </row>
    <row r="11" spans="1:13" ht="28.5" customHeight="1" x14ac:dyDescent="0.65">
      <c r="A11" s="18"/>
      <c r="B11" s="25"/>
      <c r="C11" s="27" t="s">
        <v>3</v>
      </c>
      <c r="D11" s="18"/>
      <c r="E11" s="18"/>
      <c r="F11" s="18"/>
      <c r="G11" s="18"/>
      <c r="H11" s="18"/>
      <c r="I11" s="18"/>
      <c r="J11" s="18"/>
      <c r="K11" s="18"/>
      <c r="L11" s="28" t="s">
        <v>50</v>
      </c>
      <c r="M11" s="26"/>
    </row>
    <row r="12" spans="1:13" ht="19.5" customHeight="1" x14ac:dyDescent="0.35">
      <c r="A12" s="18"/>
      <c r="B12" s="25"/>
      <c r="C12" s="29"/>
      <c r="D12" s="18"/>
      <c r="E12" s="18"/>
      <c r="F12" s="18"/>
      <c r="G12" s="18"/>
      <c r="H12" s="18"/>
      <c r="I12" s="18"/>
      <c r="J12" s="18"/>
      <c r="K12" s="30"/>
      <c r="L12" s="18"/>
      <c r="M12" s="26"/>
    </row>
    <row r="13" spans="1:13" ht="19.5" customHeight="1" x14ac:dyDescent="0.5">
      <c r="A13" s="18"/>
      <c r="B13" s="25"/>
      <c r="C13" s="31" t="s">
        <v>51</v>
      </c>
      <c r="D13" s="32"/>
      <c r="E13" s="32"/>
      <c r="F13" s="32"/>
      <c r="G13" s="32"/>
      <c r="H13" s="32"/>
      <c r="I13" s="32"/>
      <c r="J13" s="32"/>
      <c r="K13" s="32"/>
      <c r="L13" s="32"/>
      <c r="M13" s="26"/>
    </row>
    <row r="14" spans="1:13" ht="19.5" customHeight="1" x14ac:dyDescent="0.35">
      <c r="A14" s="18"/>
      <c r="B14" s="25"/>
      <c r="C14" s="18"/>
      <c r="D14" s="32"/>
      <c r="E14" s="32"/>
      <c r="F14" s="32"/>
      <c r="G14" s="32"/>
      <c r="H14" s="32"/>
      <c r="I14" s="32"/>
      <c r="J14" s="32"/>
      <c r="K14" s="32"/>
      <c r="L14" s="32"/>
      <c r="M14" s="26"/>
    </row>
    <row r="15" spans="1:13" ht="19.5" customHeight="1" x14ac:dyDescent="0.4">
      <c r="A15" s="18"/>
      <c r="B15" s="25"/>
      <c r="C15" s="33" t="s">
        <v>3</v>
      </c>
      <c r="D15" s="32"/>
      <c r="E15" s="32"/>
      <c r="F15" s="32"/>
      <c r="G15" s="32"/>
      <c r="H15" s="32"/>
      <c r="I15" s="32"/>
      <c r="J15" s="32"/>
      <c r="K15" s="32"/>
      <c r="L15" s="32"/>
      <c r="M15" s="26"/>
    </row>
    <row r="16" spans="1:13" ht="19.5" customHeight="1" x14ac:dyDescent="0.4">
      <c r="A16" s="18"/>
      <c r="B16" s="25"/>
      <c r="C16" s="34"/>
      <c r="D16" s="32"/>
      <c r="E16" s="32"/>
      <c r="F16" s="32"/>
      <c r="G16" s="32"/>
      <c r="H16" s="32"/>
      <c r="I16" s="32"/>
      <c r="J16" s="32"/>
      <c r="K16" s="32"/>
      <c r="L16" s="32"/>
      <c r="M16" s="26"/>
    </row>
    <row r="17" spans="1:13" ht="19.5" customHeight="1" x14ac:dyDescent="0.4">
      <c r="A17" s="18"/>
      <c r="B17" s="25"/>
      <c r="C17" s="34"/>
      <c r="D17" s="32"/>
      <c r="E17" s="32"/>
      <c r="F17" s="32"/>
      <c r="G17" s="32"/>
      <c r="H17" s="32"/>
      <c r="I17" s="32"/>
      <c r="J17" s="32"/>
      <c r="K17" s="32"/>
      <c r="L17" s="32"/>
      <c r="M17" s="26"/>
    </row>
    <row r="18" spans="1:13" ht="19.5" customHeight="1" x14ac:dyDescent="0.4">
      <c r="A18" s="18"/>
      <c r="B18" s="25"/>
      <c r="C18" s="34"/>
      <c r="D18" s="32"/>
      <c r="E18" s="32"/>
      <c r="F18" s="32"/>
      <c r="G18" s="32"/>
      <c r="H18" s="32"/>
      <c r="I18" s="32"/>
      <c r="J18" s="32"/>
      <c r="K18" s="32"/>
      <c r="L18" s="32"/>
      <c r="M18" s="26"/>
    </row>
    <row r="19" spans="1:13" ht="19.5" customHeight="1" x14ac:dyDescent="0.4">
      <c r="A19" s="18"/>
      <c r="B19" s="25"/>
      <c r="C19" s="34"/>
      <c r="D19" s="32"/>
      <c r="E19" s="32"/>
      <c r="F19" s="32"/>
      <c r="G19" s="32"/>
      <c r="H19" s="32"/>
      <c r="I19" s="32"/>
      <c r="J19" s="32"/>
      <c r="K19" s="32"/>
      <c r="L19" s="32"/>
      <c r="M19" s="26"/>
    </row>
    <row r="20" spans="1:13" ht="19.5" customHeight="1" x14ac:dyDescent="0.4">
      <c r="A20" s="18"/>
      <c r="B20" s="25"/>
      <c r="C20" s="34"/>
      <c r="D20" s="32"/>
      <c r="E20" s="32"/>
      <c r="F20" s="32"/>
      <c r="G20" s="32"/>
      <c r="H20" s="32"/>
      <c r="I20" s="32"/>
      <c r="J20" s="32"/>
      <c r="K20" s="32"/>
      <c r="L20" s="32"/>
      <c r="M20" s="26"/>
    </row>
    <row r="21" spans="1:13" ht="19.5" customHeight="1" x14ac:dyDescent="0.35">
      <c r="A21" s="18"/>
      <c r="B21" s="25"/>
      <c r="C21" s="35"/>
      <c r="D21" s="32"/>
      <c r="E21" s="32"/>
      <c r="F21" s="32"/>
      <c r="G21" s="32"/>
      <c r="H21" s="32"/>
      <c r="I21" s="32"/>
      <c r="J21" s="32"/>
      <c r="K21" s="32"/>
      <c r="L21" s="32"/>
      <c r="M21" s="26"/>
    </row>
    <row r="22" spans="1:13" ht="19.5" customHeight="1" x14ac:dyDescent="0.35">
      <c r="A22" s="18"/>
      <c r="B22" s="25"/>
      <c r="C22" s="35"/>
      <c r="D22" s="32"/>
      <c r="E22" s="32"/>
      <c r="F22" s="32"/>
      <c r="G22" s="32"/>
      <c r="H22" s="32"/>
      <c r="I22" s="32"/>
      <c r="J22" s="32"/>
      <c r="K22" s="32"/>
      <c r="L22" s="32"/>
      <c r="M22" s="26"/>
    </row>
    <row r="23" spans="1:13" ht="19.5" customHeight="1" x14ac:dyDescent="0.35">
      <c r="A23" s="18"/>
      <c r="B23" s="25"/>
      <c r="C23" s="35"/>
      <c r="D23" s="32"/>
      <c r="E23" s="32"/>
      <c r="F23" s="32"/>
      <c r="G23" s="32"/>
      <c r="H23" s="32"/>
      <c r="I23" s="32"/>
      <c r="J23" s="32"/>
      <c r="K23" s="32"/>
      <c r="L23" s="32"/>
      <c r="M23" s="26"/>
    </row>
    <row r="24" spans="1:13" ht="19.5" customHeight="1" x14ac:dyDescent="0.35">
      <c r="A24" s="18"/>
      <c r="B24" s="25"/>
      <c r="C24" s="35"/>
      <c r="D24" s="32"/>
      <c r="E24" s="32"/>
      <c r="F24" s="32"/>
      <c r="G24" s="32"/>
      <c r="H24" s="32"/>
      <c r="I24" s="32"/>
      <c r="J24" s="32"/>
      <c r="K24" s="32"/>
      <c r="L24" s="32"/>
      <c r="M24" s="26"/>
    </row>
    <row r="25" spans="1:13" ht="19.5" customHeight="1" x14ac:dyDescent="0.35">
      <c r="A25" s="18"/>
      <c r="B25" s="25"/>
      <c r="C25" s="35"/>
      <c r="D25" s="32"/>
      <c r="E25" s="32"/>
      <c r="F25" s="32"/>
      <c r="G25" s="32"/>
      <c r="H25" s="32"/>
      <c r="I25" s="32"/>
      <c r="J25" s="32"/>
      <c r="K25" s="32"/>
      <c r="L25" s="32"/>
      <c r="M25" s="26"/>
    </row>
    <row r="26" spans="1:13" ht="19.5" customHeight="1" x14ac:dyDescent="0.4">
      <c r="A26" s="18"/>
      <c r="B26" s="25"/>
      <c r="C26" s="36"/>
      <c r="D26" s="32"/>
      <c r="E26" s="32"/>
      <c r="F26" s="32"/>
      <c r="G26" s="32"/>
      <c r="H26" s="32"/>
      <c r="I26" s="32"/>
      <c r="J26" s="32"/>
      <c r="K26" s="32"/>
      <c r="L26" s="32"/>
      <c r="M26" s="26"/>
    </row>
    <row r="27" spans="1:13" ht="19.5" customHeight="1" x14ac:dyDescent="0.4">
      <c r="A27" s="18"/>
      <c r="B27" s="25"/>
      <c r="C27" s="36"/>
      <c r="D27" s="32"/>
      <c r="E27" s="32"/>
      <c r="F27" s="32"/>
      <c r="G27" s="32"/>
      <c r="H27" s="32"/>
      <c r="I27" s="32"/>
      <c r="J27" s="32"/>
      <c r="K27" s="32"/>
      <c r="L27" s="32"/>
      <c r="M27" s="26"/>
    </row>
    <row r="28" spans="1:13" ht="19.5" customHeight="1" x14ac:dyDescent="0.35">
      <c r="A28" s="18"/>
      <c r="B28" s="25"/>
      <c r="C28" s="37"/>
      <c r="D28" s="32"/>
      <c r="E28" s="32"/>
      <c r="F28" s="32"/>
      <c r="G28" s="32"/>
      <c r="H28" s="32"/>
      <c r="I28" s="32"/>
      <c r="J28" s="32"/>
      <c r="K28" s="32"/>
      <c r="L28" s="32"/>
      <c r="M28" s="26"/>
    </row>
    <row r="29" spans="1:13" ht="19.5" customHeight="1" x14ac:dyDescent="0.35">
      <c r="A29" s="18"/>
      <c r="B29" s="25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26"/>
    </row>
    <row r="30" spans="1:13" ht="19.5" customHeight="1" x14ac:dyDescent="0.35">
      <c r="A30" s="18"/>
      <c r="B30" s="25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26"/>
    </row>
    <row r="31" spans="1:13" ht="19.5" customHeight="1" x14ac:dyDescent="0.4">
      <c r="A31" s="18"/>
      <c r="B31" s="25"/>
      <c r="C31" s="39" t="s">
        <v>61</v>
      </c>
      <c r="D31" s="40"/>
      <c r="E31" s="40"/>
      <c r="F31" s="40"/>
      <c r="G31" s="40"/>
      <c r="H31" s="40"/>
      <c r="I31" s="40"/>
      <c r="J31" s="40"/>
      <c r="K31" s="40"/>
      <c r="L31" s="40"/>
      <c r="M31" s="26"/>
    </row>
    <row r="32" spans="1:13" ht="19.5" customHeight="1" x14ac:dyDescent="0.35">
      <c r="A32" s="18"/>
      <c r="B32" s="25"/>
      <c r="C32" s="41" t="s">
        <v>55</v>
      </c>
      <c r="D32" s="42"/>
      <c r="E32" s="42"/>
      <c r="F32" s="42"/>
      <c r="G32" s="42"/>
      <c r="H32" s="42"/>
      <c r="I32" s="42"/>
      <c r="J32" s="42"/>
      <c r="K32" s="42"/>
      <c r="L32" s="42"/>
      <c r="M32" s="26"/>
    </row>
    <row r="33" spans="1:13" ht="19.5" customHeight="1" x14ac:dyDescent="0.35">
      <c r="A33" s="18"/>
      <c r="B33" s="25"/>
      <c r="C33" s="41" t="s">
        <v>56</v>
      </c>
      <c r="D33" s="42"/>
      <c r="E33" s="42"/>
      <c r="F33" s="42"/>
      <c r="G33" s="42"/>
      <c r="H33" s="42"/>
      <c r="I33" s="42"/>
      <c r="J33" s="42"/>
      <c r="K33" s="42"/>
      <c r="L33" s="42"/>
      <c r="M33" s="26"/>
    </row>
    <row r="34" spans="1:13" ht="19.5" customHeight="1" x14ac:dyDescent="0.35">
      <c r="A34" s="18"/>
      <c r="B34" s="25"/>
      <c r="C34" s="41" t="s">
        <v>57</v>
      </c>
      <c r="D34" s="42"/>
      <c r="E34" s="42"/>
      <c r="F34" s="42"/>
      <c r="G34" s="42"/>
      <c r="H34" s="42"/>
      <c r="I34" s="42"/>
      <c r="J34" s="42"/>
      <c r="K34" s="42"/>
      <c r="L34" s="42"/>
      <c r="M34" s="26"/>
    </row>
    <row r="35" spans="1:13" ht="19.5" customHeight="1" x14ac:dyDescent="0.35">
      <c r="A35" s="18"/>
      <c r="B35" s="25"/>
      <c r="C35" s="41" t="s">
        <v>58</v>
      </c>
      <c r="D35" s="42"/>
      <c r="E35" s="42"/>
      <c r="F35" s="42"/>
      <c r="G35" s="42"/>
      <c r="H35" s="42"/>
      <c r="I35" s="42"/>
      <c r="J35" s="42"/>
      <c r="K35" s="42"/>
      <c r="L35" s="42"/>
      <c r="M35" s="26"/>
    </row>
    <row r="36" spans="1:13" ht="19.5" customHeight="1" x14ac:dyDescent="0.35">
      <c r="A36" s="18"/>
      <c r="B36" s="25"/>
      <c r="C36" s="41" t="s">
        <v>59</v>
      </c>
      <c r="D36" s="42"/>
      <c r="E36" s="42"/>
      <c r="F36" s="42"/>
      <c r="G36" s="42"/>
      <c r="H36" s="42"/>
      <c r="I36" s="42"/>
      <c r="J36" s="42"/>
      <c r="K36" s="42"/>
      <c r="L36" s="42"/>
      <c r="M36" s="26"/>
    </row>
    <row r="37" spans="1:13" ht="19.5" customHeight="1" x14ac:dyDescent="0.35">
      <c r="A37" s="18"/>
      <c r="B37" s="25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26"/>
    </row>
    <row r="38" spans="1:13" ht="19.5" customHeight="1" x14ac:dyDescent="0.35">
      <c r="A38" s="18"/>
      <c r="B38" s="25"/>
      <c r="C38" s="41" t="s">
        <v>39</v>
      </c>
      <c r="D38" s="42"/>
      <c r="E38" s="42"/>
      <c r="F38" s="42"/>
      <c r="G38" s="42"/>
      <c r="H38" s="42"/>
      <c r="I38" s="42"/>
      <c r="J38" s="42"/>
      <c r="K38" s="42"/>
      <c r="L38" s="42"/>
      <c r="M38" s="26"/>
    </row>
    <row r="39" spans="1:13" ht="19.5" customHeight="1" thickBot="1" x14ac:dyDescent="0.4">
      <c r="A39" s="18"/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5" t="s">
        <v>60</v>
      </c>
    </row>
    <row r="40" spans="1:13" ht="19.5" customHeight="1" thickTop="1" x14ac:dyDescent="0.3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</sheetData>
  <hyperlinks>
    <hyperlink ref="C38" r:id="rId1" xr:uid="{7570D235-0154-4864-A0F4-D177526157E5}"/>
    <hyperlink ref="C15" location="'DCF Model'!A1" tooltip="DCF Model" display="DCF Model" xr:uid="{75921352-598F-4990-964D-713A5C3E70C0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showGridLines="0" zoomScale="96" zoomScaleNormal="100" workbookViewId="0">
      <selection activeCell="D38" sqref="D38"/>
    </sheetView>
  </sheetViews>
  <sheetFormatPr defaultColWidth="9.109375" defaultRowHeight="15.6" customHeight="1" x14ac:dyDescent="0.35"/>
  <cols>
    <col min="1" max="1" width="3.5546875" style="4" customWidth="1"/>
    <col min="2" max="2" width="12.6640625" style="4" customWidth="1"/>
    <col min="3" max="3" width="12.44140625" style="4" customWidth="1"/>
    <col min="4" max="4" width="24.6640625" style="6" customWidth="1"/>
    <col min="5" max="5" width="23" style="4" customWidth="1"/>
    <col min="6" max="6" width="25.6640625" style="4" customWidth="1"/>
    <col min="7" max="7" width="28.44140625" style="4" customWidth="1"/>
    <col min="8" max="8" width="22.77734375" style="4" customWidth="1"/>
    <col min="9" max="9" width="32.88671875" style="4" customWidth="1"/>
    <col min="10" max="10" width="32" style="4" customWidth="1"/>
    <col min="11" max="13" width="12.5546875" style="4" customWidth="1"/>
    <col min="14" max="14" width="22.6640625" style="4" customWidth="1"/>
    <col min="15" max="16384" width="9.109375" style="4"/>
  </cols>
  <sheetData>
    <row r="1" spans="2:14" s="47" customFormat="1" ht="55.05" customHeight="1" x14ac:dyDescent="0.4"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3" spans="2:14" s="47" customFormat="1" ht="21" x14ac:dyDescent="0.35">
      <c r="B3" s="46" t="s">
        <v>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2:14" ht="15.6" customHeight="1" x14ac:dyDescent="0.35">
      <c r="B4" s="5"/>
      <c r="E4" s="7"/>
      <c r="F4" s="7"/>
      <c r="G4" s="7"/>
      <c r="H4" s="7"/>
      <c r="I4" s="7"/>
    </row>
    <row r="5" spans="2:14" ht="15.6" customHeight="1" thickBot="1" x14ac:dyDescent="0.4">
      <c r="B5" s="73" t="s">
        <v>2</v>
      </c>
      <c r="C5" s="74"/>
      <c r="D5" s="74"/>
      <c r="E5" s="7"/>
    </row>
    <row r="6" spans="2:14" ht="15.6" customHeight="1" x14ac:dyDescent="0.35">
      <c r="B6" s="14" t="s">
        <v>11</v>
      </c>
      <c r="C6" s="11"/>
      <c r="D6" s="51">
        <v>0.25</v>
      </c>
      <c r="E6" s="7"/>
    </row>
    <row r="7" spans="2:14" ht="15.6" customHeight="1" x14ac:dyDescent="0.35">
      <c r="B7" s="8" t="s">
        <v>12</v>
      </c>
      <c r="D7" s="52">
        <v>0.1</v>
      </c>
    </row>
    <row r="8" spans="2:14" ht="15.6" customHeight="1" x14ac:dyDescent="0.35">
      <c r="B8" s="4" t="s">
        <v>13</v>
      </c>
      <c r="D8" s="52">
        <v>0.04</v>
      </c>
    </row>
    <row r="9" spans="2:14" ht="15.6" customHeight="1" x14ac:dyDescent="0.35">
      <c r="B9" s="4" t="s">
        <v>14</v>
      </c>
      <c r="D9" s="53">
        <v>20</v>
      </c>
    </row>
    <row r="10" spans="2:14" ht="15.6" customHeight="1" x14ac:dyDescent="0.35">
      <c r="B10" s="4" t="s">
        <v>19</v>
      </c>
      <c r="D10" s="54">
        <v>45819</v>
      </c>
    </row>
    <row r="11" spans="2:14" ht="15.6" customHeight="1" x14ac:dyDescent="0.35">
      <c r="B11" s="4" t="s">
        <v>41</v>
      </c>
      <c r="D11" s="55">
        <v>46112</v>
      </c>
    </row>
    <row r="12" spans="2:14" ht="15.6" customHeight="1" x14ac:dyDescent="0.35">
      <c r="B12" s="4" t="s">
        <v>25</v>
      </c>
      <c r="D12" s="56">
        <v>3320</v>
      </c>
    </row>
    <row r="13" spans="2:14" ht="15.6" customHeight="1" x14ac:dyDescent="0.35">
      <c r="B13" s="4" t="s">
        <v>21</v>
      </c>
      <c r="D13" s="88">
        <v>3618087051</v>
      </c>
    </row>
    <row r="14" spans="2:14" ht="15.6" customHeight="1" x14ac:dyDescent="0.35">
      <c r="B14" s="4" t="s">
        <v>1</v>
      </c>
      <c r="D14" s="57">
        <v>93920000000</v>
      </c>
    </row>
    <row r="15" spans="2:14" ht="15.6" customHeight="1" x14ac:dyDescent="0.35">
      <c r="B15" s="4" t="s">
        <v>0</v>
      </c>
      <c r="D15" s="57">
        <v>83420000000</v>
      </c>
    </row>
    <row r="16" spans="2:14" ht="15.6" customHeight="1" x14ac:dyDescent="0.35">
      <c r="B16" s="4" t="s">
        <v>38</v>
      </c>
      <c r="D16" s="58">
        <v>15000000000</v>
      </c>
    </row>
    <row r="17" spans="2:14" ht="15.6" customHeight="1" x14ac:dyDescent="0.35">
      <c r="D17" s="9"/>
      <c r="E17" s="10"/>
      <c r="F17" s="10"/>
      <c r="G17" s="10"/>
      <c r="H17" s="10"/>
      <c r="I17" s="10"/>
      <c r="J17" s="10"/>
    </row>
    <row r="18" spans="2:14" ht="15.6" customHeight="1" thickBot="1" x14ac:dyDescent="0.4">
      <c r="B18" s="75" t="s">
        <v>20</v>
      </c>
      <c r="C18" s="76"/>
      <c r="D18" s="84" t="s">
        <v>22</v>
      </c>
      <c r="E18" s="82">
        <f>YEAR(E19)</f>
        <v>2026</v>
      </c>
      <c r="F18" s="82">
        <f t="shared" ref="F18:I18" si="0">YEAR(F19)</f>
        <v>2027</v>
      </c>
      <c r="G18" s="82">
        <f t="shared" si="0"/>
        <v>2028</v>
      </c>
      <c r="H18" s="82">
        <f t="shared" si="0"/>
        <v>2029</v>
      </c>
      <c r="I18" s="82">
        <f t="shared" si="0"/>
        <v>2030</v>
      </c>
      <c r="J18" s="83" t="s">
        <v>23</v>
      </c>
      <c r="L18" s="77" t="s">
        <v>9</v>
      </c>
      <c r="M18" s="78"/>
      <c r="N18" s="78"/>
    </row>
    <row r="19" spans="2:14" ht="15.6" customHeight="1" x14ac:dyDescent="0.35">
      <c r="B19" s="10" t="s">
        <v>24</v>
      </c>
      <c r="C19" s="10"/>
      <c r="D19" s="59">
        <f>D10</f>
        <v>45819</v>
      </c>
      <c r="E19" s="81">
        <f>DATE(YEAR($D$11)+E20,6,30)</f>
        <v>46203</v>
      </c>
      <c r="F19" s="81">
        <f>DATE(YEAR($D$11)+F20,6,30)</f>
        <v>46568</v>
      </c>
      <c r="G19" s="81">
        <f>DATE(YEAR($D$11)+G20,6,30)</f>
        <v>46934</v>
      </c>
      <c r="H19" s="81">
        <f>DATE(YEAR($D$11)+H20,6,30)</f>
        <v>47299</v>
      </c>
      <c r="I19" s="81">
        <f>DATE(YEAR($D$11)+I20,6,30)</f>
        <v>47664</v>
      </c>
      <c r="J19" s="59">
        <f>I19</f>
        <v>47664</v>
      </c>
      <c r="L19" s="10" t="s">
        <v>10</v>
      </c>
      <c r="M19" s="10"/>
      <c r="N19" s="60">
        <f>(I27*(1+D8))/(D7-D8)</f>
        <v>5358915050341.666</v>
      </c>
    </row>
    <row r="20" spans="2:14" ht="15.6" customHeight="1" x14ac:dyDescent="0.35">
      <c r="B20" s="16" t="s">
        <v>44</v>
      </c>
      <c r="C20" s="16"/>
      <c r="D20" s="15"/>
      <c r="E20" s="61">
        <v>0</v>
      </c>
      <c r="F20" s="61">
        <f>E20+1</f>
        <v>1</v>
      </c>
      <c r="G20" s="61">
        <f>F20+1</f>
        <v>2</v>
      </c>
      <c r="H20" s="61">
        <f t="shared" ref="H20:I20" si="1">G20+1</f>
        <v>3</v>
      </c>
      <c r="I20" s="61">
        <f t="shared" si="1"/>
        <v>4</v>
      </c>
      <c r="J20" s="15"/>
      <c r="L20" s="4" t="s">
        <v>17</v>
      </c>
      <c r="N20" s="79">
        <f>D9*(I22+I24)</f>
        <v>19228351359500</v>
      </c>
    </row>
    <row r="21" spans="2:14" ht="15.6" customHeight="1" x14ac:dyDescent="0.35">
      <c r="B21" s="13" t="s">
        <v>43</v>
      </c>
      <c r="D21" s="4"/>
      <c r="E21" s="63">
        <f>YEARFRAC(D19,E19)</f>
        <v>1.0527777777777778</v>
      </c>
      <c r="F21" s="63">
        <f>YEARFRAC(E19,F19)</f>
        <v>1</v>
      </c>
      <c r="G21" s="63">
        <f>YEARFRAC(F19,G19)</f>
        <v>1</v>
      </c>
      <c r="H21" s="63">
        <f>YEARFRAC(G19,H19)</f>
        <v>1</v>
      </c>
      <c r="I21" s="63">
        <f>YEARFRAC(H19,I19)</f>
        <v>1</v>
      </c>
      <c r="L21" s="4" t="s">
        <v>18</v>
      </c>
      <c r="N21" s="80">
        <f>AVERAGE(N19:N20)</f>
        <v>12293633204920.832</v>
      </c>
    </row>
    <row r="22" spans="2:14" ht="15.6" customHeight="1" x14ac:dyDescent="0.35">
      <c r="B22" s="4" t="s">
        <v>4</v>
      </c>
      <c r="D22" s="4"/>
      <c r="E22" s="65">
        <v>653310000000</v>
      </c>
      <c r="F22" s="65">
        <f>E22+E22*0.12</f>
        <v>731707200000</v>
      </c>
      <c r="G22" s="65">
        <f t="shared" ref="G22:I22" si="2">F22+F22*0.075</f>
        <v>786585240000</v>
      </c>
      <c r="H22" s="65">
        <f t="shared" si="2"/>
        <v>845579133000</v>
      </c>
      <c r="I22" s="65">
        <f t="shared" si="2"/>
        <v>908997567975</v>
      </c>
    </row>
    <row r="23" spans="2:14" ht="15.6" customHeight="1" x14ac:dyDescent="0.35">
      <c r="B23" s="4" t="s">
        <v>5</v>
      </c>
      <c r="D23" s="4"/>
      <c r="E23" s="62">
        <f>E22*$D$6</f>
        <v>163327500000</v>
      </c>
      <c r="F23" s="62">
        <f>F22*$D$6</f>
        <v>182926800000</v>
      </c>
      <c r="G23" s="62">
        <f>G22*$D$6</f>
        <v>196646310000</v>
      </c>
      <c r="H23" s="62">
        <f>H22*$D$6</f>
        <v>211394783250</v>
      </c>
      <c r="I23" s="62">
        <f>I22*$D$6</f>
        <v>227249391993.75</v>
      </c>
    </row>
    <row r="24" spans="2:14" ht="15.6" customHeight="1" x14ac:dyDescent="0.35">
      <c r="B24" s="4" t="s">
        <v>8</v>
      </c>
      <c r="D24" s="4"/>
      <c r="E24" s="66">
        <v>52420000000</v>
      </c>
      <c r="F24" s="66">
        <v>52420000000</v>
      </c>
      <c r="G24" s="66">
        <v>52420000000</v>
      </c>
      <c r="H24" s="66">
        <v>52420000000</v>
      </c>
      <c r="I24" s="66">
        <v>52420000000</v>
      </c>
    </row>
    <row r="25" spans="2:14" ht="15.6" customHeight="1" x14ac:dyDescent="0.35">
      <c r="B25" s="4" t="s">
        <v>6</v>
      </c>
      <c r="D25" s="4"/>
      <c r="E25" s="67">
        <f>$D$16</f>
        <v>15000000000</v>
      </c>
      <c r="F25" s="67">
        <f t="shared" ref="F25:I25" si="3">$D$16</f>
        <v>15000000000</v>
      </c>
      <c r="G25" s="67">
        <f t="shared" si="3"/>
        <v>15000000000</v>
      </c>
      <c r="H25" s="67">
        <f t="shared" si="3"/>
        <v>15000000000</v>
      </c>
      <c r="I25" s="67">
        <f t="shared" si="3"/>
        <v>15000000000</v>
      </c>
    </row>
    <row r="26" spans="2:14" ht="15.6" customHeight="1" x14ac:dyDescent="0.35">
      <c r="B26" s="4" t="s">
        <v>7</v>
      </c>
      <c r="D26" s="4"/>
      <c r="E26" s="58">
        <v>410000000000</v>
      </c>
      <c r="F26" s="58">
        <v>410000000000</v>
      </c>
      <c r="G26" s="58">
        <v>410000000000</v>
      </c>
      <c r="H26" s="58">
        <v>410000000000</v>
      </c>
      <c r="I26" s="58">
        <v>410000000000</v>
      </c>
    </row>
    <row r="27" spans="2:14" ht="15.6" customHeight="1" x14ac:dyDescent="0.35">
      <c r="B27" s="4" t="s">
        <v>15</v>
      </c>
      <c r="D27" s="4"/>
      <c r="E27" s="64">
        <f>E22-E23+E24-E25-E26</f>
        <v>117402500000</v>
      </c>
      <c r="F27" s="64">
        <f>F22-F23+F24-F25-F26</f>
        <v>176200400000</v>
      </c>
      <c r="G27" s="64">
        <f>G22-G23+G24-G25-G26</f>
        <v>217358930000</v>
      </c>
      <c r="H27" s="64">
        <f>H22-H23+H24-H25-H26</f>
        <v>261604349750</v>
      </c>
      <c r="I27" s="64">
        <f>I22-I23+I24-I25-I26</f>
        <v>309168175981.25</v>
      </c>
    </row>
    <row r="28" spans="2:14" ht="15.6" customHeight="1" x14ac:dyDescent="0.35">
      <c r="B28" s="4" t="s">
        <v>16</v>
      </c>
      <c r="D28" s="68">
        <f>-I36</f>
        <v>-12022549009320</v>
      </c>
      <c r="J28" s="68">
        <f>N21</f>
        <v>12293633204920.832</v>
      </c>
    </row>
    <row r="29" spans="2:14" ht="15.6" customHeight="1" x14ac:dyDescent="0.35">
      <c r="B29" s="4" t="s">
        <v>42</v>
      </c>
      <c r="D29" s="69">
        <v>0</v>
      </c>
      <c r="E29" s="64">
        <f>(E28+E27)*E21</f>
        <v>123598743055.55556</v>
      </c>
      <c r="F29" s="64">
        <f t="shared" ref="F29:I29" si="4">(F28+F27)*F21</f>
        <v>176200400000</v>
      </c>
      <c r="G29" s="64">
        <f t="shared" si="4"/>
        <v>217358930000</v>
      </c>
      <c r="H29" s="64">
        <f t="shared" si="4"/>
        <v>261604349750</v>
      </c>
      <c r="I29" s="64">
        <f t="shared" si="4"/>
        <v>309168175981.25</v>
      </c>
      <c r="J29" s="64">
        <f t="shared" ref="J29" si="5">J28+J27</f>
        <v>12293633204920.832</v>
      </c>
    </row>
    <row r="30" spans="2:14" ht="15.6" customHeight="1" x14ac:dyDescent="0.35">
      <c r="B30" s="4" t="s">
        <v>42</v>
      </c>
      <c r="D30" s="60">
        <f>D28+D27</f>
        <v>-12022549009320</v>
      </c>
      <c r="E30" s="60">
        <f>(E28+E27)*E21</f>
        <v>123598743055.55556</v>
      </c>
      <c r="F30" s="60">
        <f t="shared" ref="F30:I30" si="6">(F28+F27)*F21</f>
        <v>176200400000</v>
      </c>
      <c r="G30" s="60">
        <f t="shared" si="6"/>
        <v>217358930000</v>
      </c>
      <c r="H30" s="60">
        <f t="shared" si="6"/>
        <v>261604349750</v>
      </c>
      <c r="I30" s="60">
        <f t="shared" si="6"/>
        <v>309168175981.25</v>
      </c>
      <c r="J30" s="60">
        <f>J28</f>
        <v>12293633204920.832</v>
      </c>
    </row>
    <row r="32" spans="2:14" ht="15.6" customHeight="1" thickBot="1" x14ac:dyDescent="0.4">
      <c r="B32" s="77" t="s">
        <v>34</v>
      </c>
      <c r="C32" s="78"/>
      <c r="D32" s="78"/>
      <c r="G32" s="77" t="s">
        <v>35</v>
      </c>
      <c r="H32" s="78"/>
      <c r="I32" s="78"/>
      <c r="L32" s="77" t="s">
        <v>36</v>
      </c>
      <c r="M32" s="78"/>
      <c r="N32" s="78"/>
    </row>
    <row r="33" spans="2:14" ht="15.6" customHeight="1" x14ac:dyDescent="0.35">
      <c r="B33" s="10" t="s">
        <v>29</v>
      </c>
      <c r="C33" s="10"/>
      <c r="D33" s="60">
        <f>XNPV(D7,D29:J29,D19:J19)</f>
        <v>8381495757061.6709</v>
      </c>
      <c r="G33" s="10" t="s">
        <v>26</v>
      </c>
      <c r="H33" s="10"/>
      <c r="I33" s="60">
        <f>D13*D12</f>
        <v>12012049009320</v>
      </c>
      <c r="L33" s="10" t="s">
        <v>37</v>
      </c>
      <c r="M33" s="10"/>
      <c r="N33" s="70">
        <f>D38/I38-1</f>
        <v>-0.30311674964306934</v>
      </c>
    </row>
    <row r="34" spans="2:14" ht="15.6" customHeight="1" x14ac:dyDescent="0.35">
      <c r="B34" s="4" t="s">
        <v>30</v>
      </c>
      <c r="D34" s="67">
        <f>+D15</f>
        <v>83420000000</v>
      </c>
      <c r="G34" s="4" t="s">
        <v>27</v>
      </c>
      <c r="I34" s="67">
        <f>D14</f>
        <v>93920000000</v>
      </c>
      <c r="L34" s="4" t="s">
        <v>54</v>
      </c>
      <c r="N34" s="71">
        <f>XIRR(D30:J30,D19:J19)</f>
        <v>2.1994259953498838E-2</v>
      </c>
    </row>
    <row r="35" spans="2:14" ht="15.6" customHeight="1" x14ac:dyDescent="0.35">
      <c r="B35" s="4" t="s">
        <v>31</v>
      </c>
      <c r="D35" s="67">
        <f>+D14</f>
        <v>93920000000</v>
      </c>
      <c r="G35" s="4" t="s">
        <v>28</v>
      </c>
      <c r="I35" s="67">
        <f>+D15</f>
        <v>83420000000</v>
      </c>
    </row>
    <row r="36" spans="2:14" ht="15.6" customHeight="1" thickBot="1" x14ac:dyDescent="0.4">
      <c r="B36" s="4" t="s">
        <v>32</v>
      </c>
      <c r="D36" s="64">
        <f>D33+D34-D35</f>
        <v>8370995757061.6709</v>
      </c>
      <c r="G36" s="4" t="s">
        <v>29</v>
      </c>
      <c r="I36" s="64">
        <f>I33+I34-I35</f>
        <v>12022549009320</v>
      </c>
      <c r="L36" s="77" t="s">
        <v>52</v>
      </c>
      <c r="M36" s="78"/>
      <c r="N36" s="78"/>
    </row>
    <row r="37" spans="2:14" ht="15.6" customHeight="1" x14ac:dyDescent="0.35">
      <c r="D37" s="4"/>
      <c r="I37" s="12"/>
      <c r="L37" s="4" t="s">
        <v>35</v>
      </c>
      <c r="N37" s="72">
        <f>I38</f>
        <v>3320</v>
      </c>
    </row>
    <row r="38" spans="2:14" ht="15.6" customHeight="1" x14ac:dyDescent="0.35">
      <c r="B38" s="4" t="s">
        <v>33</v>
      </c>
      <c r="D38" s="72">
        <f>D36/D13</f>
        <v>2313.6523911850099</v>
      </c>
      <c r="G38" s="4" t="s">
        <v>33</v>
      </c>
      <c r="I38" s="72">
        <f>D12</f>
        <v>3320</v>
      </c>
      <c r="L38" s="4" t="s">
        <v>53</v>
      </c>
      <c r="N38" s="72">
        <f>D38-I38</f>
        <v>-1006.3476088149901</v>
      </c>
    </row>
    <row r="39" spans="2:14" ht="15.6" customHeight="1" x14ac:dyDescent="0.35">
      <c r="D39" s="4"/>
      <c r="L39" s="4" t="s">
        <v>34</v>
      </c>
      <c r="N39" s="72">
        <f>SUM(N37:N38)</f>
        <v>2313.6523911850099</v>
      </c>
    </row>
    <row r="40" spans="2:14" ht="15.6" customHeight="1" x14ac:dyDescent="0.35">
      <c r="I40" s="5"/>
    </row>
    <row r="41" spans="2:14" ht="15.6" customHeight="1" x14ac:dyDescent="0.35">
      <c r="H41" s="5"/>
    </row>
    <row r="42" spans="2:14" ht="15.6" customHeight="1" thickBot="1" x14ac:dyDescent="0.4">
      <c r="B42" s="77" t="s">
        <v>40</v>
      </c>
      <c r="C42" s="78"/>
      <c r="D42" s="87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2:14" ht="15.6" customHeight="1" x14ac:dyDescent="0.35">
      <c r="B43" s="10" t="s">
        <v>45</v>
      </c>
      <c r="C43" s="10"/>
      <c r="D43" s="85"/>
      <c r="E43" s="10"/>
      <c r="F43" s="10"/>
      <c r="G43" s="10"/>
      <c r="H43" s="10"/>
      <c r="I43" s="10"/>
      <c r="J43" s="10"/>
      <c r="K43" s="10"/>
      <c r="L43" s="10"/>
      <c r="M43" s="10"/>
      <c r="N43" s="86"/>
    </row>
    <row r="44" spans="2:14" ht="15.6" customHeight="1" x14ac:dyDescent="0.35">
      <c r="B44" s="4" t="s">
        <v>46</v>
      </c>
      <c r="N44" s="48"/>
    </row>
    <row r="45" spans="2:14" ht="15.6" customHeight="1" x14ac:dyDescent="0.35">
      <c r="B45" s="17" t="s">
        <v>47</v>
      </c>
      <c r="N45" s="48"/>
    </row>
    <row r="46" spans="2:14" ht="15.6" customHeight="1" x14ac:dyDescent="0.35">
      <c r="B46" s="17" t="s">
        <v>48</v>
      </c>
      <c r="N46" s="48"/>
    </row>
    <row r="47" spans="2:14" ht="15.6" customHeight="1" x14ac:dyDescent="0.35">
      <c r="B47" s="17" t="s">
        <v>49</v>
      </c>
      <c r="N47" s="48"/>
    </row>
    <row r="48" spans="2:14" ht="15.6" customHeight="1" x14ac:dyDescent="0.35">
      <c r="N48" s="48"/>
    </row>
    <row r="49" spans="14:14" ht="15.6" customHeight="1" x14ac:dyDescent="0.35">
      <c r="N49" s="49"/>
    </row>
    <row r="50" spans="14:14" ht="15.6" customHeight="1" x14ac:dyDescent="0.35">
      <c r="N50" s="50"/>
    </row>
  </sheetData>
  <pageMargins left="0.70866141732283472" right="0.70866141732283472" top="0.74803149606299213" bottom="0.74803149606299213" header="0.31496062992125984" footer="0.31496062992125984"/>
  <pageSetup scale="7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04BE-2785-43A3-86CA-2636D1164BB9}">
  <dimension ref="A1:M28"/>
  <sheetViews>
    <sheetView tabSelected="1" zoomScale="78" workbookViewId="0">
      <selection activeCell="B37" sqref="B37"/>
    </sheetView>
  </sheetViews>
  <sheetFormatPr defaultRowHeight="14.4" x14ac:dyDescent="0.3"/>
  <cols>
    <col min="1" max="1" width="23" customWidth="1"/>
    <col min="2" max="2" width="21.77734375" customWidth="1"/>
    <col min="3" max="3" width="21.5546875" customWidth="1"/>
    <col min="4" max="4" width="22.5546875" customWidth="1"/>
    <col min="5" max="5" width="21.109375" customWidth="1"/>
    <col min="6" max="6" width="17" customWidth="1"/>
    <col min="7" max="7" width="15.6640625" customWidth="1"/>
    <col min="8" max="8" width="21.77734375" customWidth="1"/>
    <col min="9" max="9" width="14.6640625" customWidth="1"/>
    <col min="10" max="10" width="18.44140625" customWidth="1"/>
    <col min="11" max="11" width="19.44140625" customWidth="1"/>
    <col min="12" max="12" width="16.33203125" customWidth="1"/>
    <col min="13" max="13" width="20.88671875" customWidth="1"/>
  </cols>
  <sheetData>
    <row r="1" spans="1:13" x14ac:dyDescent="0.3">
      <c r="A1" s="89" t="s">
        <v>62</v>
      </c>
      <c r="B1" s="89" t="s">
        <v>63</v>
      </c>
      <c r="C1" s="89" t="s">
        <v>64</v>
      </c>
      <c r="D1" s="89" t="s">
        <v>65</v>
      </c>
      <c r="E1" s="89" t="s">
        <v>66</v>
      </c>
      <c r="F1" s="89" t="s">
        <v>67</v>
      </c>
      <c r="G1" s="89" t="s">
        <v>68</v>
      </c>
      <c r="H1" s="89" t="s">
        <v>69</v>
      </c>
      <c r="I1" s="89" t="s">
        <v>70</v>
      </c>
      <c r="J1" s="89" t="s">
        <v>71</v>
      </c>
      <c r="K1" s="89" t="s">
        <v>72</v>
      </c>
      <c r="L1" s="89" t="s">
        <v>17</v>
      </c>
      <c r="M1" s="89" t="s">
        <v>73</v>
      </c>
    </row>
    <row r="2" spans="1:13" x14ac:dyDescent="0.3">
      <c r="A2" t="s">
        <v>74</v>
      </c>
      <c r="B2" t="s">
        <v>75</v>
      </c>
      <c r="C2">
        <v>3304.1</v>
      </c>
      <c r="D2">
        <v>361.81</v>
      </c>
      <c r="E2">
        <v>1205272.79</v>
      </c>
      <c r="F2">
        <v>1222116.8999999999</v>
      </c>
      <c r="G2">
        <f>F2-E2</f>
        <v>16844.10999999987</v>
      </c>
      <c r="H2">
        <v>255324.01</v>
      </c>
      <c r="I2">
        <v>65590</v>
      </c>
      <c r="J2">
        <f>0.7*I2</f>
        <v>45913</v>
      </c>
      <c r="K2">
        <f>F2/H2</f>
        <v>4.7865333933929675</v>
      </c>
      <c r="L2">
        <f>F2/I2</f>
        <v>18.632671138893123</v>
      </c>
      <c r="M2">
        <f>E2/J2</f>
        <v>26.25123145949949</v>
      </c>
    </row>
    <row r="3" spans="1:13" x14ac:dyDescent="0.3">
      <c r="A3" t="s">
        <v>76</v>
      </c>
      <c r="B3" t="s">
        <v>77</v>
      </c>
      <c r="C3">
        <v>1593.1</v>
      </c>
      <c r="D3">
        <v>414.46</v>
      </c>
      <c r="E3">
        <v>660279.39</v>
      </c>
      <c r="F3">
        <v>663392.14</v>
      </c>
      <c r="G3">
        <f t="shared" ref="G3:G11" si="0">F3-E3</f>
        <v>3112.75</v>
      </c>
      <c r="H3">
        <v>192732</v>
      </c>
      <c r="I3">
        <v>44565</v>
      </c>
      <c r="J3">
        <f t="shared" ref="J3:J11" si="1">0.7*I3</f>
        <v>31195.499999999996</v>
      </c>
      <c r="K3">
        <f t="shared" ref="K3:K11" si="2">F3/H3</f>
        <v>3.4420446007928107</v>
      </c>
      <c r="L3">
        <f t="shared" ref="L3:L11" si="3">F3/I3</f>
        <v>14.885945024122069</v>
      </c>
      <c r="M3">
        <f t="shared" ref="M3:M11" si="4">E3/J3</f>
        <v>21.165853728903212</v>
      </c>
    </row>
    <row r="4" spans="1:13" x14ac:dyDescent="0.3">
      <c r="A4" t="s">
        <v>78</v>
      </c>
      <c r="B4" t="s">
        <v>79</v>
      </c>
      <c r="C4">
        <v>1640</v>
      </c>
      <c r="D4">
        <v>270.89</v>
      </c>
      <c r="E4">
        <v>453920.84</v>
      </c>
      <c r="F4">
        <v>467999.65</v>
      </c>
      <c r="G4">
        <f t="shared" si="0"/>
        <v>14078.809999999998</v>
      </c>
      <c r="H4">
        <v>138423</v>
      </c>
      <c r="I4">
        <v>29060</v>
      </c>
      <c r="J4">
        <f t="shared" si="1"/>
        <v>20342</v>
      </c>
      <c r="K4">
        <f t="shared" si="2"/>
        <v>3.3809385001047514</v>
      </c>
      <c r="L4">
        <f t="shared" si="3"/>
        <v>16.104599105299382</v>
      </c>
      <c r="M4">
        <f t="shared" si="4"/>
        <v>22.314464654409598</v>
      </c>
    </row>
    <row r="5" spans="1:13" x14ac:dyDescent="0.3">
      <c r="A5" t="s">
        <v>80</v>
      </c>
      <c r="B5" t="s">
        <v>81</v>
      </c>
      <c r="C5">
        <v>259.10000000000002</v>
      </c>
      <c r="D5">
        <v>1047.06</v>
      </c>
      <c r="E5">
        <v>271293.25</v>
      </c>
      <c r="F5">
        <v>244314.62</v>
      </c>
      <c r="G5">
        <f t="shared" si="0"/>
        <v>-26978.630000000005</v>
      </c>
      <c r="H5">
        <v>89088.4</v>
      </c>
      <c r="I5">
        <v>17360.599999999999</v>
      </c>
      <c r="J5">
        <f t="shared" si="1"/>
        <v>12152.419999999998</v>
      </c>
      <c r="K5">
        <f t="shared" si="2"/>
        <v>2.7423841936772915</v>
      </c>
      <c r="L5">
        <f t="shared" si="3"/>
        <v>14.072936419248183</v>
      </c>
      <c r="M5">
        <f t="shared" si="4"/>
        <v>22.324216082064318</v>
      </c>
    </row>
    <row r="6" spans="1:13" x14ac:dyDescent="0.3">
      <c r="A6" t="s">
        <v>82</v>
      </c>
      <c r="B6" t="s">
        <v>83</v>
      </c>
      <c r="C6">
        <v>5218</v>
      </c>
      <c r="D6">
        <v>29.63</v>
      </c>
      <c r="E6">
        <v>155289.76999999999</v>
      </c>
      <c r="F6">
        <v>149031.81</v>
      </c>
      <c r="G6">
        <f t="shared" si="0"/>
        <v>-6257.9599999999919</v>
      </c>
      <c r="H6">
        <v>38008.1</v>
      </c>
      <c r="I6">
        <v>5991.2</v>
      </c>
      <c r="J6">
        <f t="shared" si="1"/>
        <v>4193.8399999999992</v>
      </c>
      <c r="K6">
        <f t="shared" si="2"/>
        <v>3.9210539332405463</v>
      </c>
      <c r="L6">
        <f t="shared" si="3"/>
        <v>24.87511850714381</v>
      </c>
      <c r="M6">
        <f t="shared" si="4"/>
        <v>37.028062587032416</v>
      </c>
    </row>
    <row r="7" spans="1:13" x14ac:dyDescent="0.3">
      <c r="A7" t="s">
        <v>84</v>
      </c>
      <c r="B7" t="s">
        <v>85</v>
      </c>
      <c r="C7">
        <v>1589.9</v>
      </c>
      <c r="D7">
        <v>88.5</v>
      </c>
      <c r="E7">
        <v>141570.26</v>
      </c>
      <c r="F7">
        <v>144335.29</v>
      </c>
      <c r="G7">
        <f t="shared" si="0"/>
        <v>2765.0299999999988</v>
      </c>
      <c r="H7">
        <v>52988.3</v>
      </c>
      <c r="I7">
        <v>6334.5</v>
      </c>
      <c r="J7">
        <f t="shared" si="1"/>
        <v>4434.1499999999996</v>
      </c>
      <c r="K7">
        <f t="shared" si="2"/>
        <v>2.7239086741790168</v>
      </c>
      <c r="L7">
        <f t="shared" si="3"/>
        <v>22.785585286920831</v>
      </c>
      <c r="M7">
        <f t="shared" si="4"/>
        <v>31.927260016012092</v>
      </c>
    </row>
    <row r="8" spans="1:13" x14ac:dyDescent="0.3">
      <c r="A8" t="s">
        <v>86</v>
      </c>
      <c r="B8" t="s">
        <v>87</v>
      </c>
      <c r="C8">
        <v>8677.5</v>
      </c>
      <c r="D8">
        <v>8.69</v>
      </c>
      <c r="E8">
        <v>75984.7</v>
      </c>
      <c r="F8">
        <v>72226.78</v>
      </c>
      <c r="G8">
        <f t="shared" si="0"/>
        <v>-3757.9199999999983</v>
      </c>
      <c r="H8">
        <v>6846.8</v>
      </c>
      <c r="I8">
        <v>3052.6</v>
      </c>
      <c r="J8">
        <f t="shared" si="1"/>
        <v>2136.8199999999997</v>
      </c>
      <c r="K8">
        <f t="shared" si="2"/>
        <v>10.548983466728982</v>
      </c>
      <c r="L8">
        <f t="shared" si="3"/>
        <v>23.660741662844789</v>
      </c>
      <c r="M8">
        <f t="shared" si="4"/>
        <v>35.559710223603304</v>
      </c>
    </row>
    <row r="9" spans="1:13" x14ac:dyDescent="0.3">
      <c r="A9" t="s">
        <v>88</v>
      </c>
      <c r="B9" t="s">
        <v>89</v>
      </c>
      <c r="C9">
        <v>5599</v>
      </c>
      <c r="D9">
        <v>15.46</v>
      </c>
      <c r="E9">
        <v>88299.59</v>
      </c>
      <c r="F9">
        <v>92446.6</v>
      </c>
      <c r="G9">
        <f t="shared" si="0"/>
        <v>4147.0100000000093</v>
      </c>
      <c r="H9">
        <v>11938.72</v>
      </c>
      <c r="I9">
        <v>1938.98</v>
      </c>
      <c r="J9">
        <f t="shared" si="1"/>
        <v>1357.2859999999998</v>
      </c>
      <c r="K9">
        <f t="shared" si="2"/>
        <v>7.7434264309741758</v>
      </c>
      <c r="L9">
        <f t="shared" si="3"/>
        <v>47.677954388389772</v>
      </c>
      <c r="M9">
        <f t="shared" si="4"/>
        <v>65.055994094096604</v>
      </c>
    </row>
    <row r="10" spans="1:13" x14ac:dyDescent="0.3">
      <c r="A10" t="s">
        <v>90</v>
      </c>
      <c r="B10" t="s">
        <v>91</v>
      </c>
      <c r="C10">
        <v>1801.2</v>
      </c>
      <c r="D10">
        <v>45.8</v>
      </c>
      <c r="E10">
        <v>82489.37</v>
      </c>
      <c r="F10">
        <v>80991.75</v>
      </c>
      <c r="G10">
        <f t="shared" si="0"/>
        <v>-1497.6199999999953</v>
      </c>
      <c r="H10">
        <v>4977.21</v>
      </c>
      <c r="I10">
        <v>193.68</v>
      </c>
      <c r="J10">
        <f t="shared" si="1"/>
        <v>135.57599999999999</v>
      </c>
      <c r="K10">
        <f>F10/H10</f>
        <v>16.272520146829248</v>
      </c>
      <c r="L10">
        <f t="shared" si="3"/>
        <v>418.17301734820319</v>
      </c>
      <c r="M10">
        <f t="shared" si="4"/>
        <v>608.43637516964657</v>
      </c>
    </row>
    <row r="11" spans="1:13" x14ac:dyDescent="0.3">
      <c r="A11" t="s">
        <v>92</v>
      </c>
      <c r="B11" t="s">
        <v>93</v>
      </c>
      <c r="C11">
        <v>4368.3999999999996</v>
      </c>
      <c r="D11">
        <v>10.59</v>
      </c>
      <c r="E11">
        <v>46933.65</v>
      </c>
      <c r="F11">
        <v>44679</v>
      </c>
      <c r="G11">
        <f t="shared" si="0"/>
        <v>-2254.6500000000015</v>
      </c>
      <c r="H11">
        <v>10670.2</v>
      </c>
      <c r="I11">
        <v>1727.43</v>
      </c>
      <c r="J11">
        <f t="shared" si="1"/>
        <v>1209.201</v>
      </c>
      <c r="K11">
        <f t="shared" si="2"/>
        <v>4.1872692170718446</v>
      </c>
      <c r="L11">
        <f t="shared" si="3"/>
        <v>25.864434448863339</v>
      </c>
      <c r="M11">
        <f t="shared" si="4"/>
        <v>38.813770415340379</v>
      </c>
    </row>
    <row r="14" spans="1:13" x14ac:dyDescent="0.3">
      <c r="A14" t="s">
        <v>94</v>
      </c>
      <c r="K14">
        <f>MAX(K2:K11)</f>
        <v>16.272520146829248</v>
      </c>
      <c r="L14">
        <f t="shared" ref="L14:M14" si="5">MAX(L2:L11)</f>
        <v>418.17301734820319</v>
      </c>
      <c r="M14">
        <f t="shared" si="5"/>
        <v>608.43637516964657</v>
      </c>
    </row>
    <row r="15" spans="1:13" x14ac:dyDescent="0.3">
      <c r="A15" t="s">
        <v>95</v>
      </c>
      <c r="K15">
        <f>_xlfn.QUARTILE.EXC(K2:K11,3)</f>
        <v>8.4448156899128772</v>
      </c>
      <c r="L15">
        <f t="shared" ref="L15:M15" si="6">_xlfn.QUARTILE.EXC(L2:L11,3)</f>
        <v>31.317814433744946</v>
      </c>
      <c r="M15">
        <f t="shared" si="6"/>
        <v>45.374326335029437</v>
      </c>
    </row>
    <row r="16" spans="1:13" x14ac:dyDescent="0.3">
      <c r="A16" t="s">
        <v>96</v>
      </c>
      <c r="K16">
        <f>AVERAGE(K2:K11)</f>
        <v>5.974906255699163</v>
      </c>
      <c r="L16">
        <f t="shared" ref="L16:M16" si="7">AVERAGE(L2:L11)</f>
        <v>62.673300332992845</v>
      </c>
      <c r="M16">
        <f t="shared" si="7"/>
        <v>90.887693843060802</v>
      </c>
    </row>
    <row r="17" spans="1:13" x14ac:dyDescent="0.3">
      <c r="A17" t="s">
        <v>97</v>
      </c>
      <c r="K17">
        <f>MEDIAN(K2:K11)</f>
        <v>4.0541615751561952</v>
      </c>
      <c r="L17">
        <f t="shared" ref="L17:M17" si="8">MEDIAN(L2:L11)</f>
        <v>23.22316347488281</v>
      </c>
      <c r="M17">
        <f t="shared" si="8"/>
        <v>33.743485119807701</v>
      </c>
    </row>
    <row r="18" spans="1:13" x14ac:dyDescent="0.3">
      <c r="A18" t="s">
        <v>98</v>
      </c>
      <c r="K18">
        <f>_xlfn.QUARTILE.EXC(K2:K11,1)</f>
        <v>3.2212999234978863</v>
      </c>
      <c r="L18">
        <f t="shared" ref="L18:M18" si="9">_xlfn.QUARTILE.EXC(L2:L11,1)</f>
        <v>15.799935585005054</v>
      </c>
      <c r="M18">
        <f t="shared" si="9"/>
        <v>22.321778225150638</v>
      </c>
    </row>
    <row r="19" spans="1:13" x14ac:dyDescent="0.3">
      <c r="A19" t="s">
        <v>99</v>
      </c>
      <c r="K19">
        <f>MIN(K2:K11)</f>
        <v>2.7239086741790168</v>
      </c>
      <c r="L19">
        <f t="shared" ref="L19:M19" si="10">MIN(L2:L11)</f>
        <v>14.072936419248183</v>
      </c>
      <c r="M19">
        <f t="shared" si="10"/>
        <v>21.165853728903212</v>
      </c>
    </row>
    <row r="21" spans="1:13" x14ac:dyDescent="0.3">
      <c r="A21" t="s">
        <v>100</v>
      </c>
    </row>
    <row r="23" spans="1:13" x14ac:dyDescent="0.3">
      <c r="B23" t="s">
        <v>101</v>
      </c>
      <c r="C23">
        <f>F2*K17</f>
        <v>4954659.3763290057</v>
      </c>
      <c r="D23">
        <f>F2*L17</f>
        <v>28381420.554117005</v>
      </c>
    </row>
    <row r="24" spans="1:13" x14ac:dyDescent="0.3">
      <c r="B24" t="s">
        <v>102</v>
      </c>
      <c r="C24">
        <f>$G$2</f>
        <v>16844.10999999987</v>
      </c>
      <c r="D24">
        <f>G2</f>
        <v>16844.10999999987</v>
      </c>
    </row>
    <row r="25" spans="1:13" x14ac:dyDescent="0.3">
      <c r="B25" t="s">
        <v>103</v>
      </c>
      <c r="C25">
        <f>C23-C24</f>
        <v>4937815.2663290054</v>
      </c>
      <c r="D25">
        <f>D23+D24</f>
        <v>28398264.664117005</v>
      </c>
    </row>
    <row r="26" spans="1:13" x14ac:dyDescent="0.3">
      <c r="B26" t="s">
        <v>104</v>
      </c>
      <c r="C26">
        <f>D2</f>
        <v>361.81</v>
      </c>
      <c r="D26">
        <v>361.81</v>
      </c>
    </row>
    <row r="28" spans="1:13" x14ac:dyDescent="0.3">
      <c r="C28">
        <f>C25/C26</f>
        <v>13647.536735659614</v>
      </c>
      <c r="D28">
        <f>D25/D26</f>
        <v>78489.441043965082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DCF Model</vt:lpstr>
      <vt:lpstr>Comparable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Meet Ashok Vanja</cp:lastModifiedBy>
  <cp:lastPrinted>2014-12-13T23:43:21Z</cp:lastPrinted>
  <dcterms:created xsi:type="dcterms:W3CDTF">2014-11-08T22:00:02Z</dcterms:created>
  <dcterms:modified xsi:type="dcterms:W3CDTF">2025-07-11T10:20:13Z</dcterms:modified>
</cp:coreProperties>
</file>