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tipub-my.sharepoint.com/personal/alexandra_chirita98_stud_acs_upb_ro/Documents/Desktop/"/>
    </mc:Choice>
  </mc:AlternateContent>
  <xr:revisionPtr revIDLastSave="816" documentId="8_{01235F63-CCFF-4C34-B639-35868A0EA2BA}" xr6:coauthVersionLast="47" xr6:coauthVersionMax="47" xr10:uidLastSave="{DF8EE8A1-2BC8-4FD4-A831-995A112034E5}"/>
  <bookViews>
    <workbookView xWindow="828" yWindow="-108" windowWidth="22320" windowHeight="13176" activeTab="6" xr2:uid="{0F1979ED-A42A-404B-809E-BA2C93F8E32E}"/>
  </bookViews>
  <sheets>
    <sheet name="Trading Data" sheetId="1" r:id="rId1"/>
    <sheet name="Profit" sheetId="2" r:id="rId2"/>
    <sheet name="Transaction Types" sheetId="5" r:id="rId3"/>
    <sheet name="Transactions" sheetId="10" r:id="rId4"/>
    <sheet name="Buy_vs_Sell_Transactions" sheetId="12" r:id="rId5"/>
    <sheet name="Taxes" sheetId="4" r:id="rId6"/>
    <sheet name="CFD_Categories" sheetId="8" r:id="rId7"/>
  </sheets>
  <calcPr calcId="191029"/>
  <pivotCaches>
    <pivotCache cacheId="1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4" l="1"/>
  <c r="N2" i="1"/>
  <c r="O2" i="1" s="1"/>
  <c r="R2" i="1"/>
  <c r="C11" i="4"/>
  <c r="B11" i="4"/>
  <c r="F7" i="5"/>
  <c r="F6" i="5"/>
  <c r="F5" i="5"/>
  <c r="F4" i="5"/>
  <c r="B6" i="5"/>
  <c r="B5" i="5"/>
  <c r="B4" i="5"/>
  <c r="C5" i="5"/>
  <c r="C4" i="5"/>
  <c r="Q2" i="1"/>
  <c r="P2" i="1"/>
  <c r="E13" i="4" l="1"/>
  <c r="C8" i="5"/>
  <c r="E12" i="4"/>
  <c r="B12" i="4"/>
  <c r="F12" i="4" s="1"/>
  <c r="B13" i="4"/>
  <c r="G13" i="4" s="1"/>
  <c r="D11" i="4"/>
  <c r="B16" i="5"/>
  <c r="C17" i="5"/>
  <c r="B12" i="5"/>
  <c r="C12" i="5"/>
  <c r="B13" i="5"/>
  <c r="C13" i="5"/>
  <c r="B14" i="5"/>
  <c r="C14" i="5"/>
  <c r="B15" i="5"/>
  <c r="C16" i="5"/>
  <c r="B17" i="5"/>
  <c r="C15" i="5"/>
  <c r="B8" i="5"/>
  <c r="B7" i="5"/>
  <c r="C19" i="5" l="1"/>
  <c r="B19" i="5"/>
  <c r="C18" i="5"/>
  <c r="H13" i="4"/>
  <c r="F13" i="4"/>
  <c r="H12" i="4"/>
  <c r="G12" i="4"/>
  <c r="I12" i="4"/>
  <c r="B18" i="5"/>
</calcChain>
</file>

<file path=xl/sharedStrings.xml><?xml version="1.0" encoding="utf-8"?>
<sst xmlns="http://schemas.openxmlformats.org/spreadsheetml/2006/main" count="97" uniqueCount="78">
  <si>
    <t>Open Time</t>
  </si>
  <si>
    <t>Type</t>
  </si>
  <si>
    <t>Size</t>
  </si>
  <si>
    <t>Item</t>
  </si>
  <si>
    <t>Price</t>
  </si>
  <si>
    <t>S / L</t>
  </si>
  <si>
    <t>T / P</t>
  </si>
  <si>
    <t>Close Time</t>
  </si>
  <si>
    <t>Commission</t>
  </si>
  <si>
    <t>Taxes</t>
  </si>
  <si>
    <t>Swap</t>
  </si>
  <si>
    <t>Profit</t>
  </si>
  <si>
    <t>buy</t>
  </si>
  <si>
    <t>sell</t>
  </si>
  <si>
    <t>cancelled</t>
  </si>
  <si>
    <t>Price2</t>
  </si>
  <si>
    <t>Open Date</t>
  </si>
  <si>
    <t>Close Date</t>
  </si>
  <si>
    <t>Final_Price_SL</t>
  </si>
  <si>
    <t>Final_Price_TP</t>
  </si>
  <si>
    <t>Row Labels</t>
  </si>
  <si>
    <t>Grand Total</t>
  </si>
  <si>
    <t>Sum of Profit</t>
  </si>
  <si>
    <t>Basic Types</t>
  </si>
  <si>
    <t>Transaction Type</t>
  </si>
  <si>
    <t># of transactions</t>
  </si>
  <si>
    <t>Total P/L</t>
  </si>
  <si>
    <t>Profit types on orders</t>
  </si>
  <si>
    <t>Profit type</t>
  </si>
  <si>
    <t>TP</t>
  </si>
  <si>
    <t>SL with profit &lt; 0</t>
  </si>
  <si>
    <t>SL with profit &gt;= 0</t>
  </si>
  <si>
    <t>Closed manually</t>
  </si>
  <si>
    <t>Profitable closed manually</t>
  </si>
  <si>
    <t>Loss closed manually</t>
  </si>
  <si>
    <t>Total</t>
  </si>
  <si>
    <t>Total opened</t>
  </si>
  <si>
    <t>Total transactions</t>
  </si>
  <si>
    <t>Deposits</t>
  </si>
  <si>
    <t># of deposits</t>
  </si>
  <si>
    <t>Metric</t>
  </si>
  <si>
    <t>Value</t>
  </si>
  <si>
    <t># of withdrawals</t>
  </si>
  <si>
    <t>Total withdrawal</t>
  </si>
  <si>
    <t>Total deposits</t>
  </si>
  <si>
    <t>Amount</t>
  </si>
  <si>
    <t>Tax</t>
  </si>
  <si>
    <t>CAS Contribution</t>
  </si>
  <si>
    <t>Loss (if applicable)</t>
  </si>
  <si>
    <t>Profit Stocks/Forex</t>
  </si>
  <si>
    <t>Profit Crypto</t>
  </si>
  <si>
    <t>Start Amount</t>
  </si>
  <si>
    <t>End Amount</t>
  </si>
  <si>
    <t>Taxes Types</t>
  </si>
  <si>
    <t>CAS</t>
  </si>
  <si>
    <t>CASS</t>
  </si>
  <si>
    <t>Tax Form Parameters</t>
  </si>
  <si>
    <t>Percentage</t>
  </si>
  <si>
    <t>Parameter</t>
  </si>
  <si>
    <t>CASS Contribution</t>
  </si>
  <si>
    <t>Crypto</t>
  </si>
  <si>
    <t>ADAUSD</t>
  </si>
  <si>
    <t>BCHUSD</t>
  </si>
  <si>
    <t>BTCUSD</t>
  </si>
  <si>
    <t>DOGUSD</t>
  </si>
  <si>
    <t>DOTUSD</t>
  </si>
  <si>
    <t>EOSUSD</t>
  </si>
  <si>
    <t>ETHUSD</t>
  </si>
  <si>
    <t>LNKUSD</t>
  </si>
  <si>
    <t>LTCUSD</t>
  </si>
  <si>
    <t>XLMUSD</t>
  </si>
  <si>
    <t>XRPUSD</t>
  </si>
  <si>
    <t>Is_Crypto?</t>
  </si>
  <si>
    <t>Don't Modify</t>
  </si>
  <si>
    <t>(Multiple Items)</t>
  </si>
  <si>
    <t>Column Labels</t>
  </si>
  <si>
    <t>Total profitable transactions</t>
  </si>
  <si>
    <t>Total losses transactions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</si>
</sst>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10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2" borderId="0" xfId="0" applyNumberFormat="1" applyFill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3">
    <dxf>
      <numFmt numFmtId="2" formatCode="0.0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64" formatCode="yyyy\-mm\-dd;@"/>
      <fill>
        <patternFill patternType="solid">
          <fgColor indexed="64"/>
          <bgColor rgb="FF969696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969696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969696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969696"/>
        </patternFill>
      </fill>
      <alignment horizontal="left" vertical="bottom" textRotation="0" wrapText="0" indent="0" justifyLastLine="0" shrinkToFit="0" readingOrder="0"/>
    </dxf>
    <dxf>
      <numFmt numFmtId="164" formatCode="yyyy\-mm\-dd;@"/>
      <fill>
        <patternFill patternType="solid">
          <fgColor indexed="64"/>
          <bgColor rgb="FF969696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[MT4_Analysis_Template.xlsx]Profit!PivotTable1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Profit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4472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Profit!$B$3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1"/>
          <c:cat>
            <c:strRef>
              <c:f>Profit!$A$4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Profit!$B$4</c:f>
              <c:numCache>
                <c:formatCode>General</c:formatCode>
                <c:ptCount val="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ED7D31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6F2C-4350-AF44-592D0338D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119062896"/>
        <c:axId val="1119063728"/>
      </c:barChart>
      <c:catAx>
        <c:axId val="1119062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63728"/>
        <c:crosses val="autoZero"/>
        <c:auto val="1"/>
        <c:lblAlgn val="ctr"/>
        <c:lblOffset val="100"/>
        <c:noMultiLvlLbl val="0"/>
      </c:catAx>
      <c:valAx>
        <c:axId val="11190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P/L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06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[MT4_Analysis_Template.xlsx]Transactions!PivotTable5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transactions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Transactions!$B$4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Transactions!$A$5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Transactions!$B$5</c:f>
              <c:numCache>
                <c:formatCode>General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7-48D1-8AF1-6201B7655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2707296"/>
        <c:axId val="1242711040"/>
      </c:lineChart>
      <c:catAx>
        <c:axId val="124270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11040"/>
        <c:crosses val="autoZero"/>
        <c:auto val="1"/>
        <c:lblAlgn val="ctr"/>
        <c:lblOffset val="100"/>
        <c:noMultiLvlLbl val="0"/>
      </c:catAx>
      <c:valAx>
        <c:axId val="12427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transactions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270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[MT4_Analysis_Template.xlsx]Buy_vs_Sell_Transactions!PivotTable5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#</a:t>
            </a:r>
            <a:r>
              <a:rPr lang="en-US" baseline="0"/>
              <a:t> of buys and sells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Buy_vs_Sell_Transactions!$B$4:$B$5</c:f>
              <c:strCache>
                <c:ptCount val="1"/>
                <c:pt idx="0">
                  <c:v>Grand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Buy_vs_Sell_Transactions!$A$6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Buy_vs_Sell_Transactions!$B$6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3AE9-4782-ABA0-3119C3B58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255682224"/>
        <c:axId val="1255674320"/>
      </c:barChart>
      <c:catAx>
        <c:axId val="125568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74320"/>
        <c:crosses val="autoZero"/>
        <c:auto val="1"/>
        <c:lblAlgn val="ctr"/>
        <c:lblOffset val="100"/>
        <c:noMultiLvlLbl val="0"/>
      </c:catAx>
      <c:valAx>
        <c:axId val="125567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transactions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22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3</xdr:row>
      <xdr:rowOff>45720</xdr:rowOff>
    </xdr:from>
    <xdr:to>
      <xdr:col>14</xdr:col>
      <xdr:colOff>426720</xdr:colOff>
      <xdr:row>25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69AF7-96A0-5A77-38B5-BC3EB790F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3</xdr:row>
      <xdr:rowOff>83820</xdr:rowOff>
    </xdr:from>
    <xdr:to>
      <xdr:col>13</xdr:col>
      <xdr:colOff>281940</xdr:colOff>
      <xdr:row>20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981013-EDB0-E08E-54DD-A8163413B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6</xdr:row>
      <xdr:rowOff>68580</xdr:rowOff>
    </xdr:from>
    <xdr:to>
      <xdr:col>18</xdr:col>
      <xdr:colOff>0</xdr:colOff>
      <xdr:row>31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4A3AD2-2B5B-2A3B-C142-3041F923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andra-Paraschieva CHIRIȚĂ (94766)" refreshedDate="44789.950628587962" createdVersion="8" refreshedVersion="8" minRefreshableVersion="3" recordCount="1" xr:uid="{524C930E-D55D-4AC6-9A2E-40FB5162C936}">
  <cacheSource type="worksheet">
    <worksheetSource name="Table1"/>
  </cacheSource>
  <cacheFields count="18">
    <cacheField name="Open Time" numFmtId="0">
      <sharedItems containsNonDate="0" containsString="0" containsBlank="1"/>
    </cacheField>
    <cacheField name="Type" numFmtId="0">
      <sharedItems containsNonDate="0" containsBlank="1" count="7">
        <m/>
        <s v="balance" u="1"/>
        <s v="sell limit" u="1"/>
        <s v="sell stop" u="1"/>
        <s v="buy" u="1"/>
        <s v="sell" u="1"/>
        <s v="buy limit" u="1"/>
      </sharedItems>
    </cacheField>
    <cacheField name="Size" numFmtId="2">
      <sharedItems containsNonDate="0" containsString="0" containsBlank="1"/>
    </cacheField>
    <cacheField name="Item" numFmtId="0">
      <sharedItems containsNonDate="0" containsString="0" containsBlank="1"/>
    </cacheField>
    <cacheField name="Price" numFmtId="0">
      <sharedItems containsNonDate="0" containsString="0" containsBlank="1"/>
    </cacheField>
    <cacheField name="S / L" numFmtId="0">
      <sharedItems containsNonDate="0" containsString="0" containsBlank="1"/>
    </cacheField>
    <cacheField name="T / P" numFmtId="0">
      <sharedItems containsNonDate="0" containsString="0" containsBlank="1"/>
    </cacheField>
    <cacheField name="Close Time" numFmtId="0">
      <sharedItems containsNonDate="0" containsString="0" containsBlank="1"/>
    </cacheField>
    <cacheField name="Price2" numFmtId="0">
      <sharedItems containsNonDate="0" containsString="0" containsBlank="1"/>
    </cacheField>
    <cacheField name="Commission" numFmtId="0">
      <sharedItems containsNonDate="0" containsString="0" containsBlank="1"/>
    </cacheField>
    <cacheField name="Taxes" numFmtId="0">
      <sharedItems containsNonDate="0" containsString="0" containsBlank="1"/>
    </cacheField>
    <cacheField name="Swap" numFmtId="0">
      <sharedItems containsNonDate="0" containsString="0" containsBlank="1"/>
    </cacheField>
    <cacheField name="Profit" numFmtId="2">
      <sharedItems containsNonDate="0" containsString="0" containsBlank="1" containsNumber="1" minValue="-18.329999999999998" maxValue="1009.56" count="87">
        <m/>
        <n v="-4.9400000000000004" u="1"/>
        <n v="0.16" u="1"/>
        <n v="2.4300000000000002" u="1"/>
        <n v="-0.14000000000000001" u="1"/>
        <n v="-0.43" u="1"/>
        <n v="3.17" u="1"/>
        <n v="-9.89" u="1"/>
        <n v="-6.27" u="1"/>
        <n v="-5.24" u="1"/>
        <n v="-6.07" u="1"/>
        <n v="-12.52" u="1"/>
        <n v="-0.79" u="1"/>
        <n v="-4.1100000000000003" u="1"/>
        <n v="-0.56999999999999995" u="1"/>
        <n v="10.84" u="1"/>
        <n v="-13.65" u="1"/>
        <n v="1.26" u="1"/>
        <n v="-5.74" u="1"/>
        <n v="2.34" u="1"/>
        <n v="1009.56" u="1"/>
        <n v="-3.1" u="1"/>
        <n v="-1.96" u="1"/>
        <n v="0.36" u="1"/>
        <n v="5.7" u="1"/>
        <n v="-14.25" u="1"/>
        <n v="-4.46" u="1"/>
        <n v="-3.84" u="1"/>
        <n v="-1.37" u="1"/>
        <n v="2.39" u="1"/>
        <n v="-1.74" u="1"/>
        <n v="-3.06" u="1"/>
        <n v="-7.77" u="1"/>
        <n v="-4.18" u="1"/>
        <n v="-0.28999999999999998" u="1"/>
        <n v="-1.72" u="1"/>
        <n v="-7.44" u="1"/>
        <n v="-3.65" u="1"/>
        <n v="-1.1299999999999999" u="1"/>
        <n v="0.38" u="1"/>
        <n v="0.63" u="1"/>
        <n v="-2.2799999999999998" u="1"/>
        <n v="0.14000000000000001" u="1"/>
        <n v="-4.9800000000000004" u="1"/>
        <n v="-1.5" u="1"/>
        <n v="1.1200000000000001" u="1"/>
        <n v="-0.24" u="1"/>
        <n v="-9.41" u="1"/>
        <n v="-4.05" u="1"/>
        <n v="-2.4300000000000002" u="1"/>
        <n v="0.52" u="1"/>
        <n v="20.6" u="1"/>
        <n v="5.59" u="1"/>
        <n v="-4.9000000000000004" u="1"/>
        <n v="-10.41" u="1"/>
        <n v="5.84" u="1"/>
        <n v="6.47" u="1"/>
        <n v="-4.8" u="1"/>
        <n v="-9.58" u="1"/>
        <n v="-1.21" u="1"/>
        <n v="0.56999999999999995" u="1"/>
        <n v="6.09" u="1"/>
        <n v="-9.2799999999999994" u="1"/>
        <n v="-2.2400000000000002" u="1"/>
        <n v="7.77" u="1"/>
        <n v="-7.71" u="1"/>
        <n v="9.6" u="1"/>
        <n v="7.0000000000000007E-2" u="1"/>
        <n v="-4.57" u="1"/>
        <n v="-0.75" u="1"/>
        <n v="-7.38" u="1"/>
        <n v="-2.2999999999999998" u="1"/>
        <n v="-1.51" u="1"/>
        <n v="-18.329999999999998" u="1"/>
        <n v="-1.56" u="1"/>
        <n v="0.26" u="1"/>
        <n v="9.0399999999999991" u="1"/>
        <n v="-0.38" u="1"/>
        <n v="-2.94" u="1"/>
        <n v="-12.18" u="1"/>
        <n v="-1.88" u="1"/>
        <n v="-4.34" u="1"/>
        <n v="13.26" u="1"/>
        <n v="-0.3" u="1"/>
        <n v="0.24" u="1"/>
        <n v="-3.09" u="1"/>
        <n v="1.77" u="1"/>
      </sharedItems>
    </cacheField>
    <cacheField name="Open Date" numFmtId="164">
      <sharedItems/>
    </cacheField>
    <cacheField name="Close Date" numFmtId="164">
      <sharedItems count="1">
        <e v="#VALUE!"/>
      </sharedItems>
    </cacheField>
    <cacheField name="Final_Price_SL" numFmtId="0">
      <sharedItems containsSemiMixedTypes="0" containsString="0" containsNumber="1" containsInteger="1" minValue="0" maxValue="0"/>
    </cacheField>
    <cacheField name="Final_Price_TP" numFmtId="0">
      <sharedItems containsSemiMixedTypes="0" containsString="0" containsNumber="1" containsInteger="1" minValue="0" maxValue="0"/>
    </cacheField>
    <cacheField name="Is_Crypto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m/>
    <x v="0"/>
    <m/>
    <m/>
    <m/>
    <m/>
    <m/>
    <m/>
    <m/>
    <m/>
    <m/>
    <m/>
    <x v="0"/>
    <e v="#VALUE!"/>
    <x v="0"/>
    <n v="0"/>
    <n v="0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BC5386-E952-4306-8439-3A031AE49EA6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4" firstHeaderRow="1" firstDataRow="1" firstDataCol="1" rowPageCount="1" colPageCount="1"/>
  <pivotFields count="18">
    <pivotField showAll="0"/>
    <pivotField axis="axisPage" multipleItemSelectionAllowed="1" showAll="0">
      <items count="8">
        <item h="1" m="1" x="1"/>
        <item m="1" x="4"/>
        <item m="1" x="6"/>
        <item m="1" x="5"/>
        <item m="1" x="2"/>
        <item m="1" x="3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numFmtId="14" showAll="0"/>
    <pivotField axis="axisRow" numFmtId="14" showAll="0">
      <items count="2">
        <item x="0"/>
        <item t="default"/>
      </items>
    </pivotField>
    <pivotField showAll="0"/>
    <pivotField showAll="0"/>
    <pivotField showAll="0"/>
  </pivotFields>
  <rowFields count="1">
    <field x="14"/>
  </rowFields>
  <rowItems count="1">
    <i t="grand">
      <x/>
    </i>
  </rowItems>
  <colItems count="1">
    <i/>
  </colItems>
  <pageFields count="1">
    <pageField fld="1" hier="-1"/>
  </pageFields>
  <dataFields count="1">
    <dataField name="Sum of Profit" fld="12" baseField="17" baseItem="6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31A78-D7B4-46B9-9A29-887578A2460E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5" firstHeaderRow="1" firstDataRow="1" firstDataCol="1" rowPageCount="2" colPageCount="1"/>
  <pivotFields count="18">
    <pivotField showAll="0"/>
    <pivotField axis="axisPage" multipleItemSelectionAllowed="1" showAll="0">
      <items count="8">
        <item h="1" m="1" x="1"/>
        <item m="1" x="4"/>
        <item m="1" x="6"/>
        <item m="1" x="5"/>
        <item m="1" x="2"/>
        <item m="1" x="3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88">
        <item m="1" x="73"/>
        <item m="1" x="25"/>
        <item m="1" x="16"/>
        <item m="1" x="11"/>
        <item m="1" x="79"/>
        <item m="1" x="54"/>
        <item m="1" x="7"/>
        <item m="1" x="58"/>
        <item m="1" x="47"/>
        <item m="1" x="62"/>
        <item m="1" x="32"/>
        <item m="1" x="65"/>
        <item m="1" x="36"/>
        <item m="1" x="70"/>
        <item m="1" x="8"/>
        <item m="1" x="10"/>
        <item m="1" x="18"/>
        <item m="1" x="9"/>
        <item m="1" x="43"/>
        <item m="1" x="1"/>
        <item m="1" x="53"/>
        <item m="1" x="57"/>
        <item m="1" x="68"/>
        <item m="1" x="26"/>
        <item m="1" x="81"/>
        <item m="1" x="33"/>
        <item m="1" x="13"/>
        <item m="1" x="48"/>
        <item m="1" x="27"/>
        <item m="1" x="37"/>
        <item m="1" x="21"/>
        <item m="1" x="85"/>
        <item m="1" x="31"/>
        <item m="1" x="78"/>
        <item m="1" x="49"/>
        <item m="1" x="71"/>
        <item m="1" x="41"/>
        <item m="1" x="63"/>
        <item m="1" x="22"/>
        <item m="1" x="80"/>
        <item m="1" x="30"/>
        <item m="1" x="35"/>
        <item m="1" x="74"/>
        <item m="1" x="72"/>
        <item m="1" x="44"/>
        <item m="1" x="28"/>
        <item m="1" x="59"/>
        <item m="1" x="38"/>
        <item m="1" x="12"/>
        <item m="1" x="69"/>
        <item m="1" x="14"/>
        <item m="1" x="5"/>
        <item m="1" x="77"/>
        <item m="1" x="83"/>
        <item m="1" x="34"/>
        <item m="1" x="46"/>
        <item m="1" x="4"/>
        <item m="1" x="67"/>
        <item m="1" x="42"/>
        <item m="1" x="2"/>
        <item m="1" x="84"/>
        <item m="1" x="75"/>
        <item m="1" x="23"/>
        <item m="1" x="39"/>
        <item m="1" x="50"/>
        <item m="1" x="60"/>
        <item m="1" x="40"/>
        <item m="1" x="45"/>
        <item m="1" x="17"/>
        <item m="1" x="86"/>
        <item m="1" x="19"/>
        <item m="1" x="29"/>
        <item m="1" x="3"/>
        <item m="1" x="6"/>
        <item m="1" x="52"/>
        <item m="1" x="24"/>
        <item m="1" x="55"/>
        <item m="1" x="61"/>
        <item m="1" x="56"/>
        <item m="1" x="64"/>
        <item m="1" x="76"/>
        <item m="1" x="66"/>
        <item m="1" x="15"/>
        <item m="1" x="82"/>
        <item m="1" x="51"/>
        <item h="1" m="1" x="20"/>
        <item h="1" x="0"/>
        <item t="default"/>
      </items>
    </pivotField>
    <pivotField numFmtId="14" showAll="0"/>
    <pivotField axis="axisRow" numFmtId="14" showAll="0">
      <items count="2">
        <item x="0"/>
        <item t="default"/>
      </items>
    </pivotField>
    <pivotField showAll="0"/>
    <pivotField showAll="0"/>
    <pivotField showAll="0"/>
  </pivotFields>
  <rowFields count="1">
    <field x="14"/>
  </rowFields>
  <rowItems count="1">
    <i t="grand">
      <x/>
    </i>
  </rowItems>
  <colItems count="1">
    <i/>
  </colItems>
  <pageFields count="2">
    <pageField fld="12" hier="-1"/>
    <pageField fld="1" hier="-1"/>
  </pageFields>
  <dataFields count="1">
    <dataField name="# of transactions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CC9FA-2FE0-4C18-8D1F-9A1BE230C594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B6" firstHeaderRow="1" firstDataRow="2" firstDataCol="1" rowPageCount="1" colPageCount="1"/>
  <pivotFields count="18">
    <pivotField showAll="0"/>
    <pivotField axis="axisCol" multipleItemSelectionAllowed="1" showAll="0">
      <items count="8">
        <item h="1" m="1" x="1"/>
        <item m="1" x="4"/>
        <item m="1" x="6"/>
        <item m="1" x="5"/>
        <item m="1" x="2"/>
        <item m="1" x="3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88">
        <item m="1" x="73"/>
        <item m="1" x="25"/>
        <item m="1" x="16"/>
        <item m="1" x="11"/>
        <item m="1" x="79"/>
        <item m="1" x="54"/>
        <item m="1" x="7"/>
        <item m="1" x="58"/>
        <item m="1" x="47"/>
        <item m="1" x="62"/>
        <item m="1" x="32"/>
        <item m="1" x="65"/>
        <item m="1" x="36"/>
        <item m="1" x="70"/>
        <item m="1" x="8"/>
        <item m="1" x="10"/>
        <item m="1" x="18"/>
        <item m="1" x="9"/>
        <item m="1" x="43"/>
        <item m="1" x="1"/>
        <item m="1" x="53"/>
        <item m="1" x="57"/>
        <item m="1" x="68"/>
        <item m="1" x="26"/>
        <item m="1" x="81"/>
        <item m="1" x="33"/>
        <item m="1" x="13"/>
        <item m="1" x="48"/>
        <item m="1" x="27"/>
        <item m="1" x="37"/>
        <item m="1" x="21"/>
        <item m="1" x="85"/>
        <item m="1" x="31"/>
        <item m="1" x="78"/>
        <item m="1" x="49"/>
        <item m="1" x="71"/>
        <item m="1" x="41"/>
        <item m="1" x="63"/>
        <item m="1" x="22"/>
        <item m="1" x="80"/>
        <item m="1" x="30"/>
        <item m="1" x="35"/>
        <item m="1" x="74"/>
        <item m="1" x="72"/>
        <item m="1" x="44"/>
        <item m="1" x="28"/>
        <item m="1" x="59"/>
        <item m="1" x="38"/>
        <item m="1" x="12"/>
        <item m="1" x="69"/>
        <item m="1" x="14"/>
        <item m="1" x="5"/>
        <item m="1" x="77"/>
        <item m="1" x="83"/>
        <item m="1" x="34"/>
        <item m="1" x="46"/>
        <item m="1" x="4"/>
        <item m="1" x="67"/>
        <item m="1" x="42"/>
        <item m="1" x="2"/>
        <item m="1" x="84"/>
        <item m="1" x="75"/>
        <item m="1" x="23"/>
        <item m="1" x="39"/>
        <item m="1" x="50"/>
        <item m="1" x="60"/>
        <item m="1" x="40"/>
        <item m="1" x="45"/>
        <item m="1" x="17"/>
        <item m="1" x="86"/>
        <item m="1" x="19"/>
        <item m="1" x="29"/>
        <item m="1" x="3"/>
        <item m="1" x="6"/>
        <item m="1" x="52"/>
        <item m="1" x="24"/>
        <item m="1" x="55"/>
        <item m="1" x="61"/>
        <item m="1" x="56"/>
        <item m="1" x="64"/>
        <item m="1" x="76"/>
        <item m="1" x="66"/>
        <item m="1" x="15"/>
        <item m="1" x="82"/>
        <item m="1" x="51"/>
        <item h="1" m="1" x="20"/>
        <item h="1" x="0"/>
        <item t="default"/>
      </items>
    </pivotField>
    <pivotField numFmtId="14" showAll="0"/>
    <pivotField axis="axisRow" numFmtId="14" showAll="0">
      <items count="2">
        <item x="0"/>
        <item t="default"/>
      </items>
    </pivotField>
    <pivotField showAll="0"/>
    <pivotField showAll="0"/>
    <pivotField showAll="0"/>
  </pivotFields>
  <rowFields count="1">
    <field x="14"/>
  </rowFields>
  <rowItems count="1">
    <i t="grand">
      <x/>
    </i>
  </rowItems>
  <colFields count="1">
    <field x="1"/>
  </colFields>
  <colItems count="1">
    <i t="grand">
      <x/>
    </i>
  </colItems>
  <pageFields count="1">
    <pageField fld="12" hier="-1"/>
  </pageFields>
  <dataFields count="1">
    <dataField name="# of transactions" fld="12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6ADD518-CE0E-466F-9AB1-946385C80047}" name="Table1" displayName="Table1" ref="A1:R2" totalsRowShown="0" dataDxfId="32">
  <autoFilter ref="A1:R2" xr:uid="{26ADD518-CE0E-466F-9AB1-946385C80047}"/>
  <tableColumns count="18">
    <tableColumn id="1" xr3:uid="{110C0CDA-43AB-4096-A2B8-2208010C7E4E}" name="Open Time" dataDxfId="12"/>
    <tableColumn id="2" xr3:uid="{A85AA8FA-EA85-4CD9-90EC-33EEC4B71098}" name="Type" dataDxfId="11"/>
    <tableColumn id="3" xr3:uid="{8756CDE7-6064-4AE6-BD0F-BC6BB33BF106}" name="Size" dataDxfId="10"/>
    <tableColumn id="4" xr3:uid="{5AD6394C-6C75-4AC5-B093-4AB78E81CA45}" name="Item" dataDxfId="9"/>
    <tableColumn id="5" xr3:uid="{50406B7A-8D23-4BAD-A642-16119053704F}" name="Price" dataDxfId="8"/>
    <tableColumn id="6" xr3:uid="{589FD625-5414-449A-B97B-4F90D0AD0AB6}" name="S / L" dataDxfId="7"/>
    <tableColumn id="7" xr3:uid="{F86D99BB-5815-40E1-B49E-354C0A9DA8DD}" name="T / P" dataDxfId="6"/>
    <tableColumn id="8" xr3:uid="{24DC054D-8351-4101-83C2-618290D9B196}" name="Close Time" dataDxfId="5"/>
    <tableColumn id="9" xr3:uid="{A729D4B0-E162-4222-9661-BFBBD9F8C859}" name="Price2" dataDxfId="4"/>
    <tableColumn id="10" xr3:uid="{860D7012-2854-439F-985A-19D9FAB1D82E}" name="Commission" dataDxfId="3"/>
    <tableColumn id="11" xr3:uid="{1B5EA6A2-7BED-4B1C-BC49-F7DAF6B615C7}" name="Taxes" dataDxfId="2"/>
    <tableColumn id="12" xr3:uid="{BAB24273-FBE7-4CD2-B874-EE615F403B2F}" name="Swap" dataDxfId="1"/>
    <tableColumn id="13" xr3:uid="{2159A30D-245F-4782-AB08-D956D0ADC869}" name="Profit" dataDxfId="0"/>
    <tableColumn id="14" xr3:uid="{A78B4D14-5B4A-4FB5-B84E-81CD2F77EB0C}" name="Open Date" dataDxfId="13">
      <calculatedColumnFormula xml:space="preserve"> DATE(LEFT(Table1[[#This Row],[Open Time]],4),MID(Table1[[#This Row],[Open Time]],6, 2), MID(Table1[[#This Row],[Open Time]],9,2))</calculatedColumnFormula>
    </tableColumn>
    <tableColumn id="15" xr3:uid="{C63DB054-46AD-492F-85F8-83791E55B6A4}" name="Close Date" dataDxfId="17">
      <calculatedColumnFormula xml:space="preserve"> IFERROR(DATE(LEFT(Table1[[#This Row],[Close Time]],4),MID(Table1[[#This Row],[Close Time]],6, 2), MID(Table1[[#This Row],[Close Time]],9,2)), Table1[[#This Row],[Open Date]])</calculatedColumnFormula>
    </tableColumn>
    <tableColumn id="16" xr3:uid="{53D22F13-BF1B-458A-91AD-D77A81A84196}" name="Final_Price_SL" dataDxfId="16">
      <calculatedColumnFormula xml:space="preserve"> IFERROR(Table1[[#This Row],[Price2]]-Table1[[#This Row],[S / L]], 0)</calculatedColumnFormula>
    </tableColumn>
    <tableColumn id="17" xr3:uid="{D96607F4-FC64-4B7F-8437-EA604C341FE8}" name="Final_Price_TP" dataDxfId="15">
      <calculatedColumnFormula xml:space="preserve"> IFERROR(Table1[[#This Row],[Price2]]-Table1[[#This Row],[T / P]], 0)</calculatedColumnFormula>
    </tableColumn>
    <tableColumn id="18" xr3:uid="{D44E0617-4953-4DC4-9FB5-FCDC55BA9022}" name="Is_Crypto?" dataDxfId="14">
      <calculatedColumnFormula xml:space="preserve"> NOT(ISERROR(VLOOKUP(UPPER(Table1[[#This Row],[Item]]), Crypto_Pairs[Crypto], 0, FALSE)))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E36101-9E1E-4194-B868-0777FAC13EE3}" name="Table2" displayName="Table2" ref="A3:C8" totalsRowShown="0" headerRowDxfId="31" dataDxfId="30">
  <autoFilter ref="A3:C8" xr:uid="{8DE36101-9E1E-4194-B868-0777FAC13EE3}"/>
  <tableColumns count="3">
    <tableColumn id="1" xr3:uid="{B5448946-E89D-4449-A269-8EF8B7209DFB}" name="Transaction Type" dataDxfId="29"/>
    <tableColumn id="2" xr3:uid="{C8301203-9ED4-4BD6-9E9A-8B6189F72806}" name="# of transactions" dataDxfId="28"/>
    <tableColumn id="3" xr3:uid="{7F8DFDC3-2B15-44FC-AAFA-4D3812A4E8A2}" name="Total P/L" dataDxfId="2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E10949-DA91-49E9-A04E-736231AD308B}" name="Table3" displayName="Table3" ref="A11:C19" totalsRowShown="0" headerRowDxfId="26" dataDxfId="25">
  <autoFilter ref="A11:C19" xr:uid="{B9E10949-DA91-49E9-A04E-736231AD308B}"/>
  <tableColumns count="3">
    <tableColumn id="1" xr3:uid="{B935A5EA-AAB6-4DA8-BB56-CE19054ED482}" name="Profit type" dataDxfId="24"/>
    <tableColumn id="2" xr3:uid="{D497555C-C6D2-42A1-8E54-D3BEC31327E7}" name="# of transactions" dataDxfId="23"/>
    <tableColumn id="3" xr3:uid="{51E64E6B-B907-4413-A9EB-347FDB04CED0}" name="Total P/L" dataDxfId="2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BA2C7E-4302-45CB-BF49-6858DD5A81CB}" name="Table4" displayName="Table4" ref="E3:F7" totalsRowShown="0" headerRowDxfId="21" dataDxfId="20">
  <autoFilter ref="E3:F7" xr:uid="{09BA2C7E-4302-45CB-BF49-6858DD5A81CB}"/>
  <tableColumns count="2">
    <tableColumn id="1" xr3:uid="{969005FB-6071-47D4-8142-4FDFBF1693E3}" name="Metric" dataDxfId="19"/>
    <tableColumn id="2" xr3:uid="{12AF2D65-3071-479A-A3E0-70D42DB1AC7E}" name="Value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E7DFA2E-283C-42AD-991A-9ECFBD194947}" name="Table5" displayName="Table5" ref="A3:B6" totalsRowShown="0">
  <autoFilter ref="A3:B6" xr:uid="{5E7DFA2E-283C-42AD-991A-9ECFBD194947}"/>
  <tableColumns count="2">
    <tableColumn id="1" xr3:uid="{4BEC5468-9999-4AFE-88FD-24570A54A7A5}" name="Parameter"/>
    <tableColumn id="2" xr3:uid="{99C1B5CF-56E9-4F98-ADA7-EDD5471CB0F2}" name="Percentag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4C9503-3ED9-4092-AA64-B2A750266C0F}" name="Table6" displayName="Table6" ref="A10:I13" totalsRowShown="0">
  <autoFilter ref="A10:I13" xr:uid="{C34C9503-3ED9-4092-AA64-B2A750266C0F}"/>
  <tableColumns count="9">
    <tableColumn id="1" xr3:uid="{8747FEB4-981A-4AD1-936C-1B0C14172A5E}" name="Metric"/>
    <tableColumn id="2" xr3:uid="{BDE4D22D-14FA-400B-AE4F-12397EA6A4E2}" name="Amount"/>
    <tableColumn id="3" xr3:uid="{8F315C0A-561D-4825-A5DA-EBC9AA57EDAF}" name="Start Amount"/>
    <tableColumn id="4" xr3:uid="{59DE1E43-2DEB-4FD9-9501-30E5F5EC788D}" name="End Amount"/>
    <tableColumn id="9" xr3:uid="{96BF9772-09AB-4706-8F48-3C0C68D73E69}" name="Commission"/>
    <tableColumn id="5" xr3:uid="{6FE18F09-C84F-4F77-B344-F662EB4BA74F}" name="Tax">
      <calculatedColumnFormula xml:space="preserve"> IF(D11&lt;C11, 0, B11*B3)</calculatedColumnFormula>
    </tableColumn>
    <tableColumn id="6" xr3:uid="{ED5EBDEE-EE16-4848-A963-23688C9DEDD6}" name="CAS Contribution">
      <calculatedColumnFormula xml:space="preserve"> IF(D11&lt;C11, 0, B11*B4)</calculatedColumnFormula>
    </tableColumn>
    <tableColumn id="7" xr3:uid="{8D32635E-5589-43BA-9CA4-6A3FE2285B30}" name="CASS Contribution">
      <calculatedColumnFormula xml:space="preserve"> IF(D11&lt;C11, 0, B11*B5)</calculatedColumnFormula>
    </tableColumn>
    <tableColumn id="8" xr3:uid="{527DCC77-E4F6-42AB-B395-8D5B36D49DD1}" name="Loss (if applicable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39A799C-BB79-44CF-B483-4E1DB38B34BB}" name="Crypto_Pairs" displayName="Crypto_Pairs" ref="A3:A14" totalsRowShown="0">
  <autoFilter ref="A3:A14" xr:uid="{939A799C-BB79-44CF-B483-4E1DB38B34BB}"/>
  <tableColumns count="1">
    <tableColumn id="1" xr3:uid="{036E7E19-DF3B-478D-8731-6ADD821AA371}" name="Cryp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54504-F92E-418F-871B-C2F9C96DD0B4}">
  <dimension ref="A1:U184"/>
  <sheetViews>
    <sheetView workbookViewId="0">
      <selection activeCell="F10" sqref="F10"/>
    </sheetView>
  </sheetViews>
  <sheetFormatPr defaultRowHeight="14.4" x14ac:dyDescent="0.3"/>
  <cols>
    <col min="2" max="2" width="8.88671875" style="1"/>
    <col min="7" max="7" width="11.88671875" customWidth="1"/>
    <col min="9" max="9" width="13.109375" customWidth="1"/>
    <col min="13" max="13" width="9.5546875" style="14" bestFit="1" customWidth="1"/>
    <col min="14" max="15" width="10.33203125" style="10" bestFit="1" customWidth="1"/>
    <col min="16" max="18" width="8.88671875" style="9"/>
  </cols>
  <sheetData>
    <row r="1" spans="1:21" x14ac:dyDescent="0.3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15</v>
      </c>
      <c r="J1" t="s">
        <v>8</v>
      </c>
      <c r="K1" t="s">
        <v>9</v>
      </c>
      <c r="L1" t="s">
        <v>10</v>
      </c>
      <c r="M1" s="14" t="s">
        <v>11</v>
      </c>
      <c r="N1" s="10" t="s">
        <v>16</v>
      </c>
      <c r="O1" s="10" t="s">
        <v>17</v>
      </c>
      <c r="P1" s="9" t="s">
        <v>18</v>
      </c>
      <c r="Q1" s="9" t="s">
        <v>19</v>
      </c>
      <c r="R1" s="9" t="s">
        <v>72</v>
      </c>
    </row>
    <row r="2" spans="1:21" x14ac:dyDescent="0.3">
      <c r="B2"/>
      <c r="M2"/>
      <c r="N2" s="11" t="e">
        <f xml:space="preserve"> DATE(LEFT(Table1[[#This Row],[Open Time]],4),MID(Table1[[#This Row],[Open Time]],6, 2), MID(Table1[[#This Row],[Open Time]],9,2))</f>
        <v>#VALUE!</v>
      </c>
      <c r="O2" s="11" t="e">
        <f xml:space="preserve"> IFERROR(DATE(LEFT(Table1[[#This Row],[Close Time]],4),MID(Table1[[#This Row],[Close Time]],6, 2), MID(Table1[[#This Row],[Close Time]],9,2)), Table1[[#This Row],[Open Date]])</f>
        <v>#VALUE!</v>
      </c>
      <c r="P2" s="4">
        <f xml:space="preserve"> IFERROR(Table1[[#This Row],[Price2]]-Table1[[#This Row],[S / L]], 0)</f>
        <v>0</v>
      </c>
      <c r="Q2" s="4">
        <f xml:space="preserve"> IFERROR(Table1[[#This Row],[Price2]]-Table1[[#This Row],[T / P]], 0)</f>
        <v>0</v>
      </c>
      <c r="R2" s="4" t="b">
        <f xml:space="preserve"> NOT(ISERROR(VLOOKUP(UPPER(Table1[[#This Row],[Item]]), Crypto_Pairs[Crypto], 0, FALSE)))</f>
        <v>0</v>
      </c>
    </row>
    <row r="3" spans="1:21" x14ac:dyDescent="0.3">
      <c r="B3"/>
      <c r="M3"/>
      <c r="T3" s="9"/>
      <c r="U3" t="s">
        <v>73</v>
      </c>
    </row>
    <row r="4" spans="1:21" x14ac:dyDescent="0.3">
      <c r="B4"/>
      <c r="M4"/>
    </row>
    <row r="5" spans="1:21" x14ac:dyDescent="0.3">
      <c r="B5"/>
      <c r="M5"/>
    </row>
    <row r="6" spans="1:21" x14ac:dyDescent="0.3">
      <c r="B6"/>
      <c r="M6"/>
    </row>
    <row r="7" spans="1:21" x14ac:dyDescent="0.3">
      <c r="B7"/>
      <c r="M7"/>
    </row>
    <row r="8" spans="1:21" x14ac:dyDescent="0.3">
      <c r="B8"/>
      <c r="M8"/>
    </row>
    <row r="9" spans="1:21" x14ac:dyDescent="0.3">
      <c r="B9"/>
      <c r="M9"/>
    </row>
    <row r="10" spans="1:21" x14ac:dyDescent="0.3">
      <c r="B10"/>
      <c r="M10"/>
    </row>
    <row r="11" spans="1:21" x14ac:dyDescent="0.3">
      <c r="B11"/>
      <c r="M11"/>
    </row>
    <row r="12" spans="1:21" x14ac:dyDescent="0.3">
      <c r="B12"/>
      <c r="M12"/>
    </row>
    <row r="13" spans="1:21" x14ac:dyDescent="0.3">
      <c r="B13"/>
      <c r="M13"/>
    </row>
    <row r="14" spans="1:21" x14ac:dyDescent="0.3">
      <c r="B14"/>
      <c r="M14"/>
    </row>
    <row r="15" spans="1:21" x14ac:dyDescent="0.3">
      <c r="B15"/>
      <c r="M15"/>
    </row>
    <row r="16" spans="1:21" x14ac:dyDescent="0.3">
      <c r="B16"/>
      <c r="M16"/>
    </row>
    <row r="17" spans="2:13" x14ac:dyDescent="0.3">
      <c r="B17"/>
      <c r="M17"/>
    </row>
    <row r="18" spans="2:13" x14ac:dyDescent="0.3">
      <c r="B18"/>
      <c r="M18"/>
    </row>
    <row r="19" spans="2:13" x14ac:dyDescent="0.3">
      <c r="B19"/>
      <c r="M19"/>
    </row>
    <row r="20" spans="2:13" x14ac:dyDescent="0.3">
      <c r="B20"/>
      <c r="M20"/>
    </row>
    <row r="21" spans="2:13" x14ac:dyDescent="0.3">
      <c r="B21"/>
      <c r="M21"/>
    </row>
    <row r="22" spans="2:13" x14ac:dyDescent="0.3">
      <c r="B22"/>
      <c r="M22"/>
    </row>
    <row r="23" spans="2:13" x14ac:dyDescent="0.3">
      <c r="B23"/>
      <c r="M23"/>
    </row>
    <row r="24" spans="2:13" x14ac:dyDescent="0.3">
      <c r="B24"/>
      <c r="M24"/>
    </row>
    <row r="25" spans="2:13" x14ac:dyDescent="0.3">
      <c r="B25"/>
      <c r="M25"/>
    </row>
    <row r="26" spans="2:13" x14ac:dyDescent="0.3">
      <c r="B26"/>
      <c r="M26"/>
    </row>
    <row r="27" spans="2:13" x14ac:dyDescent="0.3">
      <c r="B27"/>
      <c r="M27"/>
    </row>
    <row r="28" spans="2:13" x14ac:dyDescent="0.3">
      <c r="B28"/>
      <c r="M28"/>
    </row>
    <row r="29" spans="2:13" x14ac:dyDescent="0.3">
      <c r="B29"/>
      <c r="M29"/>
    </row>
    <row r="30" spans="2:13" x14ac:dyDescent="0.3">
      <c r="B30"/>
      <c r="M30"/>
    </row>
    <row r="31" spans="2:13" x14ac:dyDescent="0.3">
      <c r="B31"/>
      <c r="M31"/>
    </row>
    <row r="32" spans="2:13" x14ac:dyDescent="0.3">
      <c r="B32"/>
      <c r="M32"/>
    </row>
    <row r="33" spans="2:13" x14ac:dyDescent="0.3">
      <c r="B33"/>
      <c r="M33"/>
    </row>
    <row r="34" spans="2:13" x14ac:dyDescent="0.3">
      <c r="B34"/>
      <c r="M34"/>
    </row>
    <row r="35" spans="2:13" x14ac:dyDescent="0.3">
      <c r="B35"/>
      <c r="M35"/>
    </row>
    <row r="36" spans="2:13" x14ac:dyDescent="0.3">
      <c r="B36"/>
      <c r="M36"/>
    </row>
    <row r="37" spans="2:13" x14ac:dyDescent="0.3">
      <c r="B37"/>
      <c r="M37"/>
    </row>
    <row r="38" spans="2:13" x14ac:dyDescent="0.3">
      <c r="B38"/>
      <c r="M38"/>
    </row>
    <row r="39" spans="2:13" x14ac:dyDescent="0.3">
      <c r="B39"/>
      <c r="M39"/>
    </row>
    <row r="40" spans="2:13" x14ac:dyDescent="0.3">
      <c r="B40"/>
      <c r="M40"/>
    </row>
    <row r="41" spans="2:13" x14ac:dyDescent="0.3">
      <c r="B41"/>
      <c r="M41"/>
    </row>
    <row r="42" spans="2:13" x14ac:dyDescent="0.3">
      <c r="B42"/>
      <c r="M42"/>
    </row>
    <row r="43" spans="2:13" x14ac:dyDescent="0.3">
      <c r="B43"/>
      <c r="M43"/>
    </row>
    <row r="44" spans="2:13" x14ac:dyDescent="0.3">
      <c r="B44"/>
      <c r="M44"/>
    </row>
    <row r="45" spans="2:13" x14ac:dyDescent="0.3">
      <c r="B45"/>
      <c r="M45"/>
    </row>
    <row r="46" spans="2:13" x14ac:dyDescent="0.3">
      <c r="B46"/>
      <c r="M46"/>
    </row>
    <row r="47" spans="2:13" x14ac:dyDescent="0.3">
      <c r="B47"/>
      <c r="M47"/>
    </row>
    <row r="48" spans="2:13" x14ac:dyDescent="0.3">
      <c r="B48"/>
      <c r="M48"/>
    </row>
    <row r="49" spans="2:13" x14ac:dyDescent="0.3">
      <c r="B49"/>
      <c r="M49"/>
    </row>
    <row r="50" spans="2:13" x14ac:dyDescent="0.3">
      <c r="B50"/>
      <c r="M50"/>
    </row>
    <row r="51" spans="2:13" x14ac:dyDescent="0.3">
      <c r="B51"/>
      <c r="M51"/>
    </row>
    <row r="52" spans="2:13" x14ac:dyDescent="0.3">
      <c r="B52"/>
      <c r="M52"/>
    </row>
    <row r="53" spans="2:13" x14ac:dyDescent="0.3">
      <c r="B53"/>
      <c r="M53"/>
    </row>
    <row r="54" spans="2:13" x14ac:dyDescent="0.3">
      <c r="B54"/>
      <c r="M54"/>
    </row>
    <row r="55" spans="2:13" x14ac:dyDescent="0.3">
      <c r="B55"/>
      <c r="M55"/>
    </row>
    <row r="56" spans="2:13" x14ac:dyDescent="0.3">
      <c r="B56"/>
      <c r="M56"/>
    </row>
    <row r="57" spans="2:13" x14ac:dyDescent="0.3">
      <c r="B57"/>
      <c r="M57"/>
    </row>
    <row r="58" spans="2:13" x14ac:dyDescent="0.3">
      <c r="B58"/>
      <c r="M58"/>
    </row>
    <row r="59" spans="2:13" x14ac:dyDescent="0.3">
      <c r="B59"/>
      <c r="M59"/>
    </row>
    <row r="60" spans="2:13" x14ac:dyDescent="0.3">
      <c r="B60"/>
      <c r="M60"/>
    </row>
    <row r="61" spans="2:13" x14ac:dyDescent="0.3">
      <c r="B61"/>
      <c r="M61"/>
    </row>
    <row r="62" spans="2:13" x14ac:dyDescent="0.3">
      <c r="B62"/>
      <c r="M62"/>
    </row>
    <row r="63" spans="2:13" x14ac:dyDescent="0.3">
      <c r="B63"/>
      <c r="M63"/>
    </row>
    <row r="64" spans="2:13" x14ac:dyDescent="0.3">
      <c r="B64"/>
      <c r="M64"/>
    </row>
    <row r="65" spans="2:13" x14ac:dyDescent="0.3">
      <c r="B65"/>
      <c r="M65"/>
    </row>
    <row r="66" spans="2:13" x14ac:dyDescent="0.3">
      <c r="B66"/>
      <c r="M66"/>
    </row>
    <row r="67" spans="2:13" x14ac:dyDescent="0.3">
      <c r="B67"/>
      <c r="M67"/>
    </row>
    <row r="68" spans="2:13" x14ac:dyDescent="0.3">
      <c r="B68"/>
      <c r="M68"/>
    </row>
    <row r="69" spans="2:13" x14ac:dyDescent="0.3">
      <c r="B69"/>
      <c r="M69"/>
    </row>
    <row r="70" spans="2:13" x14ac:dyDescent="0.3">
      <c r="B70"/>
      <c r="M70"/>
    </row>
    <row r="71" spans="2:13" x14ac:dyDescent="0.3">
      <c r="B71"/>
      <c r="M71"/>
    </row>
    <row r="72" spans="2:13" x14ac:dyDescent="0.3">
      <c r="B72"/>
      <c r="M72"/>
    </row>
    <row r="73" spans="2:13" x14ac:dyDescent="0.3">
      <c r="B73"/>
      <c r="M73"/>
    </row>
    <row r="74" spans="2:13" x14ac:dyDescent="0.3">
      <c r="B74"/>
      <c r="M74"/>
    </row>
    <row r="75" spans="2:13" x14ac:dyDescent="0.3">
      <c r="B75"/>
      <c r="M75"/>
    </row>
    <row r="76" spans="2:13" x14ac:dyDescent="0.3">
      <c r="B76"/>
      <c r="M76"/>
    </row>
    <row r="77" spans="2:13" x14ac:dyDescent="0.3">
      <c r="B77"/>
      <c r="M77"/>
    </row>
    <row r="78" spans="2:13" x14ac:dyDescent="0.3">
      <c r="B78"/>
      <c r="M78"/>
    </row>
    <row r="79" spans="2:13" x14ac:dyDescent="0.3">
      <c r="B79"/>
      <c r="M79"/>
    </row>
    <row r="80" spans="2:13" x14ac:dyDescent="0.3">
      <c r="B80"/>
      <c r="M80"/>
    </row>
    <row r="81" spans="2:13" x14ac:dyDescent="0.3">
      <c r="B81"/>
      <c r="M81"/>
    </row>
    <row r="82" spans="2:13" x14ac:dyDescent="0.3">
      <c r="B82"/>
      <c r="M82"/>
    </row>
    <row r="83" spans="2:13" x14ac:dyDescent="0.3">
      <c r="B83"/>
      <c r="M83"/>
    </row>
    <row r="84" spans="2:13" x14ac:dyDescent="0.3">
      <c r="B84"/>
      <c r="M84"/>
    </row>
    <row r="85" spans="2:13" x14ac:dyDescent="0.3">
      <c r="B85"/>
      <c r="M85"/>
    </row>
    <row r="86" spans="2:13" x14ac:dyDescent="0.3">
      <c r="B86"/>
      <c r="M86"/>
    </row>
    <row r="87" spans="2:13" x14ac:dyDescent="0.3">
      <c r="B87"/>
      <c r="M87"/>
    </row>
    <row r="88" spans="2:13" x14ac:dyDescent="0.3">
      <c r="B88"/>
      <c r="M88"/>
    </row>
    <row r="89" spans="2:13" x14ac:dyDescent="0.3">
      <c r="B89"/>
      <c r="M89"/>
    </row>
    <row r="90" spans="2:13" x14ac:dyDescent="0.3">
      <c r="B90"/>
      <c r="M90"/>
    </row>
    <row r="91" spans="2:13" x14ac:dyDescent="0.3">
      <c r="B91"/>
      <c r="M91"/>
    </row>
    <row r="92" spans="2:13" x14ac:dyDescent="0.3">
      <c r="B92"/>
      <c r="M92"/>
    </row>
    <row r="93" spans="2:13" x14ac:dyDescent="0.3">
      <c r="B93"/>
      <c r="M93"/>
    </row>
    <row r="94" spans="2:13" x14ac:dyDescent="0.3">
      <c r="B94"/>
      <c r="M94"/>
    </row>
    <row r="95" spans="2:13" x14ac:dyDescent="0.3">
      <c r="B95"/>
      <c r="M95"/>
    </row>
    <row r="96" spans="2:13" x14ac:dyDescent="0.3">
      <c r="B96"/>
      <c r="M96"/>
    </row>
    <row r="97" spans="2:13" x14ac:dyDescent="0.3">
      <c r="B97"/>
      <c r="M97"/>
    </row>
    <row r="98" spans="2:13" x14ac:dyDescent="0.3">
      <c r="B98"/>
      <c r="M98"/>
    </row>
    <row r="99" spans="2:13" x14ac:dyDescent="0.3">
      <c r="B99"/>
      <c r="M99"/>
    </row>
    <row r="100" spans="2:13" x14ac:dyDescent="0.3">
      <c r="B100"/>
      <c r="M100"/>
    </row>
    <row r="101" spans="2:13" x14ac:dyDescent="0.3">
      <c r="B101"/>
      <c r="M101"/>
    </row>
    <row r="102" spans="2:13" x14ac:dyDescent="0.3">
      <c r="B102"/>
      <c r="M102"/>
    </row>
    <row r="103" spans="2:13" x14ac:dyDescent="0.3">
      <c r="B103"/>
      <c r="M103"/>
    </row>
    <row r="104" spans="2:13" x14ac:dyDescent="0.3">
      <c r="B104"/>
      <c r="M104"/>
    </row>
    <row r="105" spans="2:13" x14ac:dyDescent="0.3">
      <c r="B105"/>
      <c r="M105"/>
    </row>
    <row r="106" spans="2:13" x14ac:dyDescent="0.3">
      <c r="B106"/>
      <c r="M106"/>
    </row>
    <row r="107" spans="2:13" x14ac:dyDescent="0.3">
      <c r="B107"/>
      <c r="M107"/>
    </row>
    <row r="108" spans="2:13" x14ac:dyDescent="0.3">
      <c r="B108"/>
      <c r="M108"/>
    </row>
    <row r="109" spans="2:13" x14ac:dyDescent="0.3">
      <c r="B109"/>
      <c r="M109"/>
    </row>
    <row r="110" spans="2:13" x14ac:dyDescent="0.3">
      <c r="B110"/>
      <c r="M110"/>
    </row>
    <row r="111" spans="2:13" x14ac:dyDescent="0.3">
      <c r="B111"/>
      <c r="M111"/>
    </row>
    <row r="112" spans="2:13" x14ac:dyDescent="0.3">
      <c r="B112"/>
      <c r="M112"/>
    </row>
    <row r="113" spans="2:13" x14ac:dyDescent="0.3">
      <c r="B113"/>
      <c r="M113"/>
    </row>
    <row r="114" spans="2:13" x14ac:dyDescent="0.3">
      <c r="B114"/>
      <c r="M114"/>
    </row>
    <row r="115" spans="2:13" x14ac:dyDescent="0.3">
      <c r="B115"/>
      <c r="M115"/>
    </row>
    <row r="116" spans="2:13" x14ac:dyDescent="0.3">
      <c r="B116"/>
      <c r="M116"/>
    </row>
    <row r="117" spans="2:13" x14ac:dyDescent="0.3">
      <c r="B117"/>
      <c r="M117"/>
    </row>
    <row r="118" spans="2:13" x14ac:dyDescent="0.3">
      <c r="B118"/>
      <c r="M118"/>
    </row>
    <row r="119" spans="2:13" x14ac:dyDescent="0.3">
      <c r="B119"/>
      <c r="M119"/>
    </row>
    <row r="120" spans="2:13" x14ac:dyDescent="0.3">
      <c r="B120"/>
      <c r="M120"/>
    </row>
    <row r="121" spans="2:13" x14ac:dyDescent="0.3">
      <c r="B121"/>
      <c r="M121"/>
    </row>
    <row r="122" spans="2:13" x14ac:dyDescent="0.3">
      <c r="B122"/>
      <c r="M122"/>
    </row>
    <row r="123" spans="2:13" x14ac:dyDescent="0.3">
      <c r="B123"/>
      <c r="M123"/>
    </row>
    <row r="124" spans="2:13" x14ac:dyDescent="0.3">
      <c r="B124"/>
      <c r="M124"/>
    </row>
    <row r="125" spans="2:13" x14ac:dyDescent="0.3">
      <c r="B125"/>
      <c r="M125"/>
    </row>
    <row r="126" spans="2:13" x14ac:dyDescent="0.3">
      <c r="B126"/>
      <c r="M126"/>
    </row>
    <row r="127" spans="2:13" x14ac:dyDescent="0.3">
      <c r="B127"/>
      <c r="M127"/>
    </row>
    <row r="128" spans="2:13" x14ac:dyDescent="0.3">
      <c r="B128"/>
      <c r="M128"/>
    </row>
    <row r="129" spans="2:13" x14ac:dyDescent="0.3">
      <c r="B129"/>
      <c r="M129"/>
    </row>
    <row r="130" spans="2:13" x14ac:dyDescent="0.3">
      <c r="B130"/>
      <c r="M130"/>
    </row>
    <row r="131" spans="2:13" x14ac:dyDescent="0.3">
      <c r="B131"/>
      <c r="M131"/>
    </row>
    <row r="132" spans="2:13" x14ac:dyDescent="0.3">
      <c r="B132"/>
      <c r="M132"/>
    </row>
    <row r="133" spans="2:13" x14ac:dyDescent="0.3">
      <c r="B133"/>
      <c r="M133"/>
    </row>
    <row r="134" spans="2:13" x14ac:dyDescent="0.3">
      <c r="B134"/>
      <c r="M134"/>
    </row>
    <row r="135" spans="2:13" x14ac:dyDescent="0.3">
      <c r="B135"/>
      <c r="M135"/>
    </row>
    <row r="136" spans="2:13" x14ac:dyDescent="0.3">
      <c r="B136"/>
      <c r="M136"/>
    </row>
    <row r="137" spans="2:13" x14ac:dyDescent="0.3">
      <c r="B137"/>
      <c r="M137"/>
    </row>
    <row r="138" spans="2:13" x14ac:dyDescent="0.3">
      <c r="B138"/>
      <c r="M138"/>
    </row>
    <row r="139" spans="2:13" x14ac:dyDescent="0.3">
      <c r="B139"/>
      <c r="M139"/>
    </row>
    <row r="140" spans="2:13" x14ac:dyDescent="0.3">
      <c r="B140"/>
      <c r="M140"/>
    </row>
    <row r="141" spans="2:13" x14ac:dyDescent="0.3">
      <c r="B141"/>
      <c r="M141"/>
    </row>
    <row r="142" spans="2:13" x14ac:dyDescent="0.3">
      <c r="B142"/>
      <c r="M142"/>
    </row>
    <row r="143" spans="2:13" x14ac:dyDescent="0.3">
      <c r="B143"/>
      <c r="M143"/>
    </row>
    <row r="144" spans="2:13" x14ac:dyDescent="0.3">
      <c r="B144"/>
      <c r="M144"/>
    </row>
    <row r="145" spans="2:13" x14ac:dyDescent="0.3">
      <c r="B145"/>
      <c r="M145"/>
    </row>
    <row r="146" spans="2:13" x14ac:dyDescent="0.3">
      <c r="B146"/>
      <c r="M146"/>
    </row>
    <row r="147" spans="2:13" x14ac:dyDescent="0.3">
      <c r="B147"/>
      <c r="M147"/>
    </row>
    <row r="148" spans="2:13" x14ac:dyDescent="0.3">
      <c r="B148"/>
      <c r="M148"/>
    </row>
    <row r="149" spans="2:13" x14ac:dyDescent="0.3">
      <c r="B149"/>
      <c r="M149"/>
    </row>
    <row r="150" spans="2:13" x14ac:dyDescent="0.3">
      <c r="B150"/>
      <c r="M150"/>
    </row>
    <row r="151" spans="2:13" x14ac:dyDescent="0.3">
      <c r="B151"/>
      <c r="M151"/>
    </row>
    <row r="152" spans="2:13" x14ac:dyDescent="0.3">
      <c r="B152"/>
      <c r="M152"/>
    </row>
    <row r="153" spans="2:13" x14ac:dyDescent="0.3">
      <c r="B153"/>
      <c r="M153"/>
    </row>
    <row r="154" spans="2:13" x14ac:dyDescent="0.3">
      <c r="B154"/>
      <c r="M154"/>
    </row>
    <row r="155" spans="2:13" x14ac:dyDescent="0.3">
      <c r="B155"/>
      <c r="M155"/>
    </row>
    <row r="156" spans="2:13" x14ac:dyDescent="0.3">
      <c r="B156"/>
      <c r="M156"/>
    </row>
    <row r="157" spans="2:13" x14ac:dyDescent="0.3">
      <c r="B157"/>
      <c r="M157"/>
    </row>
    <row r="158" spans="2:13" x14ac:dyDescent="0.3">
      <c r="B158"/>
      <c r="M158"/>
    </row>
    <row r="159" spans="2:13" x14ac:dyDescent="0.3">
      <c r="B159"/>
      <c r="M159"/>
    </row>
    <row r="160" spans="2:13" x14ac:dyDescent="0.3">
      <c r="B160"/>
      <c r="M160"/>
    </row>
    <row r="161" spans="2:13" x14ac:dyDescent="0.3">
      <c r="B161"/>
      <c r="M161"/>
    </row>
    <row r="162" spans="2:13" x14ac:dyDescent="0.3">
      <c r="B162"/>
      <c r="M162"/>
    </row>
    <row r="163" spans="2:13" x14ac:dyDescent="0.3">
      <c r="B163"/>
      <c r="M163"/>
    </row>
    <row r="164" spans="2:13" x14ac:dyDescent="0.3">
      <c r="B164"/>
      <c r="M164"/>
    </row>
    <row r="165" spans="2:13" x14ac:dyDescent="0.3">
      <c r="B165"/>
      <c r="M165"/>
    </row>
    <row r="166" spans="2:13" x14ac:dyDescent="0.3">
      <c r="B166"/>
      <c r="M166"/>
    </row>
    <row r="167" spans="2:13" x14ac:dyDescent="0.3">
      <c r="B167"/>
      <c r="M167"/>
    </row>
    <row r="168" spans="2:13" x14ac:dyDescent="0.3">
      <c r="B168"/>
      <c r="M168"/>
    </row>
    <row r="169" spans="2:13" x14ac:dyDescent="0.3">
      <c r="B169"/>
      <c r="M169"/>
    </row>
    <row r="170" spans="2:13" x14ac:dyDescent="0.3">
      <c r="B170"/>
      <c r="M170"/>
    </row>
    <row r="171" spans="2:13" x14ac:dyDescent="0.3">
      <c r="B171"/>
      <c r="M171"/>
    </row>
    <row r="172" spans="2:13" x14ac:dyDescent="0.3">
      <c r="B172"/>
      <c r="M172"/>
    </row>
    <row r="173" spans="2:13" x14ac:dyDescent="0.3">
      <c r="B173"/>
      <c r="M173"/>
    </row>
    <row r="174" spans="2:13" x14ac:dyDescent="0.3">
      <c r="B174"/>
      <c r="M174"/>
    </row>
    <row r="175" spans="2:13" x14ac:dyDescent="0.3">
      <c r="B175"/>
      <c r="M175"/>
    </row>
    <row r="176" spans="2:13" x14ac:dyDescent="0.3">
      <c r="B176"/>
      <c r="M176"/>
    </row>
    <row r="177" spans="2:13" x14ac:dyDescent="0.3">
      <c r="B177"/>
      <c r="M177"/>
    </row>
    <row r="178" spans="2:13" x14ac:dyDescent="0.3">
      <c r="B178"/>
      <c r="M178"/>
    </row>
    <row r="179" spans="2:13" x14ac:dyDescent="0.3">
      <c r="B179"/>
      <c r="M179"/>
    </row>
    <row r="180" spans="2:13" x14ac:dyDescent="0.3">
      <c r="B180"/>
      <c r="M180"/>
    </row>
    <row r="181" spans="2:13" x14ac:dyDescent="0.3">
      <c r="B181"/>
      <c r="M181"/>
    </row>
    <row r="182" spans="2:13" x14ac:dyDescent="0.3">
      <c r="B182"/>
      <c r="M182"/>
    </row>
    <row r="183" spans="2:13" x14ac:dyDescent="0.3">
      <c r="B183"/>
      <c r="M183"/>
    </row>
    <row r="184" spans="2:13" x14ac:dyDescent="0.3">
      <c r="B184"/>
      <c r="M18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4A2DE-BFE2-4326-B151-BF6BD669D690}">
  <dimension ref="A1:B4"/>
  <sheetViews>
    <sheetView zoomScale="90" workbookViewId="0">
      <selection activeCell="B9" sqref="B9"/>
    </sheetView>
  </sheetViews>
  <sheetFormatPr defaultRowHeight="14.4" x14ac:dyDescent="0.3"/>
  <cols>
    <col min="1" max="1" width="13.44140625" bestFit="1" customWidth="1"/>
    <col min="2" max="2" width="17.5546875" bestFit="1" customWidth="1"/>
  </cols>
  <sheetData>
    <row r="1" spans="1:2" x14ac:dyDescent="0.3">
      <c r="A1" s="2" t="s">
        <v>1</v>
      </c>
      <c r="B1" t="s">
        <v>74</v>
      </c>
    </row>
    <row r="3" spans="1:2" x14ac:dyDescent="0.3">
      <c r="A3" s="2" t="s">
        <v>20</v>
      </c>
      <c r="B3" t="s">
        <v>22</v>
      </c>
    </row>
    <row r="4" spans="1:2" x14ac:dyDescent="0.3">
      <c r="A4" s="15" t="s">
        <v>21</v>
      </c>
      <c r="B4" s="16"/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DD5BC-6417-46DC-B550-3F8892D9D46A}">
  <dimension ref="A2:F19"/>
  <sheetViews>
    <sheetView workbookViewId="0">
      <selection activeCell="E24" sqref="E24"/>
    </sheetView>
  </sheetViews>
  <sheetFormatPr defaultRowHeight="14.4" x14ac:dyDescent="0.3"/>
  <cols>
    <col min="1" max="1" width="26" style="3" customWidth="1"/>
    <col min="2" max="2" width="21.88671875" style="3" customWidth="1"/>
    <col min="3" max="3" width="10.44140625" style="3" customWidth="1"/>
    <col min="4" max="4" width="8.88671875" style="3"/>
    <col min="5" max="5" width="17.5546875" style="3" customWidth="1"/>
    <col min="6" max="16384" width="8.88671875" style="3"/>
  </cols>
  <sheetData>
    <row r="2" spans="1:6" x14ac:dyDescent="0.3">
      <c r="A2" s="12" t="s">
        <v>23</v>
      </c>
      <c r="B2" s="12"/>
      <c r="C2" s="12"/>
      <c r="E2" s="3" t="s">
        <v>38</v>
      </c>
    </row>
    <row r="3" spans="1:6" x14ac:dyDescent="0.3">
      <c r="A3" s="3" t="s">
        <v>24</v>
      </c>
      <c r="B3" s="3" t="s">
        <v>25</v>
      </c>
      <c r="C3" s="3" t="s">
        <v>26</v>
      </c>
      <c r="E3" s="3" t="s">
        <v>40</v>
      </c>
      <c r="F3" s="3" t="s">
        <v>41</v>
      </c>
    </row>
    <row r="4" spans="1:6" x14ac:dyDescent="0.3">
      <c r="A4" s="3" t="s">
        <v>12</v>
      </c>
      <c r="B4" s="3">
        <f xml:space="preserve"> COUNTIF(Table1[Type], "buy")</f>
        <v>0</v>
      </c>
      <c r="C4" s="3">
        <f xml:space="preserve"> SUMIF(Table1[Type], Table2[[#This Row],[Transaction Type]], Table1[Profit])</f>
        <v>0</v>
      </c>
      <c r="E4" s="3" t="s">
        <v>39</v>
      </c>
      <c r="F4" s="3">
        <f xml:space="preserve"> COUNTIFS(Table1[Type], "balance")</f>
        <v>0</v>
      </c>
    </row>
    <row r="5" spans="1:6" x14ac:dyDescent="0.3">
      <c r="A5" s="3" t="s">
        <v>13</v>
      </c>
      <c r="B5" s="3">
        <f xml:space="preserve"> COUNTIF(Table1[Type],  "sell")</f>
        <v>0</v>
      </c>
      <c r="C5" s="3">
        <f xml:space="preserve"> SUMIF(Table1[Type], Table2[[#This Row],[Transaction Type]], Table1[Profit])</f>
        <v>0</v>
      </c>
      <c r="E5" s="3" t="s">
        <v>44</v>
      </c>
      <c r="F5" s="3">
        <f xml:space="preserve"> SUMIFS(Table1[Profit], Table1[Type], "balance")</f>
        <v>0</v>
      </c>
    </row>
    <row r="6" spans="1:6" x14ac:dyDescent="0.3">
      <c r="A6" s="3" t="s">
        <v>14</v>
      </c>
      <c r="B6" s="3">
        <f xml:space="preserve"> COUNTIF(Table1[Profit],  "cancelled")</f>
        <v>0</v>
      </c>
      <c r="C6" s="4"/>
      <c r="E6" s="3" t="s">
        <v>42</v>
      </c>
      <c r="F6" s="3">
        <f xml:space="preserve"> COUNTIFS(Table1[Type], "withdrawal")</f>
        <v>0</v>
      </c>
    </row>
    <row r="7" spans="1:6" x14ac:dyDescent="0.3">
      <c r="A7" s="3" t="s">
        <v>36</v>
      </c>
      <c r="B7" s="3">
        <f xml:space="preserve"> SUM(B4:B6)</f>
        <v>0</v>
      </c>
      <c r="C7" s="4"/>
      <c r="E7" s="3" t="s">
        <v>43</v>
      </c>
      <c r="F7" s="3">
        <f xml:space="preserve"> SUMIFS(Table1[Profit], Table1[Type], "withdrawal")</f>
        <v>0</v>
      </c>
    </row>
    <row r="8" spans="1:6" x14ac:dyDescent="0.3">
      <c r="A8" s="3" t="s">
        <v>37</v>
      </c>
      <c r="B8" s="3">
        <f xml:space="preserve"> B4+B5</f>
        <v>0</v>
      </c>
      <c r="C8" s="5">
        <f xml:space="preserve"> SUM(C4:C5)</f>
        <v>0</v>
      </c>
    </row>
    <row r="10" spans="1:6" x14ac:dyDescent="0.3">
      <c r="A10" s="12" t="s">
        <v>27</v>
      </c>
      <c r="B10" s="12"/>
      <c r="C10" s="12"/>
    </row>
    <row r="11" spans="1:6" x14ac:dyDescent="0.3">
      <c r="A11" s="3" t="s">
        <v>28</v>
      </c>
      <c r="B11" s="3" t="s">
        <v>25</v>
      </c>
      <c r="C11" s="3" t="s">
        <v>26</v>
      </c>
    </row>
    <row r="12" spans="1:6" x14ac:dyDescent="0.3">
      <c r="A12" s="3" t="s">
        <v>29</v>
      </c>
      <c r="B12" s="3">
        <f xml:space="preserve"> COUNTIFS(Table1[Profit], "&gt; 0",  Table1[Final_Price_TP], "=0", Table1[Type], "&lt;&gt;balance")</f>
        <v>0</v>
      </c>
      <c r="C12" s="3">
        <f xml:space="preserve"> SUMIFS(Table1[Profit],Table1[Profit], "&gt; 0",  Table1[Final_Price_TP], "=0", Table1[Type], "&lt;&gt;balance")</f>
        <v>0</v>
      </c>
    </row>
    <row r="13" spans="1:6" x14ac:dyDescent="0.3">
      <c r="A13" s="3" t="s">
        <v>30</v>
      </c>
      <c r="B13" s="3">
        <f xml:space="preserve"> COUNTIFS(Table1[Profit], "&lt; 0",  Table1[Final_Price_SL], "=0", Table1[Type], "&lt;&gt;balance")</f>
        <v>0</v>
      </c>
      <c r="C13" s="3">
        <f xml:space="preserve"> SUMIFS(Table1[Profit],Table1[Profit], "&lt; 0",  Table1[Final_Price_SL], "=0", Table1[Type], "&lt;&gt;balance")</f>
        <v>0</v>
      </c>
    </row>
    <row r="14" spans="1:6" x14ac:dyDescent="0.3">
      <c r="A14" s="3" t="s">
        <v>31</v>
      </c>
      <c r="B14" s="3">
        <f xml:space="preserve"> COUNTIFS(Table1[Profit], "&gt;= 0",  Table1[Final_Price_SL], "=0", Table1[Type], "&lt;&gt;balance")</f>
        <v>0</v>
      </c>
      <c r="C14" s="3">
        <f xml:space="preserve"> SUMIFS(Table1[Profit],Table1[Profit], "&gt;= 0",  Table1[Final_Price_SL], "=0", Table1[Type], "&lt;&gt;balance")</f>
        <v>0</v>
      </c>
    </row>
    <row r="15" spans="1:6" x14ac:dyDescent="0.3">
      <c r="A15" s="3" t="s">
        <v>32</v>
      </c>
      <c r="B15" s="3">
        <f xml:space="preserve"> COUNTIFS(Table1[Final_Price_SL], "&lt;&gt;0", Table1[Final_Price_TP], "&lt;&gt;0", Table1[Type], "&lt;&gt;balance")</f>
        <v>0</v>
      </c>
      <c r="C15" s="3">
        <f xml:space="preserve"> SUMIFS(Table1[Profit], Table1[Final_Price_SL], "&lt;&gt;0", Table1[Final_Price_TP], "&lt;&gt;0", Table1[Type], "&lt;&gt;balance")</f>
        <v>0</v>
      </c>
    </row>
    <row r="16" spans="1:6" x14ac:dyDescent="0.3">
      <c r="A16" s="3" t="s">
        <v>33</v>
      </c>
      <c r="B16" s="3">
        <f xml:space="preserve"> COUNTIFS(Table1[Profit], "&gt;= 0", Table1[Final_Price_SL], "&lt;&gt;0", Table1[Final_Price_TP], "&lt;&gt;0", Table1[Type], "&lt;&gt;balance")</f>
        <v>0</v>
      </c>
      <c r="C16" s="3">
        <f xml:space="preserve"> SUMIFS(Table1[Profit], Table1[Profit], "&gt;= 0", Table1[Final_Price_SL], "&lt;&gt;0", Table1[Final_Price_TP], "&lt;&gt;0", Table1[Type], "&lt;&gt;balance")</f>
        <v>0</v>
      </c>
    </row>
    <row r="17" spans="1:3" x14ac:dyDescent="0.3">
      <c r="A17" s="3" t="s">
        <v>34</v>
      </c>
      <c r="B17" s="3">
        <f xml:space="preserve"> COUNTIFS(Table1[Profit], "&lt; 0", Table1[Final_Price_SL], "&lt;&gt;0", Table1[Final_Price_TP], "&lt;&gt;0", Table1[Type], "&lt;&gt;balance")</f>
        <v>0</v>
      </c>
      <c r="C17" s="3">
        <f xml:space="preserve"> SUMIFS(Table1[Profit], Table1[Profit], "&lt; 0", Table1[Final_Price_SL], "&lt;&gt;0", Table1[Final_Price_TP], "&lt;&gt;0", Table1[Type], "&lt;&gt;balance")</f>
        <v>0</v>
      </c>
    </row>
    <row r="18" spans="1:3" x14ac:dyDescent="0.3">
      <c r="A18" s="3" t="s">
        <v>76</v>
      </c>
      <c r="B18" s="3">
        <f xml:space="preserve"> B12+B14+B16</f>
        <v>0</v>
      </c>
      <c r="C18" s="7">
        <f xml:space="preserve"> C12+C14+C16</f>
        <v>0</v>
      </c>
    </row>
    <row r="19" spans="1:3" x14ac:dyDescent="0.3">
      <c r="A19" s="3" t="s">
        <v>77</v>
      </c>
      <c r="B19" s="3">
        <f xml:space="preserve"> B13+B17</f>
        <v>0</v>
      </c>
      <c r="C19" s="6">
        <f xml:space="preserve"> C13+C17</f>
        <v>0</v>
      </c>
    </row>
  </sheetData>
  <mergeCells count="2">
    <mergeCell ref="A2:C2"/>
    <mergeCell ref="A10:C10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97591-5DA0-4F48-B7AB-BEF2B921E4E4}">
  <dimension ref="A1:B5"/>
  <sheetViews>
    <sheetView workbookViewId="0">
      <selection activeCell="G26" sqref="G26"/>
    </sheetView>
  </sheetViews>
  <sheetFormatPr defaultRowHeight="14.4" x14ac:dyDescent="0.3"/>
  <cols>
    <col min="1" max="1" width="12.5546875" bestFit="1" customWidth="1"/>
    <col min="2" max="2" width="16.109375" bestFit="1" customWidth="1"/>
  </cols>
  <sheetData>
    <row r="1" spans="1:2" x14ac:dyDescent="0.3">
      <c r="A1" s="2" t="s">
        <v>11</v>
      </c>
      <c r="B1" t="s">
        <v>74</v>
      </c>
    </row>
    <row r="2" spans="1:2" x14ac:dyDescent="0.3">
      <c r="A2" s="2" t="s">
        <v>1</v>
      </c>
      <c r="B2" t="s">
        <v>74</v>
      </c>
    </row>
    <row r="4" spans="1:2" x14ac:dyDescent="0.3">
      <c r="A4" s="2" t="s">
        <v>20</v>
      </c>
      <c r="B4" t="s">
        <v>25</v>
      </c>
    </row>
    <row r="5" spans="1:2" x14ac:dyDescent="0.3">
      <c r="A5" s="15" t="s">
        <v>21</v>
      </c>
      <c r="B5" s="16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AFD36-9DAF-4048-B949-85657CA668BE}">
  <dimension ref="A2:B6"/>
  <sheetViews>
    <sheetView topLeftCell="C5" workbookViewId="0">
      <selection activeCell="J35" sqref="J35"/>
    </sheetView>
  </sheetViews>
  <sheetFormatPr defaultRowHeight="14.4" x14ac:dyDescent="0.3"/>
  <cols>
    <col min="1" max="1" width="15" bestFit="1" customWidth="1"/>
    <col min="2" max="2" width="16.109375" bestFit="1" customWidth="1"/>
    <col min="3" max="3" width="3.6640625" bestFit="1" customWidth="1"/>
    <col min="4" max="4" width="10.77734375" bestFit="1" customWidth="1"/>
  </cols>
  <sheetData>
    <row r="2" spans="1:2" x14ac:dyDescent="0.3">
      <c r="A2" s="2" t="s">
        <v>11</v>
      </c>
      <c r="B2" t="s">
        <v>74</v>
      </c>
    </row>
    <row r="4" spans="1:2" x14ac:dyDescent="0.3">
      <c r="A4" s="2" t="s">
        <v>25</v>
      </c>
      <c r="B4" s="2" t="s">
        <v>75</v>
      </c>
    </row>
    <row r="5" spans="1:2" x14ac:dyDescent="0.3">
      <c r="A5" s="2" t="s">
        <v>20</v>
      </c>
      <c r="B5" t="s">
        <v>21</v>
      </c>
    </row>
    <row r="6" spans="1:2" x14ac:dyDescent="0.3">
      <c r="A6" s="15" t="s">
        <v>21</v>
      </c>
      <c r="B6" s="16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813B0-FDBE-4B10-AF87-EB82844668CE}">
  <dimension ref="A2:I13"/>
  <sheetViews>
    <sheetView workbookViewId="0">
      <selection activeCell="E15" sqref="E15"/>
    </sheetView>
  </sheetViews>
  <sheetFormatPr defaultRowHeight="14.4" x14ac:dyDescent="0.3"/>
  <cols>
    <col min="1" max="1" width="19.21875" customWidth="1"/>
    <col min="2" max="2" width="12.33203125" customWidth="1"/>
    <col min="3" max="3" width="14.21875" customWidth="1"/>
    <col min="4" max="5" width="13.44140625" customWidth="1"/>
    <col min="7" max="7" width="17.33203125" customWidth="1"/>
    <col min="8" max="9" width="18.33203125" customWidth="1"/>
  </cols>
  <sheetData>
    <row r="2" spans="1:9" x14ac:dyDescent="0.3">
      <c r="A2" s="12" t="s">
        <v>56</v>
      </c>
      <c r="B2" s="12"/>
    </row>
    <row r="3" spans="1:9" x14ac:dyDescent="0.3">
      <c r="A3" t="s">
        <v>58</v>
      </c>
      <c r="B3" t="s">
        <v>57</v>
      </c>
    </row>
    <row r="4" spans="1:9" x14ac:dyDescent="0.3">
      <c r="A4" t="s">
        <v>9</v>
      </c>
      <c r="B4" s="8">
        <v>0.1</v>
      </c>
    </row>
    <row r="5" spans="1:9" x14ac:dyDescent="0.3">
      <c r="A5" t="s">
        <v>54</v>
      </c>
      <c r="B5" s="8">
        <v>0</v>
      </c>
    </row>
    <row r="6" spans="1:9" x14ac:dyDescent="0.3">
      <c r="A6" t="s">
        <v>55</v>
      </c>
      <c r="B6" s="8">
        <v>0</v>
      </c>
    </row>
    <row r="7" spans="1:9" x14ac:dyDescent="0.3">
      <c r="B7" s="8"/>
    </row>
    <row r="8" spans="1:9" x14ac:dyDescent="0.3">
      <c r="B8" s="8"/>
    </row>
    <row r="9" spans="1:9" x14ac:dyDescent="0.3">
      <c r="A9" s="12" t="s">
        <v>53</v>
      </c>
      <c r="B9" s="12"/>
      <c r="C9" s="12"/>
      <c r="D9" s="12"/>
      <c r="E9" s="12"/>
      <c r="F9" s="12"/>
      <c r="G9" s="12"/>
      <c r="H9" s="12"/>
      <c r="I9" s="12"/>
    </row>
    <row r="10" spans="1:9" x14ac:dyDescent="0.3">
      <c r="A10" t="s">
        <v>40</v>
      </c>
      <c r="B10" t="s">
        <v>45</v>
      </c>
      <c r="C10" t="s">
        <v>51</v>
      </c>
      <c r="D10" t="s">
        <v>52</v>
      </c>
      <c r="E10" t="s">
        <v>8</v>
      </c>
      <c r="F10" t="s">
        <v>46</v>
      </c>
      <c r="G10" t="s">
        <v>47</v>
      </c>
      <c r="H10" t="s">
        <v>59</v>
      </c>
      <c r="I10" t="s">
        <v>48</v>
      </c>
    </row>
    <row r="11" spans="1:9" x14ac:dyDescent="0.3">
      <c r="A11" t="s">
        <v>35</v>
      </c>
      <c r="B11">
        <f xml:space="preserve"> SUMIFS(Table1[Profit], Table1[Type], "&lt;&gt;balance")</f>
        <v>0</v>
      </c>
      <c r="C11">
        <f xml:space="preserve"> SUMIFS(Table1[Profit], Table1[Type], "balance")</f>
        <v>0</v>
      </c>
      <c r="D11">
        <f xml:space="preserve"> C11+B11</f>
        <v>0</v>
      </c>
      <c r="E11">
        <f xml:space="preserve"> SUMIFS(Table1[Commission], Table1[Type], "&lt;&gt;balance")</f>
        <v>0</v>
      </c>
      <c r="F11" s="9"/>
      <c r="G11" s="9"/>
      <c r="H11" s="9"/>
      <c r="I11" s="9"/>
    </row>
    <row r="12" spans="1:9" x14ac:dyDescent="0.3">
      <c r="A12" t="s">
        <v>49</v>
      </c>
      <c r="B12">
        <f xml:space="preserve"> SUMIFS(Table1[Profit], Table1[Type], "&lt;&gt;balance", Table1[Is_Crypto?], FALSE)</f>
        <v>0</v>
      </c>
      <c r="C12" s="9"/>
      <c r="D12" s="9"/>
      <c r="E12" s="13">
        <f xml:space="preserve"> SUMIFS(Table1[Commission], Table1[Type], "&lt;&gt;balance", Table1[Is_Crypto?], FALSE)</f>
        <v>0</v>
      </c>
      <c r="F12">
        <f xml:space="preserve"> IF(B12 &lt; 0, 0, B12*$B$4)</f>
        <v>0</v>
      </c>
      <c r="G12">
        <f xml:space="preserve"> IF(B12 &lt; 0, 0, B12*$B$5)</f>
        <v>0</v>
      </c>
      <c r="H12">
        <f xml:space="preserve"> IF(B12 &lt; 0, 0, B12*$B$6)</f>
        <v>0</v>
      </c>
      <c r="I12">
        <f xml:space="preserve"> IF(B12&lt;0, B12, 0)</f>
        <v>0</v>
      </c>
    </row>
    <row r="13" spans="1:9" x14ac:dyDescent="0.3">
      <c r="A13" t="s">
        <v>50</v>
      </c>
      <c r="B13">
        <f xml:space="preserve"> SUMIFS(Table1[Profit], Table1[Type], "&lt;&gt;balance", Table1[Is_Crypto?], TRUE)</f>
        <v>0</v>
      </c>
      <c r="C13" s="9"/>
      <c r="D13" s="9"/>
      <c r="E13" s="13">
        <f xml:space="preserve"> SUMIFS(Table1[Commission], Table1[Type], "&lt;&gt;balance", Table1[Is_Crypto?], TRUE)</f>
        <v>0</v>
      </c>
      <c r="F13">
        <f xml:space="preserve"> IF(B13 &lt; 0, 0, B13*$B$4)</f>
        <v>0</v>
      </c>
      <c r="G13">
        <f xml:space="preserve"> IF(B13 &lt; 0, 0, B13*$B$5)</f>
        <v>0</v>
      </c>
      <c r="H13">
        <f xml:space="preserve"> IF(B13 &lt; 0, 0, B13*$B$6)</f>
        <v>0</v>
      </c>
      <c r="I13">
        <v>0</v>
      </c>
    </row>
  </sheetData>
  <mergeCells count="2">
    <mergeCell ref="A2:B2"/>
    <mergeCell ref="A9:I9"/>
  </mergeCells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28EFD-5D0E-4A20-AE95-CDA763860957}">
  <dimension ref="A3:A14"/>
  <sheetViews>
    <sheetView tabSelected="1" workbookViewId="0">
      <selection activeCell="E11" sqref="E11"/>
    </sheetView>
  </sheetViews>
  <sheetFormatPr defaultRowHeight="14.4" x14ac:dyDescent="0.3"/>
  <sheetData>
    <row r="3" spans="1:1" x14ac:dyDescent="0.3">
      <c r="A3" t="s">
        <v>60</v>
      </c>
    </row>
    <row r="4" spans="1:1" x14ac:dyDescent="0.3">
      <c r="A4" t="s">
        <v>61</v>
      </c>
    </row>
    <row r="5" spans="1:1" x14ac:dyDescent="0.3">
      <c r="A5" t="s">
        <v>62</v>
      </c>
    </row>
    <row r="6" spans="1:1" x14ac:dyDescent="0.3">
      <c r="A6" t="s">
        <v>63</v>
      </c>
    </row>
    <row r="7" spans="1:1" x14ac:dyDescent="0.3">
      <c r="A7" t="s">
        <v>64</v>
      </c>
    </row>
    <row r="8" spans="1:1" x14ac:dyDescent="0.3">
      <c r="A8" t="s">
        <v>65</v>
      </c>
    </row>
    <row r="9" spans="1:1" x14ac:dyDescent="0.3">
      <c r="A9" t="s">
        <v>66</v>
      </c>
    </row>
    <row r="10" spans="1:1" x14ac:dyDescent="0.3">
      <c r="A10" t="s">
        <v>67</v>
      </c>
    </row>
    <row r="11" spans="1:1" x14ac:dyDescent="0.3">
      <c r="A11" t="s">
        <v>68</v>
      </c>
    </row>
    <row r="12" spans="1:1" x14ac:dyDescent="0.3">
      <c r="A12" t="s">
        <v>69</v>
      </c>
    </row>
    <row r="13" spans="1:1" x14ac:dyDescent="0.3">
      <c r="A13" t="s">
        <v>70</v>
      </c>
    </row>
    <row r="14" spans="1:1" x14ac:dyDescent="0.3">
      <c r="A14" t="s">
        <v>71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Trading Data</vt:lpstr>
      <vt:lpstr>Profit</vt:lpstr>
      <vt:lpstr>Transaction Types</vt:lpstr>
      <vt:lpstr>Transactions</vt:lpstr>
      <vt:lpstr>Buy_vs_Sell_Transactions</vt:lpstr>
      <vt:lpstr>Taxes</vt:lpstr>
      <vt:lpstr>CFD_Categories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Alexandra-Paraschieva CHIRIȚĂ (94766)</dc:creator>
  <cp:lastModifiedBy>Alexandra-Paraschieva CHIRIȚĂ (94766)</cp:lastModifiedBy>
  <dcterms:created xsi:type="dcterms:W3CDTF">2022-08-15T18:30:13Z</dcterms:created>
  <dcterms:modified xsi:type="dcterms:W3CDTF">2022-08-16T19:57:29Z</dcterms:modified>
</cp:coreProperties>
</file>