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ams.omb.gov/team/USDS/Shared Documents/CX EO - FFS - Renewals/SNAP/"/>
    </mc:Choice>
  </mc:AlternateContent>
  <xr:revisionPtr revIDLastSave="0" documentId="13_ncr:1_{A35B693F-E5C0-4F1C-B33C-FF007915B93C}" xr6:coauthVersionLast="36" xr6:coauthVersionMax="47" xr10:uidLastSave="{00000000-0000-0000-0000-000000000000}"/>
  <bookViews>
    <workbookView xWindow="7155" yWindow="5070" windowWidth="26430" windowHeight="15645" activeTab="5" xr2:uid="{00000000-000D-0000-FFFF-FFFF00000000}"/>
  </bookViews>
  <sheets>
    <sheet name="Raw Data" sheetId="1" r:id="rId1"/>
    <sheet name="Waivers" sheetId="2" r:id="rId2"/>
    <sheet name="Regions" sheetId="3" r:id="rId3"/>
    <sheet name="Scoring - States to Visit" sheetId="4" r:id="rId4"/>
    <sheet name="New Data (Nov 2023)" sheetId="5" r:id="rId5"/>
    <sheet name="Eligibility Workers" sheetId="6" r:id="rId6"/>
  </sheets>
  <calcPr calcId="191028" calcCompleted="0"/>
</workbook>
</file>

<file path=xl/calcChain.xml><?xml version="1.0" encoding="utf-8"?>
<calcChain xmlns="http://schemas.openxmlformats.org/spreadsheetml/2006/main">
  <c r="C55" i="6" l="1"/>
  <c r="F56" i="1"/>
  <c r="L57" i="1"/>
  <c r="E2" i="6"/>
  <c r="E47" i="6"/>
  <c r="E48" i="6"/>
  <c r="E54" i="6"/>
  <c r="E31" i="6"/>
  <c r="E44" i="6"/>
  <c r="E27" i="6"/>
  <c r="E26" i="6"/>
  <c r="E50" i="6"/>
  <c r="E29" i="6"/>
  <c r="E18" i="6"/>
  <c r="E33" i="6"/>
  <c r="E6" i="6"/>
  <c r="E41" i="6"/>
  <c r="E7" i="6"/>
  <c r="E42" i="6"/>
  <c r="E45" i="6"/>
  <c r="E5" i="6"/>
  <c r="E49" i="6"/>
  <c r="E23" i="6"/>
  <c r="E51" i="6"/>
  <c r="E9" i="6"/>
  <c r="E28" i="6"/>
  <c r="E30" i="6"/>
  <c r="E24" i="6"/>
  <c r="E14" i="6"/>
  <c r="E19" i="6"/>
  <c r="E16" i="6"/>
  <c r="E25" i="6"/>
  <c r="E12" i="6"/>
  <c r="E3" i="6"/>
  <c r="E46" i="6"/>
  <c r="E8" i="6"/>
  <c r="E38" i="6"/>
  <c r="E20" i="6"/>
  <c r="E40" i="6"/>
  <c r="E37" i="6"/>
  <c r="E4" i="6"/>
  <c r="E52" i="6"/>
  <c r="E43" i="6"/>
  <c r="E35" i="6"/>
  <c r="E11" i="6"/>
  <c r="E15" i="6"/>
  <c r="E22" i="6"/>
  <c r="E32" i="6"/>
  <c r="E34" i="6"/>
  <c r="E21" i="6"/>
  <c r="E53" i="6"/>
  <c r="E13" i="6"/>
  <c r="E10" i="6"/>
  <c r="E17" i="6"/>
  <c r="E36" i="6"/>
  <c r="E39" i="6"/>
  <c r="E55" i="6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3" i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H56" i="5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3" i="5"/>
  <c r="F3" i="5"/>
  <c r="F56" i="5"/>
  <c r="B15" i="4"/>
  <c r="C15" i="4"/>
  <c r="D15" i="4"/>
  <c r="E15" i="4"/>
  <c r="F15" i="4"/>
  <c r="P11" i="1"/>
  <c r="P3" i="1"/>
  <c r="P4" i="1"/>
  <c r="P5" i="1"/>
  <c r="P6" i="1"/>
  <c r="P7" i="1"/>
  <c r="P8" i="1"/>
  <c r="P9" i="1"/>
  <c r="P10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G15" i="4"/>
  <c r="H15" i="4"/>
  <c r="I15" i="4"/>
  <c r="J15" i="4"/>
  <c r="K15" i="4"/>
  <c r="B2" i="4"/>
  <c r="C2" i="4"/>
  <c r="D2" i="4"/>
  <c r="E2" i="4"/>
  <c r="F2" i="4"/>
  <c r="G2" i="4"/>
  <c r="H2" i="4"/>
  <c r="I2" i="4"/>
  <c r="J2" i="4"/>
  <c r="K2" i="4"/>
  <c r="B3" i="4"/>
  <c r="C3" i="4"/>
  <c r="D3" i="4"/>
  <c r="E3" i="4"/>
  <c r="F3" i="4"/>
  <c r="G3" i="4"/>
  <c r="H3" i="4"/>
  <c r="I3" i="4"/>
  <c r="J3" i="4"/>
  <c r="K3" i="4"/>
  <c r="B4" i="4"/>
  <c r="C4" i="4"/>
  <c r="D4" i="4"/>
  <c r="E4" i="4"/>
  <c r="F4" i="4"/>
  <c r="G4" i="4"/>
  <c r="H4" i="4"/>
  <c r="I4" i="4"/>
  <c r="J4" i="4"/>
  <c r="K4" i="4"/>
  <c r="B8" i="4"/>
  <c r="C8" i="4"/>
  <c r="D8" i="4"/>
  <c r="E8" i="4"/>
  <c r="F8" i="4"/>
  <c r="G8" i="4"/>
  <c r="H8" i="4"/>
  <c r="I8" i="4"/>
  <c r="J8" i="4"/>
  <c r="K8" i="4"/>
  <c r="B5" i="4"/>
  <c r="C5" i="4"/>
  <c r="D5" i="4"/>
  <c r="E5" i="4"/>
  <c r="F5" i="4"/>
  <c r="G5" i="4"/>
  <c r="H5" i="4"/>
  <c r="T56" i="1"/>
  <c r="I5" i="4"/>
  <c r="J5" i="4"/>
  <c r="K5" i="4"/>
  <c r="B6" i="4"/>
  <c r="C6" i="4"/>
  <c r="D6" i="4"/>
  <c r="E6" i="4"/>
  <c r="F6" i="4"/>
  <c r="G6" i="4"/>
  <c r="H6" i="4"/>
  <c r="I6" i="4"/>
  <c r="J6" i="4"/>
  <c r="K6" i="4"/>
  <c r="B7" i="4"/>
  <c r="C7" i="4"/>
  <c r="D7" i="4"/>
  <c r="E7" i="4"/>
  <c r="F7" i="4"/>
  <c r="G7" i="4"/>
  <c r="H7" i="4"/>
  <c r="I7" i="4"/>
  <c r="J7" i="4"/>
  <c r="K7" i="4"/>
  <c r="B10" i="4"/>
  <c r="C10" i="4"/>
  <c r="D10" i="4"/>
  <c r="E10" i="4"/>
  <c r="F10" i="4"/>
  <c r="G10" i="4"/>
  <c r="H10" i="4"/>
  <c r="I10" i="4"/>
  <c r="J10" i="4"/>
  <c r="K10" i="4"/>
  <c r="B11" i="4"/>
  <c r="C11" i="4"/>
  <c r="D11" i="4"/>
  <c r="E11" i="4"/>
  <c r="F11" i="4"/>
  <c r="G11" i="4"/>
  <c r="H11" i="4"/>
  <c r="I11" i="4"/>
  <c r="J11" i="4"/>
  <c r="K11" i="4"/>
  <c r="B9" i="4"/>
  <c r="C9" i="4"/>
  <c r="D9" i="4"/>
  <c r="E9" i="4"/>
  <c r="F9" i="4"/>
  <c r="G9" i="4"/>
  <c r="H9" i="4"/>
  <c r="I9" i="4"/>
  <c r="J9" i="4"/>
  <c r="K9" i="4"/>
  <c r="B12" i="4"/>
  <c r="C12" i="4"/>
  <c r="D12" i="4"/>
  <c r="E12" i="4"/>
  <c r="F12" i="4"/>
  <c r="G12" i="4"/>
  <c r="H12" i="4"/>
  <c r="I12" i="4"/>
  <c r="J12" i="4"/>
  <c r="K12" i="4"/>
  <c r="B13" i="4"/>
  <c r="C13" i="4"/>
  <c r="D13" i="4"/>
  <c r="E13" i="4"/>
  <c r="L56" i="1"/>
  <c r="F13" i="4"/>
  <c r="G13" i="4"/>
  <c r="H13" i="4"/>
  <c r="I13" i="4"/>
  <c r="J13" i="4"/>
  <c r="K13" i="4"/>
  <c r="B14" i="4"/>
  <c r="C14" i="4"/>
  <c r="D14" i="4"/>
  <c r="E14" i="4"/>
  <c r="F14" i="4"/>
  <c r="G14" i="4"/>
  <c r="H14" i="4"/>
  <c r="I14" i="4"/>
  <c r="J14" i="4"/>
  <c r="K14" i="4"/>
  <c r="B16" i="4"/>
  <c r="C16" i="4"/>
  <c r="D16" i="4"/>
  <c r="E16" i="4"/>
  <c r="F16" i="4"/>
  <c r="G16" i="4"/>
  <c r="H16" i="4"/>
  <c r="I16" i="4"/>
  <c r="J16" i="4"/>
  <c r="K16" i="4"/>
  <c r="B17" i="4"/>
  <c r="C17" i="4"/>
  <c r="D17" i="4"/>
  <c r="E17" i="4"/>
  <c r="F17" i="4"/>
  <c r="G17" i="4"/>
  <c r="H17" i="4"/>
  <c r="I17" i="4"/>
  <c r="J17" i="4"/>
  <c r="K17" i="4"/>
  <c r="B18" i="4"/>
  <c r="C18" i="4"/>
  <c r="D18" i="4"/>
  <c r="E18" i="4"/>
  <c r="F18" i="4"/>
  <c r="G18" i="4"/>
  <c r="H18" i="4"/>
  <c r="I18" i="4"/>
  <c r="J18" i="4"/>
  <c r="K18" i="4"/>
  <c r="B19" i="4"/>
  <c r="C19" i="4"/>
  <c r="D19" i="4"/>
  <c r="E19" i="4"/>
  <c r="F19" i="4"/>
  <c r="G19" i="4"/>
  <c r="H19" i="4"/>
  <c r="I19" i="4"/>
  <c r="J19" i="4"/>
  <c r="K19" i="4"/>
  <c r="B24" i="4"/>
  <c r="C24" i="4"/>
  <c r="D24" i="4"/>
  <c r="E24" i="4"/>
  <c r="F24" i="4"/>
  <c r="G24" i="4"/>
  <c r="H24" i="4"/>
  <c r="I24" i="4"/>
  <c r="J24" i="4"/>
  <c r="K24" i="4"/>
  <c r="B21" i="4"/>
  <c r="C21" i="4"/>
  <c r="D21" i="4"/>
  <c r="E21" i="4"/>
  <c r="F21" i="4"/>
  <c r="G21" i="4"/>
  <c r="M56" i="1"/>
  <c r="H21" i="4"/>
  <c r="I21" i="4"/>
  <c r="J21" i="4"/>
  <c r="K21" i="4"/>
  <c r="B20" i="4"/>
  <c r="C20" i="4"/>
  <c r="D20" i="4"/>
  <c r="E20" i="4"/>
  <c r="F20" i="4"/>
  <c r="G20" i="4"/>
  <c r="H20" i="4"/>
  <c r="I20" i="4"/>
  <c r="J20" i="4"/>
  <c r="K20" i="4"/>
  <c r="B22" i="4"/>
  <c r="C22" i="4"/>
  <c r="D22" i="4"/>
  <c r="E22" i="4"/>
  <c r="F22" i="4"/>
  <c r="G22" i="4"/>
  <c r="H22" i="4"/>
  <c r="I22" i="4"/>
  <c r="J22" i="4"/>
  <c r="K22" i="4"/>
  <c r="B25" i="4"/>
  <c r="C25" i="4"/>
  <c r="D25" i="4"/>
  <c r="E25" i="4"/>
  <c r="F25" i="4"/>
  <c r="G25" i="4"/>
  <c r="H25" i="4"/>
  <c r="I25" i="4"/>
  <c r="J25" i="4"/>
  <c r="K25" i="4"/>
  <c r="B28" i="4"/>
  <c r="C28" i="4"/>
  <c r="D28" i="4"/>
  <c r="E28" i="4"/>
  <c r="F28" i="4"/>
  <c r="G28" i="4"/>
  <c r="H28" i="4"/>
  <c r="I28" i="4"/>
  <c r="J28" i="4"/>
  <c r="K28" i="4"/>
  <c r="B23" i="4"/>
  <c r="C23" i="4"/>
  <c r="D23" i="4"/>
  <c r="E23" i="4"/>
  <c r="F23" i="4"/>
  <c r="G23" i="4"/>
  <c r="H23" i="4"/>
  <c r="I23" i="4"/>
  <c r="J23" i="4"/>
  <c r="K23" i="4"/>
  <c r="B26" i="4"/>
  <c r="C26" i="4"/>
  <c r="D26" i="4"/>
  <c r="E26" i="4"/>
  <c r="F26" i="4"/>
  <c r="G26" i="4"/>
  <c r="H26" i="4"/>
  <c r="I26" i="4"/>
  <c r="J26" i="4"/>
  <c r="K26" i="4"/>
  <c r="B27" i="4"/>
  <c r="C27" i="4"/>
  <c r="D27" i="4"/>
  <c r="E27" i="4"/>
  <c r="F27" i="4"/>
  <c r="G27" i="4"/>
  <c r="H27" i="4"/>
  <c r="I27" i="4"/>
  <c r="J27" i="4"/>
  <c r="K27" i="4"/>
  <c r="B30" i="4"/>
  <c r="C30" i="4"/>
  <c r="D30" i="4"/>
  <c r="E30" i="4"/>
  <c r="F30" i="4"/>
  <c r="G30" i="4"/>
  <c r="H30" i="4"/>
  <c r="I30" i="4"/>
  <c r="J30" i="4"/>
  <c r="K30" i="4"/>
  <c r="B31" i="4"/>
  <c r="C31" i="4"/>
  <c r="D31" i="4"/>
  <c r="E31" i="4"/>
  <c r="F31" i="4"/>
  <c r="G31" i="4"/>
  <c r="H31" i="4"/>
  <c r="I31" i="4"/>
  <c r="J31" i="4"/>
  <c r="K31" i="4"/>
  <c r="B32" i="4"/>
  <c r="C32" i="4"/>
  <c r="D32" i="4"/>
  <c r="E32" i="4"/>
  <c r="F32" i="4"/>
  <c r="G32" i="4"/>
  <c r="H32" i="4"/>
  <c r="I32" i="4"/>
  <c r="J32" i="4"/>
  <c r="K32" i="4"/>
  <c r="B35" i="4"/>
  <c r="C35" i="4"/>
  <c r="D35" i="4"/>
  <c r="E35" i="4"/>
  <c r="F35" i="4"/>
  <c r="G35" i="4"/>
  <c r="H35" i="4"/>
  <c r="I35" i="4"/>
  <c r="J35" i="4"/>
  <c r="K35" i="4"/>
  <c r="B33" i="4"/>
  <c r="C33" i="4"/>
  <c r="D33" i="4"/>
  <c r="E33" i="4"/>
  <c r="F33" i="4"/>
  <c r="G33" i="4"/>
  <c r="H33" i="4"/>
  <c r="I33" i="4"/>
  <c r="J33" i="4"/>
  <c r="K33" i="4"/>
  <c r="B29" i="4"/>
  <c r="C29" i="4"/>
  <c r="D29" i="4"/>
  <c r="E29" i="4"/>
  <c r="F29" i="4"/>
  <c r="G29" i="4"/>
  <c r="H29" i="4"/>
  <c r="I29" i="4"/>
  <c r="J29" i="4"/>
  <c r="K29" i="4"/>
  <c r="B34" i="4"/>
  <c r="C34" i="4"/>
  <c r="D34" i="4"/>
  <c r="E34" i="4"/>
  <c r="F34" i="4"/>
  <c r="G34" i="4"/>
  <c r="H34" i="4"/>
  <c r="I34" i="4"/>
  <c r="J34" i="4"/>
  <c r="K34" i="4"/>
  <c r="B36" i="4"/>
  <c r="C36" i="4"/>
  <c r="D36" i="4"/>
  <c r="E36" i="4"/>
  <c r="F36" i="4"/>
  <c r="G36" i="4"/>
  <c r="H36" i="4"/>
  <c r="I36" i="4"/>
  <c r="J36" i="4"/>
  <c r="K36" i="4"/>
  <c r="B37" i="4"/>
  <c r="C37" i="4"/>
  <c r="D37" i="4"/>
  <c r="E37" i="4"/>
  <c r="F37" i="4"/>
  <c r="G37" i="4"/>
  <c r="H37" i="4"/>
  <c r="I37" i="4"/>
  <c r="J37" i="4"/>
  <c r="K37" i="4"/>
  <c r="B42" i="4"/>
  <c r="C42" i="4"/>
  <c r="D42" i="4"/>
  <c r="E42" i="4"/>
  <c r="F42" i="4"/>
  <c r="G42" i="4"/>
  <c r="H42" i="4"/>
  <c r="I42" i="4"/>
  <c r="J42" i="4"/>
  <c r="K42" i="4"/>
  <c r="B38" i="4"/>
  <c r="C38" i="4"/>
  <c r="D38" i="4"/>
  <c r="E38" i="4"/>
  <c r="F38" i="4"/>
  <c r="G38" i="4"/>
  <c r="H38" i="4"/>
  <c r="I38" i="4"/>
  <c r="J38" i="4"/>
  <c r="K38" i="4"/>
  <c r="B40" i="4"/>
  <c r="C40" i="4"/>
  <c r="D40" i="4"/>
  <c r="E40" i="4"/>
  <c r="F40" i="4"/>
  <c r="G40" i="4"/>
  <c r="H40" i="4"/>
  <c r="I40" i="4"/>
  <c r="J40" i="4"/>
  <c r="K40" i="4"/>
  <c r="B43" i="4"/>
  <c r="C43" i="4"/>
  <c r="D43" i="4"/>
  <c r="E43" i="4"/>
  <c r="F43" i="4"/>
  <c r="G43" i="4"/>
  <c r="H43" i="4"/>
  <c r="I43" i="4"/>
  <c r="J43" i="4"/>
  <c r="K43" i="4"/>
  <c r="B39" i="4"/>
  <c r="C39" i="4"/>
  <c r="D39" i="4"/>
  <c r="E39" i="4"/>
  <c r="F39" i="4"/>
  <c r="G39" i="4"/>
  <c r="H39" i="4"/>
  <c r="I39" i="4"/>
  <c r="J39" i="4"/>
  <c r="K39" i="4"/>
  <c r="B44" i="4"/>
  <c r="C44" i="4"/>
  <c r="D44" i="4"/>
  <c r="E44" i="4"/>
  <c r="F44" i="4"/>
  <c r="G44" i="4"/>
  <c r="H44" i="4"/>
  <c r="I44" i="4"/>
  <c r="J44" i="4"/>
  <c r="K44" i="4"/>
  <c r="B41" i="4"/>
  <c r="C41" i="4"/>
  <c r="D41" i="4"/>
  <c r="E41" i="4"/>
  <c r="F41" i="4"/>
  <c r="G41" i="4"/>
  <c r="H41" i="4"/>
  <c r="I41" i="4"/>
  <c r="J41" i="4"/>
  <c r="K41" i="4"/>
  <c r="B45" i="4"/>
  <c r="C45" i="4"/>
  <c r="D45" i="4"/>
  <c r="E45" i="4"/>
  <c r="F45" i="4"/>
  <c r="G45" i="4"/>
  <c r="H45" i="4"/>
  <c r="I45" i="4"/>
  <c r="J45" i="4"/>
  <c r="K45" i="4"/>
  <c r="B48" i="4"/>
  <c r="C48" i="4"/>
  <c r="D48" i="4"/>
  <c r="E48" i="4"/>
  <c r="F48" i="4"/>
  <c r="G48" i="4"/>
  <c r="H48" i="4"/>
  <c r="I48" i="4"/>
  <c r="J48" i="4"/>
  <c r="K48" i="4"/>
  <c r="B46" i="4"/>
  <c r="C46" i="4"/>
  <c r="D46" i="4"/>
  <c r="E46" i="4"/>
  <c r="F46" i="4"/>
  <c r="G46" i="4"/>
  <c r="H46" i="4"/>
  <c r="I46" i="4"/>
  <c r="J46" i="4"/>
  <c r="K46" i="4"/>
  <c r="B47" i="4"/>
  <c r="C47" i="4"/>
  <c r="D47" i="4"/>
  <c r="E47" i="4"/>
  <c r="F47" i="4"/>
  <c r="G47" i="4"/>
  <c r="H47" i="4"/>
  <c r="I47" i="4"/>
  <c r="J47" i="4"/>
  <c r="K47" i="4"/>
  <c r="B49" i="4"/>
  <c r="C49" i="4"/>
  <c r="D49" i="4"/>
  <c r="E49" i="4"/>
  <c r="F49" i="4"/>
  <c r="G49" i="4"/>
  <c r="H49" i="4"/>
  <c r="I49" i="4"/>
  <c r="J49" i="4"/>
  <c r="K49" i="4"/>
  <c r="B50" i="4"/>
  <c r="C50" i="4"/>
  <c r="D50" i="4"/>
  <c r="E50" i="4"/>
  <c r="F50" i="4"/>
  <c r="G50" i="4"/>
  <c r="H50" i="4"/>
  <c r="I50" i="4"/>
  <c r="J50" i="4"/>
  <c r="K50" i="4"/>
  <c r="B51" i="4"/>
  <c r="C51" i="4"/>
  <c r="D51" i="4"/>
  <c r="E51" i="4"/>
  <c r="F51" i="4"/>
  <c r="G51" i="4"/>
  <c r="H51" i="4"/>
  <c r="I51" i="4"/>
  <c r="J51" i="4"/>
  <c r="K51" i="4"/>
  <c r="B52" i="4"/>
  <c r="C52" i="4"/>
  <c r="D52" i="4"/>
  <c r="E52" i="4"/>
  <c r="F52" i="4"/>
  <c r="G52" i="4"/>
  <c r="H52" i="4"/>
  <c r="I52" i="4"/>
  <c r="J52" i="4"/>
  <c r="K52" i="4"/>
  <c r="B53" i="4"/>
  <c r="C53" i="4"/>
  <c r="D53" i="4"/>
  <c r="E53" i="4"/>
  <c r="F53" i="4"/>
  <c r="G53" i="4"/>
  <c r="H53" i="4"/>
  <c r="I53" i="4"/>
  <c r="J53" i="4"/>
  <c r="K53" i="4"/>
  <c r="B54" i="4"/>
  <c r="C54" i="4"/>
  <c r="D54" i="4"/>
  <c r="E54" i="4"/>
  <c r="F54" i="4"/>
  <c r="G54" i="4"/>
  <c r="H54" i="4"/>
  <c r="I54" i="4"/>
  <c r="J54" i="4"/>
  <c r="K54" i="4"/>
  <c r="L15" i="4"/>
  <c r="L3" i="4"/>
  <c r="L7" i="4"/>
  <c r="L5" i="4"/>
  <c r="L16" i="4"/>
  <c r="L41" i="4"/>
  <c r="L32" i="4"/>
  <c r="L34" i="4"/>
  <c r="L33" i="4"/>
  <c r="L36" i="4"/>
  <c r="L11" i="4"/>
  <c r="L30" i="4"/>
  <c r="L51" i="4"/>
  <c r="L24" i="4"/>
  <c r="L37" i="4"/>
  <c r="L18" i="4"/>
  <c r="L40" i="4"/>
  <c r="L47" i="4"/>
  <c r="L20" i="4"/>
  <c r="L19" i="4"/>
  <c r="L38" i="4"/>
  <c r="L10" i="4"/>
  <c r="L53" i="4"/>
  <c r="L48" i="4"/>
  <c r="L25" i="4"/>
  <c r="L9" i="4"/>
  <c r="L52" i="4"/>
  <c r="L6" i="4"/>
  <c r="L39" i="4"/>
  <c r="L50" i="4"/>
  <c r="L27" i="4"/>
  <c r="L42" i="4"/>
  <c r="L43" i="4"/>
  <c r="L4" i="4"/>
  <c r="L35" i="4"/>
  <c r="L8" i="4"/>
  <c r="L12" i="4"/>
  <c r="L44" i="4"/>
  <c r="L54" i="4"/>
  <c r="L31" i="4"/>
  <c r="L22" i="4"/>
  <c r="L46" i="4"/>
  <c r="L26" i="4"/>
  <c r="L29" i="4"/>
  <c r="L23" i="4"/>
  <c r="L13" i="4"/>
  <c r="L21" i="4"/>
  <c r="L17" i="4"/>
  <c r="L45" i="4"/>
  <c r="L14" i="4"/>
  <c r="L28" i="4"/>
  <c r="L49" i="4"/>
  <c r="L2" i="4"/>
  <c r="A21" i="4"/>
  <c r="A17" i="4"/>
  <c r="A45" i="4"/>
  <c r="A14" i="4"/>
  <c r="A28" i="4"/>
  <c r="A49" i="4"/>
  <c r="A2" i="4"/>
  <c r="A15" i="4"/>
  <c r="A3" i="4"/>
  <c r="A7" i="4"/>
  <c r="A5" i="4"/>
  <c r="A16" i="4"/>
  <c r="A41" i="4"/>
  <c r="A32" i="4"/>
  <c r="A34" i="4"/>
  <c r="A33" i="4"/>
  <c r="A36" i="4"/>
  <c r="A11" i="4"/>
  <c r="A30" i="4"/>
  <c r="A51" i="4"/>
  <c r="A24" i="4"/>
  <c r="A37" i="4"/>
  <c r="A18" i="4"/>
  <c r="A40" i="4"/>
  <c r="A47" i="4"/>
  <c r="A20" i="4"/>
  <c r="A19" i="4"/>
  <c r="A38" i="4"/>
  <c r="A10" i="4"/>
  <c r="A53" i="4"/>
  <c r="A48" i="4"/>
  <c r="A25" i="4"/>
  <c r="A9" i="4"/>
  <c r="A52" i="4"/>
  <c r="A6" i="4"/>
  <c r="A39" i="4"/>
  <c r="A50" i="4"/>
  <c r="A27" i="4"/>
  <c r="A42" i="4"/>
  <c r="A43" i="4"/>
  <c r="A4" i="4"/>
  <c r="A35" i="4"/>
  <c r="A8" i="4"/>
  <c r="A12" i="4"/>
  <c r="A44" i="4"/>
  <c r="A54" i="4"/>
  <c r="A31" i="4"/>
  <c r="A22" i="4"/>
  <c r="A46" i="4"/>
  <c r="A26" i="4"/>
  <c r="A29" i="4"/>
  <c r="A23" i="4"/>
  <c r="D15" i="2"/>
  <c r="E15" i="2"/>
  <c r="F15" i="2"/>
  <c r="C15" i="2"/>
  <c r="B15" i="2"/>
  <c r="A15" i="2"/>
  <c r="E56" i="1"/>
  <c r="S56" i="1"/>
  <c r="N56" i="1"/>
  <c r="O56" i="1"/>
  <c r="P56" i="1"/>
  <c r="A13" i="4"/>
  <c r="B3" i="3"/>
  <c r="B4" i="3"/>
  <c r="B5" i="3"/>
  <c r="B6" i="3"/>
  <c r="B7" i="3"/>
  <c r="B2" i="3"/>
  <c r="E3" i="2"/>
  <c r="E4" i="2"/>
  <c r="E5" i="2"/>
  <c r="E6" i="2"/>
  <c r="E7" i="2"/>
  <c r="E8" i="2"/>
  <c r="E9" i="2"/>
  <c r="E10" i="2"/>
  <c r="E11" i="2"/>
  <c r="E12" i="2"/>
  <c r="E13" i="2"/>
  <c r="E1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A3" i="2"/>
  <c r="A4" i="2"/>
  <c r="A5" i="2"/>
  <c r="A6" i="2"/>
  <c r="A7" i="2"/>
  <c r="A8" i="2"/>
  <c r="A9" i="2"/>
  <c r="A10" i="2"/>
  <c r="A11" i="2"/>
  <c r="A12" i="2"/>
  <c r="A13" i="2"/>
  <c r="A14" i="2"/>
  <c r="A2" i="2"/>
  <c r="F4" i="2"/>
  <c r="F3" i="2"/>
  <c r="F5" i="2"/>
  <c r="F6" i="2"/>
  <c r="F7" i="2"/>
  <c r="F8" i="2"/>
  <c r="F9" i="2"/>
  <c r="F10" i="2"/>
  <c r="F11" i="2"/>
  <c r="F12" i="2"/>
  <c r="F13" i="2"/>
  <c r="F14" i="2"/>
  <c r="F2" i="2"/>
</calcChain>
</file>

<file path=xl/sharedStrings.xml><?xml version="1.0" encoding="utf-8"?>
<sst xmlns="http://schemas.openxmlformats.org/spreadsheetml/2006/main" count="1009" uniqueCount="220">
  <si>
    <t>State Monthly Data</t>
  </si>
  <si>
    <t>Categorical Eligibility</t>
  </si>
  <si>
    <t>Regional Office</t>
  </si>
  <si>
    <t>State Options Report (2023)</t>
  </si>
  <si>
    <t>February 2024 USDA letters</t>
  </si>
  <si>
    <t>Payment Error Rates (2022)</t>
  </si>
  <si>
    <t>Broad Based Categorical Eligibility</t>
  </si>
  <si>
    <t>Historic Timeliness</t>
  </si>
  <si>
    <t>PAI</t>
  </si>
  <si>
    <t>CfA Scorecard</t>
  </si>
  <si>
    <t>Certification Waivers</t>
  </si>
  <si>
    <t>Abbreviation</t>
  </si>
  <si>
    <t>State</t>
  </si>
  <si>
    <t>Enrollment (Persons) (Oct 2023)</t>
  </si>
  <si>
    <t>Enrollment (Persons) (Oct 2022)</t>
  </si>
  <si>
    <t>Change 2022 -&gt; 2023</t>
  </si>
  <si>
    <t>Categorical eligibility - July 2022</t>
  </si>
  <si>
    <t>State/County Admin</t>
  </si>
  <si>
    <t>ABAWD Waiver</t>
  </si>
  <si>
    <t>ESAP Waiver</t>
  </si>
  <si>
    <t>Application Processing Timeliness (APT) Rate</t>
  </si>
  <si>
    <t>Case and Procedural Error Rate (CAPER)</t>
  </si>
  <si>
    <t>Overpayment Rate</t>
  </si>
  <si>
    <t>Underpayment Rate</t>
  </si>
  <si>
    <t>Payment Error Rate</t>
  </si>
  <si>
    <t>Asset Limit</t>
  </si>
  <si>
    <t>Gross Income Limit</t>
  </si>
  <si>
    <t>APT - 2022</t>
  </si>
  <si>
    <t>PAI - 2021</t>
  </si>
  <si>
    <t>Online Application</t>
  </si>
  <si>
    <t>ID Proofing Required</t>
  </si>
  <si>
    <t>Reinstate Eligibility (Reinstatement)</t>
  </si>
  <si>
    <t>Align Income Reporting Timeframes</t>
  </si>
  <si>
    <t>Allow Fee Agents in Remote Areas</t>
  </si>
  <si>
    <t>Shorten Certification Periods for Certain Households</t>
  </si>
  <si>
    <t>Send Electronic Notices (E-Notice)</t>
  </si>
  <si>
    <t>Deny Applications Before the 30th Day (Early Denial)</t>
  </si>
  <si>
    <t>Conduct Unscheduled Interviews (On-Demand)</t>
  </si>
  <si>
    <t>Accept Pre-Release Applications from Institutions</t>
  </si>
  <si>
    <t>Combine Reminder Notice and Adequate Notice</t>
  </si>
  <si>
    <t>Allow Signature Block on Last Page of Application</t>
  </si>
  <si>
    <t>Send Joint Notices for SNAP Increases Due to TANF Decreases</t>
  </si>
  <si>
    <t>Waive Recertification Interview for Elderly or Disabled Households with No Earned Income (Elderly/Disabled)</t>
  </si>
  <si>
    <t>Not Pay for Postage on Change Report Forms</t>
  </si>
  <si>
    <t>Other</t>
  </si>
  <si>
    <t>AK</t>
  </si>
  <si>
    <t>Alaska</t>
  </si>
  <si>
    <t>Western Region (WRO)</t>
  </si>
  <si>
    <t>No</t>
  </si>
  <si>
    <t>Statewide</t>
  </si>
  <si>
    <t>Unknown</t>
  </si>
  <si>
    <t>N/A</t>
  </si>
  <si>
    <t>Yes</t>
  </si>
  <si>
    <t>AL</t>
  </si>
  <si>
    <t>Alabama</t>
  </si>
  <si>
    <t>Southeast Region (SERO)</t>
  </si>
  <si>
    <t>None</t>
  </si>
  <si>
    <t>AR</t>
  </si>
  <si>
    <t>Arkansas</t>
  </si>
  <si>
    <t>Southwest Region (SWRO)</t>
  </si>
  <si>
    <t>AZ</t>
  </si>
  <si>
    <t>Arizona</t>
  </si>
  <si>
    <t>CA</t>
  </si>
  <si>
    <t>California</t>
  </si>
  <si>
    <t>County</t>
  </si>
  <si>
    <t>CO</t>
  </si>
  <si>
    <t>Colorado</t>
  </si>
  <si>
    <t>Mountain Plains Region (MPRO)</t>
  </si>
  <si>
    <t>Partial</t>
  </si>
  <si>
    <t>CT</t>
  </si>
  <si>
    <t>Connecticut</t>
  </si>
  <si>
    <t>Northeast Region (NRO)</t>
  </si>
  <si>
    <t>DC</t>
  </si>
  <si>
    <t>District of Columbia</t>
  </si>
  <si>
    <t>Mid-Atlantic Region (MARO)</t>
  </si>
  <si>
    <t>DE</t>
  </si>
  <si>
    <t>Delaware</t>
  </si>
  <si>
    <t>FL</t>
  </si>
  <si>
    <t>Florida</t>
  </si>
  <si>
    <t>GA</t>
  </si>
  <si>
    <t>Georgia</t>
  </si>
  <si>
    <t>GU</t>
  </si>
  <si>
    <t>Guam</t>
  </si>
  <si>
    <t>HI</t>
  </si>
  <si>
    <t>Hawaii</t>
  </si>
  <si>
    <t>IA</t>
  </si>
  <si>
    <t>Iowa</t>
  </si>
  <si>
    <t>Midwest Region (MWRO)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</si>
  <si>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</si>
  <si>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</si>
  <si>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</si>
  <si>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</si>
  <si>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</si>
  <si>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</si>
  <si>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</si>
  <si>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</si>
  <si>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</si>
  <si>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</si>
  <si>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</si>
  <si>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</si>
  <si>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</si>
  <si>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</si>
  <si>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</si>
  <si>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</si>
  <si>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</si>
  <si>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</si>
  <si>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</si>
  <si>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</si>
  <si>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</si>
  <si>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</si>
  <si>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</si>
  <si>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</si>
  <si>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</si>
  <si>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</si>
  <si>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</si>
  <si>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</si>
  <si>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</si>
  <si>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</si>
  <si>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</si>
  <si>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</si>
  <si>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</si>
  <si>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</si>
  <si>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</si>
  <si>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</si>
  <si>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</si>
  <si>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</si>
  <si>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</si>
  <si>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</si>
  <si>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</si>
  <si>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</si>
  <si>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</si>
  <si>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</si>
  <si>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Varies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</si>
  <si>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</si>
  <si>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</si>
  <si>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</si>
  <si>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</si>
  <si>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</si>
  <si>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</si>
  <si>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</si>
  <si>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</si>
  <si>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</si>
  <si>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</si>
  <si>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</si>
  <si>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</si>
  <si>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</si>
  <si>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</si>
  <si>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</si>
  <si>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</si>
  <si>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</si>
  <si>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</si>
  <si>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USVI</t>
  </si>
  <si>
    <t>Virgin Islands</t>
  </si>
  <si>
    <t>UT</t>
  </si>
  <si>
    <t>Utah</t>
  </si>
  <si>
    <t>VA</t>
  </si>
  <si>
    <t>Virginia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</si>
  <si>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</si>
  <si>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</si>
  <si>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</si>
  <si>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</si>
  <si>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</si>
  <si>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</si>
  <si>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</si>
  <si>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</si>
  <si>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</si>
  <si>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</si>
  <si>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Averages</t>
  </si>
  <si>
    <t>Waiver Name</t>
  </si>
  <si>
    <t># of states with waiver</t>
  </si>
  <si>
    <t># of states without waiver</t>
  </si>
  <si>
    <t>Average APT - with waiver</t>
  </si>
  <si>
    <t>Average APT - without waiver</t>
  </si>
  <si>
    <t>Difference</t>
  </si>
  <si>
    <t>Reference Column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</si>
  <si>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</si>
  <si>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</si>
  <si>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</si>
  <si>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</si>
  <si>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</si>
  <si>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</si>
  <si>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</si>
  <si>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</si>
  <si>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</si>
  <si>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</si>
  <si>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</si>
  <si>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</si>
  <si>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</si>
  <si>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</si>
  <si>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Region</t>
  </si>
  <si>
    <t>Average APT</t>
  </si>
  <si>
    <t>Population Score</t>
  </si>
  <si>
    <t>BBCE Score</t>
  </si>
  <si>
    <t>State Admin Score</t>
  </si>
  <si>
    <t>County Admin Score</t>
  </si>
  <si>
    <t>APT Score</t>
  </si>
  <si>
    <t>Payment Error Rate Score</t>
  </si>
  <si>
    <t>CAPER Score</t>
  </si>
  <si>
    <t>PAI Score</t>
  </si>
  <si>
    <t>Participation Change Score</t>
  </si>
  <si>
    <t>Total Score</t>
  </si>
  <si>
    <t>Normalized Score (0-100)</t>
  </si>
  <si>
    <t>Weights</t>
  </si>
  <si>
    <t>SNAP Population (higher population = higher score)</t>
  </si>
  <si>
    <t>BBCE (Yes = higher score)</t>
  </si>
  <si>
    <t>State Admin (Yes = higher score)</t>
  </si>
  <si>
    <t>County Admin (Yes = higher score)</t>
  </si>
  <si>
    <t>APT (higher = lower score)</t>
  </si>
  <si>
    <t>Payment Error Rate (higher rate = higher score)</t>
  </si>
  <si>
    <t>CAPER (higher rate = higher score)</t>
  </si>
  <si>
    <t>PAI (lower = higher score)</t>
  </si>
  <si>
    <t>Participation Change (lower = higher score)</t>
  </si>
  <si>
    <t>Enrollment (Persons) (Nov 2023)</t>
  </si>
  <si>
    <t>Change # Oct 23 -&gt; Nov 23</t>
  </si>
  <si>
    <t>Change % Oct 23 -&gt; Nov 23</t>
  </si>
  <si>
    <t>Change # Oct 22 -&gt; Nov 23</t>
  </si>
  <si>
    <t>Change % Oct 22 -&gt; Nov 23</t>
  </si>
  <si>
    <t>Eligibility Workers (May 2023)</t>
  </si>
  <si>
    <t>SNAP Population (May 2023)</t>
  </si>
  <si>
    <t>Workers per 1000 recipients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</si>
</sst>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10" fontId="0" fillId="0" borderId="0" xfId="0" applyNumberFormat="1"/>
    <xf numFmtId="43" fontId="0" fillId="0" borderId="0" xfId="0" applyNumberFormat="1"/>
    <xf numFmtId="0" fontId="1" fillId="0" borderId="0" xfId="1" applyAlignment="1">
      <alignment horizontal="center"/>
    </xf>
    <xf numFmtId="0" fontId="0" fillId="0" borderId="1" xfId="0" applyBorder="1"/>
    <xf numFmtId="164" fontId="0" fillId="0" borderId="0" xfId="0" applyNumberFormat="1"/>
    <xf numFmtId="9" fontId="0" fillId="0" borderId="0" xfId="0" applyNumberFormat="1"/>
    <xf numFmtId="6" fontId="0" fillId="0" borderId="0" xfId="0" applyNumberFormat="1"/>
    <xf numFmtId="0" fontId="1" fillId="0" borderId="0" xfId="1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/>
    <xf numFmtId="43" fontId="0" fillId="0" borderId="2" xfId="0" applyNumberFormat="1" applyBorder="1"/>
    <xf numFmtId="10" fontId="0" fillId="0" borderId="2" xfId="0" applyNumberFormat="1" applyBorder="1"/>
    <xf numFmtId="1" fontId="0" fillId="0" borderId="0" xfId="0" applyNumberFormat="1"/>
    <xf numFmtId="0" fontId="1" fillId="0" borderId="1" xfId="1" applyBorder="1" applyAlignment="1">
      <alignment horizontal="center"/>
    </xf>
    <xf numFmtId="0" fontId="0" fillId="0" borderId="0" xfId="0" applyAlignment="1">
      <alignment horizontal="center"/>
    </xf>
    <xf numFmtId="10" fontId="2" fillId="0" borderId="0" xfId="0" applyNumberFormat="1" applyFont="1"/>
    <xf numFmtId="0" fontId="1" fillId="0" borderId="0" xfId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ns.usda.gov/snap/qc/pai" TargetMode="External"/><Relationship Id="rId3" Type="http://schemas.openxmlformats.org/officeDocument/2006/relationships/hyperlink" Target="https://fns-prod.azureedge.us/sites/default/files/resource-files/snap-fy22-qc-payment-error-rate.pdf" TargetMode="External"/><Relationship Id="rId7" Type="http://schemas.openxmlformats.org/officeDocument/2006/relationships/hyperlink" Target="https://www.fns.usda.gov/snap/qc/timeliness" TargetMode="External"/><Relationship Id="rId2" Type="http://schemas.openxmlformats.org/officeDocument/2006/relationships/hyperlink" Target="https://www.fns.usda.gov/snap/governor-letter-performance-operations" TargetMode="External"/><Relationship Id="rId1" Type="http://schemas.openxmlformats.org/officeDocument/2006/relationships/hyperlink" Target="https://fns-prod.azureedge.us/sites/default/files/resource-files/snap-15th-state-options-report-october23.pdf" TargetMode="External"/><Relationship Id="rId6" Type="http://schemas.openxmlformats.org/officeDocument/2006/relationships/hyperlink" Target="https://sgp.fas.org/crs/misc/R42054.pdf" TargetMode="External"/><Relationship Id="rId11" Type="http://schemas.openxmlformats.org/officeDocument/2006/relationships/hyperlink" Target="https://www.fns.usda.gov/pd/supplemental-nutrition-assistance-program-snap" TargetMode="External"/><Relationship Id="rId5" Type="http://schemas.openxmlformats.org/officeDocument/2006/relationships/hyperlink" Target="https://www.fns.usda.gov/fns-regional-offices" TargetMode="External"/><Relationship Id="rId10" Type="http://schemas.openxmlformats.org/officeDocument/2006/relationships/hyperlink" Target="https://www.fns.usda.gov/pd/supplemental-nutrition-assistance-program-snap" TargetMode="External"/><Relationship Id="rId4" Type="http://schemas.openxmlformats.org/officeDocument/2006/relationships/hyperlink" Target="https://www.fns.usda.gov/pd/supplemental-nutrition-assistance-program-snap" TargetMode="External"/><Relationship Id="rId9" Type="http://schemas.openxmlformats.org/officeDocument/2006/relationships/hyperlink" Target="https://codeforamerica.org/explore/benefits-enrollment-field-guid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ns.usda.gov/pd/supplemental-nutrition-assistance-program-snap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fns.usda.gov/pd/supplemental-nutrition-assistance-program-snap" TargetMode="External"/><Relationship Id="rId1" Type="http://schemas.openxmlformats.org/officeDocument/2006/relationships/hyperlink" Target="https://www.bls.gov/oes/current/oes43406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7"/>
  <sheetViews>
    <sheetView workbookViewId="0" xr3:uid="{AEA406A1-0E4B-5B11-9CD5-51D6E497D94C}">
      <pane xSplit="2" ySplit="2" topLeftCell="K3" activePane="bottomRight" state="frozen"/>
      <selection pane="bottomRight" activeCell="L12" sqref="L12"/>
      <selection pane="bottomLeft"/>
      <selection pane="topRight"/>
    </sheetView>
  </sheetViews>
  <sheetFormatPr defaultRowHeight="15"/>
  <cols>
    <col min="1" max="1" width="12.7109375" bestFit="1" customWidth="1"/>
    <col min="2" max="2" width="18.85546875" bestFit="1" customWidth="1"/>
    <col min="3" max="4" width="29.85546875" style="2" bestFit="1" customWidth="1"/>
    <col min="5" max="5" width="19" style="2" bestFit="1" customWidth="1"/>
    <col min="6" max="6" width="30" style="2" bestFit="1" customWidth="1"/>
    <col min="7" max="7" width="30.28515625" customWidth="1"/>
    <col min="8" max="8" width="19.85546875" bestFit="1" customWidth="1"/>
    <col min="9" max="9" width="31.7109375" bestFit="1" customWidth="1"/>
    <col min="10" max="10" width="14.85546875" bestFit="1" customWidth="1"/>
    <col min="11" max="11" width="14.85546875" customWidth="1"/>
    <col min="12" max="12" width="41.85546875" style="1" bestFit="1" customWidth="1"/>
    <col min="13" max="13" width="36.5703125" style="1" bestFit="1" customWidth="1"/>
    <col min="14" max="14" width="18" style="1" bestFit="1" customWidth="1"/>
    <col min="15" max="15" width="19.140625" style="1" bestFit="1" customWidth="1"/>
    <col min="16" max="16" width="19.140625" style="1" customWidth="1"/>
    <col min="17" max="17" width="20" bestFit="1" customWidth="1"/>
    <col min="18" max="19" width="18.140625" bestFit="1" customWidth="1"/>
    <col min="20" max="21" width="18.140625" customWidth="1"/>
    <col min="22" max="22" width="19.85546875" bestFit="1" customWidth="1"/>
    <col min="23" max="23" width="9.140625" customWidth="1"/>
  </cols>
  <sheetData>
    <row r="1" spans="1:38">
      <c r="C1" s="18" t="s">
        <v>0</v>
      </c>
      <c r="D1" s="18"/>
      <c r="E1" s="18"/>
      <c r="F1" s="3" t="s">
        <v>1</v>
      </c>
      <c r="G1" s="3" t="s">
        <v>2</v>
      </c>
      <c r="H1" s="18" t="s">
        <v>3</v>
      </c>
      <c r="I1" s="18"/>
      <c r="J1" s="18"/>
      <c r="K1" s="18"/>
      <c r="L1" s="18" t="s">
        <v>4</v>
      </c>
      <c r="M1" s="18"/>
      <c r="N1" s="18" t="s">
        <v>5</v>
      </c>
      <c r="O1" s="18"/>
      <c r="P1" s="18"/>
      <c r="Q1" s="18" t="s">
        <v>6</v>
      </c>
      <c r="R1" s="18"/>
      <c r="S1" s="3" t="s">
        <v>7</v>
      </c>
      <c r="T1" s="3" t="s">
        <v>8</v>
      </c>
      <c r="U1" s="18" t="s">
        <v>9</v>
      </c>
      <c r="V1" s="18"/>
      <c r="W1" s="18" t="s">
        <v>10</v>
      </c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8"/>
      <c r="AL1" s="8"/>
    </row>
    <row r="2" spans="1:38" s="4" customFormat="1">
      <c r="A2" s="4" t="s">
        <v>11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2</v>
      </c>
      <c r="H2" s="4" t="s">
        <v>17</v>
      </c>
      <c r="I2" s="4" t="s">
        <v>6</v>
      </c>
      <c r="J2" s="4" t="s">
        <v>18</v>
      </c>
      <c r="K2" s="4" t="s">
        <v>19</v>
      </c>
      <c r="L2" s="4" t="s">
        <v>20</v>
      </c>
      <c r="M2" s="4" t="s">
        <v>21</v>
      </c>
      <c r="N2" s="4" t="s">
        <v>22</v>
      </c>
      <c r="O2" s="4" t="s">
        <v>23</v>
      </c>
      <c r="P2" s="4" t="s">
        <v>24</v>
      </c>
      <c r="Q2" s="4" t="s">
        <v>25</v>
      </c>
      <c r="R2" t="s">
        <v>26</v>
      </c>
      <c r="S2" s="4" t="s">
        <v>27</v>
      </c>
      <c r="T2" t="s">
        <v>28</v>
      </c>
      <c r="U2" t="s">
        <v>29</v>
      </c>
      <c r="V2" t="s">
        <v>30</v>
      </c>
      <c r="W2" t="s">
        <v>31</v>
      </c>
      <c r="X2" t="s">
        <v>32</v>
      </c>
      <c r="Y2" t="s">
        <v>33</v>
      </c>
      <c r="Z2" t="s">
        <v>34</v>
      </c>
      <c r="AA2" t="s">
        <v>35</v>
      </c>
      <c r="AB2" t="s">
        <v>36</v>
      </c>
      <c r="AC2" t="s">
        <v>37</v>
      </c>
      <c r="AD2" t="s">
        <v>38</v>
      </c>
      <c r="AE2" t="s">
        <v>39</v>
      </c>
      <c r="AF2" t="s">
        <v>40</v>
      </c>
      <c r="AG2" t="s">
        <v>41</v>
      </c>
      <c r="AH2" t="s">
        <v>42</v>
      </c>
      <c r="AI2" t="s">
        <v>43</v>
      </c>
      <c r="AJ2" t="s">
        <v>44</v>
      </c>
    </row>
    <row r="3" spans="1:38">
      <c r="A3" t="s">
        <v>45</v>
      </c>
      <c r="B3" t="s">
        <v>46</v>
      </c>
      <c r="C3" s="5">
        <v>50774</v>
      </c>
      <c r="D3" s="5">
        <v>59382</v>
      </c>
      <c r="E3" s="1">
        <f>(C3-D3)/D3</f>
        <v>-0.14495975211343504</v>
      </c>
      <c r="F3" s="1">
        <v>8.3099999999999993E-2</v>
      </c>
      <c r="G3" t="s">
        <v>47</v>
      </c>
      <c r="H3" t="s">
        <v>12</v>
      </c>
      <c r="I3" t="s">
        <v>48</v>
      </c>
      <c r="J3" t="s">
        <v>49</v>
      </c>
      <c r="K3" t="s">
        <v>48</v>
      </c>
      <c r="L3" s="1" t="s">
        <v>50</v>
      </c>
      <c r="M3" s="1">
        <v>0.56079999999999997</v>
      </c>
      <c r="N3" s="1">
        <v>0.56689999999999996</v>
      </c>
      <c r="O3" s="1">
        <v>2.8999999999999998E-3</v>
      </c>
      <c r="P3" s="1">
        <f t="shared" ref="P3:P34" si="0">N3+O3</f>
        <v>0.56979999999999997</v>
      </c>
      <c r="Q3" t="s">
        <v>51</v>
      </c>
      <c r="R3" s="6" t="s">
        <v>51</v>
      </c>
      <c r="S3" s="1">
        <v>0.93510000000000004</v>
      </c>
      <c r="T3">
        <v>0.89600000000000002</v>
      </c>
      <c r="U3" t="s">
        <v>48</v>
      </c>
      <c r="V3" t="s">
        <v>51</v>
      </c>
      <c r="W3" t="s">
        <v>52</v>
      </c>
      <c r="Y3" t="s">
        <v>52</v>
      </c>
      <c r="AB3" t="s">
        <v>52</v>
      </c>
      <c r="AH3" t="s">
        <v>52</v>
      </c>
      <c r="AJ3" t="s">
        <v>52</v>
      </c>
    </row>
    <row r="4" spans="1:38">
      <c r="A4" t="s">
        <v>53</v>
      </c>
      <c r="B4" t="s">
        <v>54</v>
      </c>
      <c r="C4" s="5">
        <v>756623</v>
      </c>
      <c r="D4" s="5">
        <v>775879</v>
      </c>
      <c r="E4" s="1">
        <f t="shared" ref="E4:E55" si="1">(C4-D4)/D4</f>
        <v>-2.4818302853924386E-2</v>
      </c>
      <c r="F4" s="1">
        <v>0.17100000000000001</v>
      </c>
      <c r="G4" t="s">
        <v>55</v>
      </c>
      <c r="H4" t="s">
        <v>12</v>
      </c>
      <c r="I4" t="s">
        <v>52</v>
      </c>
      <c r="J4" t="s">
        <v>48</v>
      </c>
      <c r="K4" t="s">
        <v>52</v>
      </c>
      <c r="L4" s="1" t="s">
        <v>50</v>
      </c>
      <c r="M4" s="1" t="s">
        <v>50</v>
      </c>
      <c r="N4" s="1">
        <v>3.9600000000000003E-2</v>
      </c>
      <c r="O4" s="1">
        <v>7.1999999999999998E-3</v>
      </c>
      <c r="P4" s="1">
        <f t="shared" si="0"/>
        <v>4.6800000000000001E-2</v>
      </c>
      <c r="Q4" t="s">
        <v>56</v>
      </c>
      <c r="R4" s="6">
        <v>1.3</v>
      </c>
      <c r="S4" s="1">
        <v>0.89680000000000004</v>
      </c>
      <c r="T4">
        <v>0.72799999999999998</v>
      </c>
      <c r="U4" t="s">
        <v>52</v>
      </c>
      <c r="V4" t="s">
        <v>48</v>
      </c>
    </row>
    <row r="5" spans="1:38">
      <c r="A5" t="s">
        <v>57</v>
      </c>
      <c r="B5" t="s">
        <v>58</v>
      </c>
      <c r="C5" s="5">
        <v>246383</v>
      </c>
      <c r="D5" s="5">
        <v>233193</v>
      </c>
      <c r="E5" s="1">
        <f t="shared" si="1"/>
        <v>5.6562589786142807E-2</v>
      </c>
      <c r="F5" s="1">
        <v>0.12889999999999999</v>
      </c>
      <c r="G5" t="s">
        <v>59</v>
      </c>
      <c r="H5" t="s">
        <v>12</v>
      </c>
      <c r="I5" t="s">
        <v>48</v>
      </c>
      <c r="J5" t="s">
        <v>48</v>
      </c>
      <c r="K5" t="s">
        <v>52</v>
      </c>
      <c r="L5" s="17">
        <v>0.78210000000000002</v>
      </c>
      <c r="M5" s="1">
        <v>0.54849999999999999</v>
      </c>
      <c r="N5" s="1">
        <v>0.1021</v>
      </c>
      <c r="O5" s="1">
        <v>1.0999999999999999E-2</v>
      </c>
      <c r="P5" s="1">
        <f t="shared" si="0"/>
        <v>0.11309999999999999</v>
      </c>
      <c r="Q5" t="s">
        <v>51</v>
      </c>
      <c r="R5" t="s">
        <v>51</v>
      </c>
      <c r="S5" s="1">
        <v>0.752</v>
      </c>
      <c r="T5">
        <v>0.52900000000000003</v>
      </c>
      <c r="U5" t="s">
        <v>52</v>
      </c>
      <c r="V5" t="s">
        <v>48</v>
      </c>
      <c r="AE5" t="s">
        <v>52</v>
      </c>
    </row>
    <row r="6" spans="1:38">
      <c r="A6" t="s">
        <v>60</v>
      </c>
      <c r="B6" t="s">
        <v>61</v>
      </c>
      <c r="C6" s="5">
        <v>927411</v>
      </c>
      <c r="D6" s="5">
        <v>875379</v>
      </c>
      <c r="E6" s="1">
        <f t="shared" si="1"/>
        <v>5.9439397106853149E-2</v>
      </c>
      <c r="F6" s="1">
        <v>1.4800000000000001E-2</v>
      </c>
      <c r="G6" t="s">
        <v>59</v>
      </c>
      <c r="H6" t="s">
        <v>12</v>
      </c>
      <c r="I6" t="s">
        <v>52</v>
      </c>
      <c r="J6" t="s">
        <v>49</v>
      </c>
      <c r="K6" t="s">
        <v>52</v>
      </c>
      <c r="L6" s="1">
        <v>0.93</v>
      </c>
      <c r="M6" s="1">
        <v>0.35920000000000002</v>
      </c>
      <c r="N6" s="1">
        <v>9.6199999999999994E-2</v>
      </c>
      <c r="O6" s="1">
        <v>1.77E-2</v>
      </c>
      <c r="P6" s="1">
        <f t="shared" si="0"/>
        <v>0.1139</v>
      </c>
      <c r="Q6" t="s">
        <v>56</v>
      </c>
      <c r="R6" s="6">
        <v>1.85</v>
      </c>
      <c r="S6" s="1">
        <v>0.90459999999999996</v>
      </c>
      <c r="T6">
        <v>0.72599999999999998</v>
      </c>
      <c r="U6" t="s">
        <v>52</v>
      </c>
      <c r="V6" t="s">
        <v>48</v>
      </c>
      <c r="W6" t="s">
        <v>52</v>
      </c>
      <c r="AC6" t="s">
        <v>52</v>
      </c>
      <c r="AI6" t="s">
        <v>52</v>
      </c>
      <c r="AJ6" t="s">
        <v>52</v>
      </c>
    </row>
    <row r="7" spans="1:38">
      <c r="A7" t="s">
        <v>62</v>
      </c>
      <c r="B7" t="s">
        <v>63</v>
      </c>
      <c r="C7" s="5">
        <v>5307404</v>
      </c>
      <c r="D7" s="5">
        <v>5052731</v>
      </c>
      <c r="E7" s="1">
        <f t="shared" si="1"/>
        <v>5.0403039465192187E-2</v>
      </c>
      <c r="F7" s="1">
        <v>0.25509999999999999</v>
      </c>
      <c r="G7" t="s">
        <v>47</v>
      </c>
      <c r="H7" t="s">
        <v>64</v>
      </c>
      <c r="I7" t="s">
        <v>52</v>
      </c>
      <c r="J7" t="s">
        <v>49</v>
      </c>
      <c r="K7" t="s">
        <v>52</v>
      </c>
      <c r="L7" s="1">
        <v>0.8629</v>
      </c>
      <c r="M7" s="1">
        <v>0.39600000000000002</v>
      </c>
      <c r="N7" s="1">
        <v>9.5899999999999999E-2</v>
      </c>
      <c r="O7" s="1">
        <v>1.5100000000000001E-2</v>
      </c>
      <c r="P7" s="1">
        <f t="shared" si="0"/>
        <v>0.111</v>
      </c>
      <c r="Q7" t="s">
        <v>56</v>
      </c>
      <c r="R7" s="6">
        <v>2</v>
      </c>
      <c r="S7" s="1">
        <v>0.7984</v>
      </c>
      <c r="T7">
        <v>0.70899999999999996</v>
      </c>
      <c r="U7" t="s">
        <v>52</v>
      </c>
      <c r="V7" t="s">
        <v>48</v>
      </c>
      <c r="W7" t="s">
        <v>52</v>
      </c>
      <c r="AB7" t="s">
        <v>52</v>
      </c>
      <c r="AD7" t="s">
        <v>52</v>
      </c>
      <c r="AE7" t="s">
        <v>52</v>
      </c>
    </row>
    <row r="8" spans="1:38">
      <c r="A8" t="s">
        <v>65</v>
      </c>
      <c r="B8" t="s">
        <v>66</v>
      </c>
      <c r="C8" s="5">
        <v>572223</v>
      </c>
      <c r="D8" s="5">
        <v>552462</v>
      </c>
      <c r="E8" s="1">
        <f t="shared" si="1"/>
        <v>3.576897596576778E-2</v>
      </c>
      <c r="F8" s="1">
        <v>7.2800000000000004E-2</v>
      </c>
      <c r="G8" t="s">
        <v>67</v>
      </c>
      <c r="H8" t="s">
        <v>64</v>
      </c>
      <c r="I8" t="s">
        <v>52</v>
      </c>
      <c r="J8" t="s">
        <v>68</v>
      </c>
      <c r="K8" t="s">
        <v>48</v>
      </c>
      <c r="L8" s="1">
        <v>0.82140000000000002</v>
      </c>
      <c r="M8" s="1">
        <v>0.39119999999999999</v>
      </c>
      <c r="N8" s="1">
        <v>5.2900000000000003E-2</v>
      </c>
      <c r="O8" s="1">
        <v>2.0199999999999999E-2</v>
      </c>
      <c r="P8" s="1">
        <f t="shared" si="0"/>
        <v>7.3099999999999998E-2</v>
      </c>
      <c r="Q8" t="s">
        <v>56</v>
      </c>
      <c r="R8" s="6">
        <v>2</v>
      </c>
      <c r="S8" s="1">
        <v>0.74219999999999997</v>
      </c>
      <c r="T8">
        <v>0.73</v>
      </c>
      <c r="U8" t="s">
        <v>52</v>
      </c>
      <c r="V8" t="s">
        <v>48</v>
      </c>
      <c r="W8" t="s">
        <v>52</v>
      </c>
      <c r="AB8" t="s">
        <v>52</v>
      </c>
      <c r="AH8" t="s">
        <v>52</v>
      </c>
      <c r="AJ8" t="s">
        <v>52</v>
      </c>
    </row>
    <row r="9" spans="1:38">
      <c r="A9" t="s">
        <v>69</v>
      </c>
      <c r="B9" t="s">
        <v>70</v>
      </c>
      <c r="C9" s="5">
        <v>393847</v>
      </c>
      <c r="D9" s="5">
        <v>387527</v>
      </c>
      <c r="E9" s="1">
        <f t="shared" si="1"/>
        <v>1.6308541082298782E-2</v>
      </c>
      <c r="F9" s="1">
        <v>5.9900000000000002E-2</v>
      </c>
      <c r="G9" t="s">
        <v>71</v>
      </c>
      <c r="H9" t="s">
        <v>12</v>
      </c>
      <c r="I9" t="s">
        <v>52</v>
      </c>
      <c r="J9" t="s">
        <v>49</v>
      </c>
      <c r="K9" t="s">
        <v>52</v>
      </c>
      <c r="L9" s="1">
        <v>0.98060000000000003</v>
      </c>
      <c r="M9" s="1">
        <v>0.34429999999999999</v>
      </c>
      <c r="N9" s="1">
        <v>7.2099999999999997E-2</v>
      </c>
      <c r="O9" s="1">
        <v>1.7299999999999999E-2</v>
      </c>
      <c r="P9" s="1">
        <f t="shared" si="0"/>
        <v>8.9399999999999993E-2</v>
      </c>
      <c r="Q9" t="s">
        <v>56</v>
      </c>
      <c r="R9" s="6">
        <v>1.85</v>
      </c>
      <c r="S9" s="1">
        <v>0.93069999999999997</v>
      </c>
      <c r="T9">
        <v>0.83499999999999996</v>
      </c>
      <c r="U9" t="s">
        <v>52</v>
      </c>
      <c r="V9" t="s">
        <v>48</v>
      </c>
      <c r="W9" t="s">
        <v>52</v>
      </c>
      <c r="AC9" t="s">
        <v>52</v>
      </c>
    </row>
    <row r="10" spans="1:38">
      <c r="A10" t="s">
        <v>72</v>
      </c>
      <c r="B10" t="s">
        <v>73</v>
      </c>
      <c r="C10" s="5">
        <v>138419</v>
      </c>
      <c r="D10" s="5">
        <v>138398</v>
      </c>
      <c r="E10" s="1">
        <f t="shared" si="1"/>
        <v>1.5173629676729433E-4</v>
      </c>
      <c r="F10" s="1">
        <v>0.38300000000000001</v>
      </c>
      <c r="G10" t="s">
        <v>74</v>
      </c>
      <c r="H10" t="s">
        <v>12</v>
      </c>
      <c r="I10" t="s">
        <v>52</v>
      </c>
      <c r="J10" t="s">
        <v>49</v>
      </c>
      <c r="K10" t="s">
        <v>52</v>
      </c>
      <c r="L10" s="17">
        <v>0.43469999999999998</v>
      </c>
      <c r="M10" s="1">
        <v>0.80459999999999998</v>
      </c>
      <c r="N10" s="1">
        <v>0.14549999999999999</v>
      </c>
      <c r="O10" s="1">
        <v>4.3999999999999997E-2</v>
      </c>
      <c r="P10" s="1">
        <f t="shared" si="0"/>
        <v>0.1895</v>
      </c>
      <c r="Q10" t="s">
        <v>56</v>
      </c>
      <c r="R10" s="6">
        <v>2</v>
      </c>
      <c r="S10" s="1">
        <v>0.42859999999999998</v>
      </c>
      <c r="T10">
        <v>1.216</v>
      </c>
      <c r="U10" t="s">
        <v>52</v>
      </c>
      <c r="V10" t="s">
        <v>48</v>
      </c>
    </row>
    <row r="11" spans="1:38">
      <c r="A11" t="s">
        <v>75</v>
      </c>
      <c r="B11" t="s">
        <v>76</v>
      </c>
      <c r="C11" s="5">
        <v>118512</v>
      </c>
      <c r="D11" s="5">
        <v>121048</v>
      </c>
      <c r="E11" s="1">
        <f t="shared" si="1"/>
        <v>-2.0950366796642653E-2</v>
      </c>
      <c r="F11" s="1">
        <v>0.99860000000000004</v>
      </c>
      <c r="G11" t="s">
        <v>74</v>
      </c>
      <c r="H11" t="s">
        <v>12</v>
      </c>
      <c r="I11" t="s">
        <v>52</v>
      </c>
      <c r="J11" t="s">
        <v>48</v>
      </c>
      <c r="K11" t="s">
        <v>48</v>
      </c>
      <c r="L11" s="1">
        <v>0.94969999999999999</v>
      </c>
      <c r="M11" s="1">
        <v>0.76270000000000004</v>
      </c>
      <c r="N11" s="1">
        <v>0.18609999999999999</v>
      </c>
      <c r="O11" s="1">
        <v>3.8300000000000001E-2</v>
      </c>
      <c r="P11" s="1">
        <f t="shared" si="0"/>
        <v>0.22439999999999999</v>
      </c>
      <c r="Q11" t="s">
        <v>56</v>
      </c>
      <c r="R11" s="6">
        <v>2</v>
      </c>
      <c r="S11" s="1">
        <v>0.79410000000000003</v>
      </c>
      <c r="T11">
        <v>0.77500000000000002</v>
      </c>
      <c r="U11" t="s">
        <v>52</v>
      </c>
      <c r="V11" t="s">
        <v>48</v>
      </c>
      <c r="AB11" t="s">
        <v>52</v>
      </c>
    </row>
    <row r="12" spans="1:38">
      <c r="A12" t="s">
        <v>77</v>
      </c>
      <c r="B12" t="s">
        <v>78</v>
      </c>
      <c r="C12" s="5">
        <v>3112411</v>
      </c>
      <c r="D12" s="5">
        <v>3384172</v>
      </c>
      <c r="E12" s="1">
        <f t="shared" si="1"/>
        <v>-8.0303542491339086E-2</v>
      </c>
      <c r="F12" s="1">
        <v>0.1173</v>
      </c>
      <c r="G12" t="s">
        <v>55</v>
      </c>
      <c r="H12" t="s">
        <v>12</v>
      </c>
      <c r="I12" t="s">
        <v>52</v>
      </c>
      <c r="J12" t="s">
        <v>48</v>
      </c>
      <c r="K12" t="s">
        <v>52</v>
      </c>
      <c r="L12" s="17">
        <v>0.66369999999999996</v>
      </c>
      <c r="M12" s="1">
        <v>0.5171</v>
      </c>
      <c r="N12" s="1">
        <v>7.4499999999999997E-2</v>
      </c>
      <c r="O12" s="1">
        <v>1.15E-2</v>
      </c>
      <c r="P12" s="1">
        <f t="shared" si="0"/>
        <v>8.5999999999999993E-2</v>
      </c>
      <c r="Q12" t="s">
        <v>56</v>
      </c>
      <c r="R12" s="6">
        <v>2</v>
      </c>
      <c r="S12" s="1">
        <v>0.72919999999999996</v>
      </c>
      <c r="T12">
        <v>0.86599999999999999</v>
      </c>
      <c r="U12" t="s">
        <v>52</v>
      </c>
      <c r="V12" t="s">
        <v>48</v>
      </c>
      <c r="AB12" t="s">
        <v>52</v>
      </c>
      <c r="AC12" t="s">
        <v>52</v>
      </c>
    </row>
    <row r="13" spans="1:38">
      <c r="A13" t="s">
        <v>79</v>
      </c>
      <c r="B13" t="s">
        <v>80</v>
      </c>
      <c r="C13" s="5">
        <v>1433957</v>
      </c>
      <c r="D13" s="5">
        <v>1579073</v>
      </c>
      <c r="E13" s="1">
        <f t="shared" si="1"/>
        <v>-9.189948786408228E-2</v>
      </c>
      <c r="F13" s="1">
        <v>0.1172</v>
      </c>
      <c r="G13" t="s">
        <v>55</v>
      </c>
      <c r="H13" t="s">
        <v>12</v>
      </c>
      <c r="I13" t="s">
        <v>52</v>
      </c>
      <c r="J13" t="s">
        <v>48</v>
      </c>
      <c r="K13" t="s">
        <v>52</v>
      </c>
      <c r="L13" s="1">
        <v>0.84899999999999998</v>
      </c>
      <c r="M13" s="1">
        <v>0.74819999999999998</v>
      </c>
      <c r="N13" s="1">
        <v>0.11749999999999999</v>
      </c>
      <c r="O13" s="1">
        <v>3.2300000000000002E-2</v>
      </c>
      <c r="P13" s="1">
        <f t="shared" si="0"/>
        <v>0.14979999999999999</v>
      </c>
      <c r="Q13" t="s">
        <v>56</v>
      </c>
      <c r="R13" s="6">
        <v>2</v>
      </c>
      <c r="S13" s="1">
        <v>0.68</v>
      </c>
      <c r="T13">
        <v>0.84899999999999998</v>
      </c>
      <c r="U13" t="s">
        <v>52</v>
      </c>
      <c r="V13" t="s">
        <v>48</v>
      </c>
      <c r="AB13" t="s">
        <v>52</v>
      </c>
    </row>
    <row r="14" spans="1:38">
      <c r="A14" t="s">
        <v>81</v>
      </c>
      <c r="B14" t="s">
        <v>82</v>
      </c>
      <c r="C14" s="5">
        <v>32131</v>
      </c>
      <c r="D14" s="5">
        <v>35831</v>
      </c>
      <c r="E14" s="1">
        <f t="shared" si="1"/>
        <v>-0.1032625380257319</v>
      </c>
      <c r="F14" s="1">
        <v>9.4899999999999998E-2</v>
      </c>
      <c r="G14" t="s">
        <v>47</v>
      </c>
      <c r="H14" t="s">
        <v>12</v>
      </c>
      <c r="I14" t="s">
        <v>52</v>
      </c>
      <c r="J14" t="s">
        <v>49</v>
      </c>
      <c r="K14" t="s">
        <v>48</v>
      </c>
      <c r="L14" s="17">
        <v>0.69810000000000005</v>
      </c>
      <c r="M14" s="1">
        <v>0.61339999999999995</v>
      </c>
      <c r="N14" s="1">
        <v>0.1268</v>
      </c>
      <c r="O14" s="1">
        <v>3.6299999999999999E-2</v>
      </c>
      <c r="P14" s="1">
        <f t="shared" si="0"/>
        <v>0.16309999999999999</v>
      </c>
      <c r="Q14" t="s">
        <v>56</v>
      </c>
      <c r="R14" s="6">
        <v>1.65</v>
      </c>
      <c r="S14" s="1">
        <v>0.6593</v>
      </c>
      <c r="T14" t="s">
        <v>50</v>
      </c>
      <c r="U14" t="s">
        <v>50</v>
      </c>
      <c r="V14" t="s">
        <v>50</v>
      </c>
      <c r="W14" t="s">
        <v>52</v>
      </c>
      <c r="Z14" t="s">
        <v>52</v>
      </c>
      <c r="AB14" t="s">
        <v>52</v>
      </c>
      <c r="AE14" t="s">
        <v>52</v>
      </c>
    </row>
    <row r="15" spans="1:38">
      <c r="A15" t="s">
        <v>83</v>
      </c>
      <c r="B15" t="s">
        <v>84</v>
      </c>
      <c r="C15" s="5">
        <v>172031</v>
      </c>
      <c r="D15" s="5">
        <v>158492</v>
      </c>
      <c r="E15" s="1">
        <f t="shared" si="1"/>
        <v>8.542386997450975E-2</v>
      </c>
      <c r="F15" s="1">
        <v>3.9399999999999998E-2</v>
      </c>
      <c r="G15" t="s">
        <v>47</v>
      </c>
      <c r="H15" t="s">
        <v>12</v>
      </c>
      <c r="I15" t="s">
        <v>52</v>
      </c>
      <c r="J15" t="s">
        <v>49</v>
      </c>
      <c r="K15" t="s">
        <v>48</v>
      </c>
      <c r="L15" s="17">
        <v>0.76949999999999996</v>
      </c>
      <c r="M15" s="1">
        <v>0.58150000000000002</v>
      </c>
      <c r="N15" s="1">
        <v>0.19650000000000001</v>
      </c>
      <c r="O15" s="1">
        <v>2.1299999999999999E-2</v>
      </c>
      <c r="P15" s="1">
        <f t="shared" si="0"/>
        <v>0.21779999999999999</v>
      </c>
      <c r="Q15" t="s">
        <v>56</v>
      </c>
      <c r="R15" s="6">
        <v>2</v>
      </c>
      <c r="S15" s="1">
        <v>0.77039999999999997</v>
      </c>
      <c r="T15">
        <v>0.99199999999999999</v>
      </c>
      <c r="U15" t="s">
        <v>52</v>
      </c>
      <c r="V15" t="s">
        <v>48</v>
      </c>
      <c r="AI15" t="s">
        <v>52</v>
      </c>
    </row>
    <row r="16" spans="1:38">
      <c r="A16" t="s">
        <v>85</v>
      </c>
      <c r="B16" t="s">
        <v>86</v>
      </c>
      <c r="C16" s="5">
        <v>259949</v>
      </c>
      <c r="D16" s="5">
        <v>267682</v>
      </c>
      <c r="E16" s="1">
        <f t="shared" si="1"/>
        <v>-2.8888756061296612E-2</v>
      </c>
      <c r="F16" s="1">
        <v>0.12690000000000001</v>
      </c>
      <c r="G16" t="s">
        <v>87</v>
      </c>
      <c r="H16" t="s">
        <v>12</v>
      </c>
      <c r="I16" t="s">
        <v>52</v>
      </c>
      <c r="J16" t="s">
        <v>48</v>
      </c>
      <c r="K16" t="s">
        <v>48</v>
      </c>
      <c r="L16" s="1">
        <v>0.8992</v>
      </c>
      <c r="M16" s="1">
        <v>0.29649999999999999</v>
      </c>
      <c r="N16" s="1">
        <v>6.7799999999999999E-2</v>
      </c>
      <c r="O16" s="1">
        <v>1.8200000000000001E-2</v>
      </c>
      <c r="P16" s="1">
        <f t="shared" si="0"/>
        <v>8.5999999999999993E-2</v>
      </c>
      <c r="Q16" t="s">
        <v>56</v>
      </c>
      <c r="R16" s="6">
        <v>1.6</v>
      </c>
      <c r="S16" s="1">
        <v>0.78339999999999999</v>
      </c>
      <c r="T16">
        <v>0.621</v>
      </c>
      <c r="U16" t="s">
        <v>52</v>
      </c>
      <c r="V16" t="s">
        <v>48</v>
      </c>
      <c r="W16" t="s">
        <v>52</v>
      </c>
      <c r="AB16" t="s">
        <v>52</v>
      </c>
    </row>
    <row r="17" spans="1:36">
      <c r="A17" t="s">
        <v>88</v>
      </c>
      <c r="B17" t="s">
        <v>89</v>
      </c>
      <c r="C17" s="5">
        <v>125435</v>
      </c>
      <c r="D17" s="5">
        <v>122172</v>
      </c>
      <c r="E17" s="1">
        <f t="shared" si="1"/>
        <v>2.6708247388927086E-2</v>
      </c>
      <c r="F17" s="1">
        <v>0.14449999999999999</v>
      </c>
      <c r="G17" t="s">
        <v>47</v>
      </c>
      <c r="H17" t="s">
        <v>12</v>
      </c>
      <c r="I17" t="s">
        <v>52</v>
      </c>
      <c r="J17" t="s">
        <v>48</v>
      </c>
      <c r="K17" t="s">
        <v>48</v>
      </c>
      <c r="L17" s="1" t="s">
        <v>50</v>
      </c>
      <c r="M17" s="1" t="s">
        <v>50</v>
      </c>
      <c r="N17" s="1">
        <v>3.2599999999999997E-2</v>
      </c>
      <c r="O17" s="1">
        <v>1.8E-3</v>
      </c>
      <c r="P17" s="1">
        <f t="shared" si="0"/>
        <v>3.44E-2</v>
      </c>
      <c r="Q17" s="7">
        <v>5000</v>
      </c>
      <c r="R17" s="6">
        <v>1.3</v>
      </c>
      <c r="S17" s="1">
        <v>1</v>
      </c>
      <c r="T17">
        <v>0.46600000000000003</v>
      </c>
      <c r="U17" t="s">
        <v>48</v>
      </c>
      <c r="V17" t="s">
        <v>51</v>
      </c>
      <c r="AB17" t="s">
        <v>52</v>
      </c>
      <c r="AC17" t="s">
        <v>52</v>
      </c>
    </row>
    <row r="18" spans="1:36">
      <c r="A18" t="s">
        <v>90</v>
      </c>
      <c r="B18" t="s">
        <v>91</v>
      </c>
      <c r="C18" s="5">
        <v>1939888</v>
      </c>
      <c r="D18" s="5">
        <v>2032657</v>
      </c>
      <c r="E18" s="1">
        <f t="shared" si="1"/>
        <v>-4.5639279032320748E-2</v>
      </c>
      <c r="F18" s="1">
        <v>0.17480000000000001</v>
      </c>
      <c r="G18" t="s">
        <v>87</v>
      </c>
      <c r="H18" t="s">
        <v>12</v>
      </c>
      <c r="I18" t="s">
        <v>52</v>
      </c>
      <c r="J18" t="s">
        <v>49</v>
      </c>
      <c r="K18" t="s">
        <v>52</v>
      </c>
      <c r="L18" s="1">
        <v>0.99860000000000004</v>
      </c>
      <c r="M18" s="1">
        <v>0.45529999999999998</v>
      </c>
      <c r="N18" s="1">
        <v>9.6699999999999994E-2</v>
      </c>
      <c r="O18" s="1">
        <v>1.24E-2</v>
      </c>
      <c r="P18" s="1">
        <f t="shared" si="0"/>
        <v>0.10909999999999999</v>
      </c>
      <c r="Q18" t="s">
        <v>56</v>
      </c>
      <c r="R18" s="6">
        <v>1.65</v>
      </c>
      <c r="S18" s="1">
        <v>0.96089999999999998</v>
      </c>
      <c r="T18">
        <v>1.03</v>
      </c>
      <c r="U18" t="s">
        <v>52</v>
      </c>
      <c r="V18" t="s">
        <v>48</v>
      </c>
      <c r="W18" t="s">
        <v>52</v>
      </c>
      <c r="AB18" t="s">
        <v>52</v>
      </c>
      <c r="AD18" t="s">
        <v>52</v>
      </c>
      <c r="AE18" t="s">
        <v>52</v>
      </c>
      <c r="AI18" t="s">
        <v>52</v>
      </c>
    </row>
    <row r="19" spans="1:36">
      <c r="A19" t="s">
        <v>92</v>
      </c>
      <c r="B19" t="s">
        <v>93</v>
      </c>
      <c r="C19" s="5">
        <v>613137</v>
      </c>
      <c r="D19" s="5">
        <v>599932</v>
      </c>
      <c r="E19" s="1">
        <f t="shared" si="1"/>
        <v>2.2010827893827967E-2</v>
      </c>
      <c r="F19" s="1">
        <v>8.6300000000000002E-2</v>
      </c>
      <c r="G19" t="s">
        <v>87</v>
      </c>
      <c r="H19" t="s">
        <v>12</v>
      </c>
      <c r="I19" t="s">
        <v>52</v>
      </c>
      <c r="J19" t="s">
        <v>48</v>
      </c>
      <c r="K19" t="s">
        <v>48</v>
      </c>
      <c r="L19" s="1">
        <v>0.86180000000000001</v>
      </c>
      <c r="M19" s="1">
        <v>0.39029999999999998</v>
      </c>
      <c r="N19" s="1">
        <v>6.59E-2</v>
      </c>
      <c r="O19" s="1">
        <v>2.1000000000000001E-2</v>
      </c>
      <c r="P19" s="1">
        <f t="shared" si="0"/>
        <v>8.6900000000000005E-2</v>
      </c>
      <c r="Q19" s="7">
        <v>5000</v>
      </c>
      <c r="R19" s="6">
        <v>1.3</v>
      </c>
      <c r="S19" s="1">
        <v>0.84799999999999998</v>
      </c>
      <c r="T19">
        <v>0.59699999999999998</v>
      </c>
      <c r="U19" t="s">
        <v>52</v>
      </c>
      <c r="V19" t="s">
        <v>48</v>
      </c>
      <c r="AB19" t="s">
        <v>52</v>
      </c>
      <c r="AG19" t="s">
        <v>52</v>
      </c>
    </row>
    <row r="20" spans="1:36">
      <c r="A20" t="s">
        <v>94</v>
      </c>
      <c r="B20" t="s">
        <v>95</v>
      </c>
      <c r="C20" s="5">
        <v>186878</v>
      </c>
      <c r="D20" s="5">
        <v>191440</v>
      </c>
      <c r="E20" s="1">
        <f t="shared" si="1"/>
        <v>-2.3829920601755119E-2</v>
      </c>
      <c r="F20" s="1">
        <v>0.13550000000000001</v>
      </c>
      <c r="G20" t="s">
        <v>67</v>
      </c>
      <c r="H20" t="s">
        <v>12</v>
      </c>
      <c r="I20" t="s">
        <v>48</v>
      </c>
      <c r="J20" t="s">
        <v>48</v>
      </c>
      <c r="K20" t="s">
        <v>48</v>
      </c>
      <c r="L20" s="1">
        <v>0.88539999999999996</v>
      </c>
      <c r="M20" s="1">
        <v>0.35060000000000002</v>
      </c>
      <c r="N20" s="1">
        <v>8.7400000000000005E-2</v>
      </c>
      <c r="O20" s="1">
        <v>3.3E-3</v>
      </c>
      <c r="P20" s="1">
        <f t="shared" si="0"/>
        <v>9.0700000000000003E-2</v>
      </c>
      <c r="Q20" t="s">
        <v>51</v>
      </c>
      <c r="R20" t="s">
        <v>51</v>
      </c>
      <c r="S20" s="1">
        <v>0.74029999999999996</v>
      </c>
      <c r="T20">
        <v>0.46200000000000002</v>
      </c>
      <c r="U20" t="s">
        <v>52</v>
      </c>
      <c r="V20" t="s">
        <v>48</v>
      </c>
      <c r="AB20" t="s">
        <v>52</v>
      </c>
      <c r="AD20" t="s">
        <v>52</v>
      </c>
      <c r="AH20" t="s">
        <v>52</v>
      </c>
      <c r="AJ20" t="s">
        <v>52</v>
      </c>
    </row>
    <row r="21" spans="1:36">
      <c r="A21" t="s">
        <v>96</v>
      </c>
      <c r="B21" t="s">
        <v>97</v>
      </c>
      <c r="C21" s="5">
        <v>561185</v>
      </c>
      <c r="D21" s="5">
        <v>549001</v>
      </c>
      <c r="E21" s="1">
        <f t="shared" si="1"/>
        <v>2.2193037899748816E-2</v>
      </c>
      <c r="F21" s="1">
        <v>1.2800000000000001E-2</v>
      </c>
      <c r="G21" t="s">
        <v>55</v>
      </c>
      <c r="H21" t="s">
        <v>12</v>
      </c>
      <c r="I21" t="s">
        <v>52</v>
      </c>
      <c r="J21" t="s">
        <v>68</v>
      </c>
      <c r="K21" t="s">
        <v>48</v>
      </c>
      <c r="L21" s="1">
        <v>0.84099999999999997</v>
      </c>
      <c r="M21" s="1">
        <v>0.79669999999999996</v>
      </c>
      <c r="N21" s="1">
        <v>5.0500000000000003E-2</v>
      </c>
      <c r="O21" s="1">
        <v>7.7999999999999996E-3</v>
      </c>
      <c r="P21" s="1">
        <f t="shared" si="0"/>
        <v>5.8300000000000005E-2</v>
      </c>
      <c r="Q21" t="s">
        <v>56</v>
      </c>
      <c r="R21" s="6">
        <v>2</v>
      </c>
      <c r="S21" s="1">
        <v>0.89859999999999995</v>
      </c>
      <c r="T21">
        <v>0.61799999999999999</v>
      </c>
      <c r="U21" t="s">
        <v>52</v>
      </c>
      <c r="V21" t="s">
        <v>52</v>
      </c>
      <c r="AC21" t="s">
        <v>52</v>
      </c>
      <c r="AE21" t="s">
        <v>52</v>
      </c>
      <c r="AJ21" t="s">
        <v>52</v>
      </c>
    </row>
    <row r="22" spans="1:36">
      <c r="A22" t="s">
        <v>98</v>
      </c>
      <c r="B22" t="s">
        <v>99</v>
      </c>
      <c r="C22" s="5">
        <v>861619</v>
      </c>
      <c r="D22" s="5">
        <v>872683</v>
      </c>
      <c r="E22" s="1">
        <f t="shared" si="1"/>
        <v>-1.2678143151636963E-2</v>
      </c>
      <c r="F22" s="1">
        <v>0.1043</v>
      </c>
      <c r="G22" t="s">
        <v>59</v>
      </c>
      <c r="H22" t="s">
        <v>12</v>
      </c>
      <c r="I22" t="s">
        <v>52</v>
      </c>
      <c r="J22" t="s">
        <v>49</v>
      </c>
      <c r="K22" t="s">
        <v>52</v>
      </c>
      <c r="L22" s="1">
        <v>0.98640000000000005</v>
      </c>
      <c r="M22" s="1">
        <v>0.5857</v>
      </c>
      <c r="N22" s="1">
        <v>0.06</v>
      </c>
      <c r="O22" s="1">
        <v>1.2E-2</v>
      </c>
      <c r="P22" s="1">
        <f t="shared" si="0"/>
        <v>7.1999999999999995E-2</v>
      </c>
      <c r="Q22" t="s">
        <v>56</v>
      </c>
      <c r="R22" s="6">
        <v>1.3</v>
      </c>
      <c r="S22" s="1">
        <v>0.9294</v>
      </c>
      <c r="T22">
        <v>0.79700000000000004</v>
      </c>
      <c r="U22" t="s">
        <v>52</v>
      </c>
      <c r="V22" t="s">
        <v>48</v>
      </c>
      <c r="AC22" t="s">
        <v>52</v>
      </c>
      <c r="AD22" t="s">
        <v>52</v>
      </c>
    </row>
    <row r="23" spans="1:36">
      <c r="A23" t="s">
        <v>100</v>
      </c>
      <c r="B23" t="s">
        <v>101</v>
      </c>
      <c r="C23" s="5">
        <v>1100805</v>
      </c>
      <c r="D23" s="5">
        <v>1061815</v>
      </c>
      <c r="E23" s="1">
        <f t="shared" si="1"/>
        <v>3.6720144281254266E-2</v>
      </c>
      <c r="F23" s="1">
        <v>0.21260000000000001</v>
      </c>
      <c r="G23" t="s">
        <v>71</v>
      </c>
      <c r="H23" t="s">
        <v>12</v>
      </c>
      <c r="I23" t="s">
        <v>52</v>
      </c>
      <c r="J23" t="s">
        <v>68</v>
      </c>
      <c r="K23" t="s">
        <v>52</v>
      </c>
      <c r="L23" s="1">
        <v>0.95689999999999997</v>
      </c>
      <c r="M23" s="1">
        <v>0.23549999999999999</v>
      </c>
      <c r="N23" s="1">
        <v>0.1077</v>
      </c>
      <c r="O23" s="1">
        <v>0.01</v>
      </c>
      <c r="P23" s="1">
        <f t="shared" si="0"/>
        <v>0.1177</v>
      </c>
      <c r="Q23" t="s">
        <v>56</v>
      </c>
      <c r="R23" s="6">
        <v>2</v>
      </c>
      <c r="S23" s="1">
        <v>0.93630000000000002</v>
      </c>
      <c r="T23">
        <v>1.079</v>
      </c>
      <c r="U23" t="s">
        <v>52</v>
      </c>
      <c r="V23" t="s">
        <v>48</v>
      </c>
      <c r="W23" t="s">
        <v>52</v>
      </c>
      <c r="AF23" t="s">
        <v>52</v>
      </c>
      <c r="AI23" t="s">
        <v>52</v>
      </c>
      <c r="AJ23" t="s">
        <v>52</v>
      </c>
    </row>
    <row r="24" spans="1:36">
      <c r="A24" t="s">
        <v>102</v>
      </c>
      <c r="B24" t="s">
        <v>103</v>
      </c>
      <c r="C24" s="5">
        <v>682038</v>
      </c>
      <c r="D24" s="5">
        <v>645467</v>
      </c>
      <c r="E24" s="1">
        <f t="shared" si="1"/>
        <v>5.6658202510740288E-2</v>
      </c>
      <c r="F24" s="1">
        <v>3.0599999999999999E-2</v>
      </c>
      <c r="G24" t="s">
        <v>74</v>
      </c>
      <c r="H24" t="s">
        <v>12</v>
      </c>
      <c r="I24" t="s">
        <v>52</v>
      </c>
      <c r="J24" t="s">
        <v>68</v>
      </c>
      <c r="K24" t="s">
        <v>52</v>
      </c>
      <c r="L24" s="1">
        <v>0.88580000000000003</v>
      </c>
      <c r="M24" s="1">
        <v>0.55479999999999996</v>
      </c>
      <c r="N24" s="1">
        <v>0.32650000000000001</v>
      </c>
      <c r="O24" s="1">
        <v>2.9100000000000001E-2</v>
      </c>
      <c r="P24" s="1">
        <f t="shared" si="0"/>
        <v>0.35560000000000003</v>
      </c>
      <c r="Q24" t="s">
        <v>56</v>
      </c>
      <c r="R24" s="6">
        <v>2</v>
      </c>
      <c r="S24" s="1">
        <v>0.89159999999999995</v>
      </c>
      <c r="T24">
        <v>1.0920000000000001</v>
      </c>
      <c r="U24" t="s">
        <v>52</v>
      </c>
      <c r="V24" t="s">
        <v>48</v>
      </c>
    </row>
    <row r="25" spans="1:36">
      <c r="A25" t="s">
        <v>104</v>
      </c>
      <c r="B25" t="s">
        <v>105</v>
      </c>
      <c r="C25" s="5">
        <v>167750</v>
      </c>
      <c r="D25" s="5">
        <v>167793</v>
      </c>
      <c r="E25" s="1">
        <f t="shared" si="1"/>
        <v>-2.5626813991048492E-4</v>
      </c>
      <c r="F25" s="1">
        <v>0.21840000000000001</v>
      </c>
      <c r="G25" t="s">
        <v>71</v>
      </c>
      <c r="H25" t="s">
        <v>12</v>
      </c>
      <c r="I25" t="s">
        <v>52</v>
      </c>
      <c r="J25" t="s">
        <v>48</v>
      </c>
      <c r="K25" t="s">
        <v>48</v>
      </c>
      <c r="L25" s="1">
        <v>0.95169999999999999</v>
      </c>
      <c r="M25" s="1">
        <v>0.48420000000000002</v>
      </c>
      <c r="N25" s="1">
        <v>0.13589999999999999</v>
      </c>
      <c r="O25" s="1">
        <v>1.2699999999999999E-2</v>
      </c>
      <c r="P25" s="1">
        <f t="shared" si="0"/>
        <v>0.14859999999999998</v>
      </c>
      <c r="Q25" t="s">
        <v>56</v>
      </c>
      <c r="R25" s="6">
        <v>1.85</v>
      </c>
      <c r="S25" s="1">
        <v>0.90700000000000003</v>
      </c>
      <c r="T25">
        <v>0.81100000000000005</v>
      </c>
      <c r="U25" t="s">
        <v>52</v>
      </c>
      <c r="V25" t="s">
        <v>48</v>
      </c>
      <c r="W25" t="s">
        <v>52</v>
      </c>
      <c r="AB25" t="s">
        <v>52</v>
      </c>
      <c r="AD25" t="s">
        <v>52</v>
      </c>
    </row>
    <row r="26" spans="1:36">
      <c r="A26" t="s">
        <v>106</v>
      </c>
      <c r="B26" t="s">
        <v>107</v>
      </c>
      <c r="C26" s="5">
        <v>1478749</v>
      </c>
      <c r="D26" s="5">
        <v>1406035</v>
      </c>
      <c r="E26" s="1">
        <f t="shared" si="1"/>
        <v>5.1715640080083357E-2</v>
      </c>
      <c r="F26" s="1">
        <v>0.14779999999999999</v>
      </c>
      <c r="G26" t="s">
        <v>87</v>
      </c>
      <c r="H26" t="s">
        <v>12</v>
      </c>
      <c r="I26" t="s">
        <v>52</v>
      </c>
      <c r="J26" t="s">
        <v>49</v>
      </c>
      <c r="K26" t="s">
        <v>48</v>
      </c>
      <c r="L26" s="1">
        <v>0.82140000000000002</v>
      </c>
      <c r="M26" s="1">
        <v>0.4708</v>
      </c>
      <c r="N26" s="1">
        <v>0.1022</v>
      </c>
      <c r="O26" s="1">
        <v>2.7799999999999998E-2</v>
      </c>
      <c r="P26" s="1">
        <f t="shared" si="0"/>
        <v>0.13</v>
      </c>
      <c r="Q26" s="7">
        <v>15000</v>
      </c>
      <c r="R26" s="6">
        <v>2</v>
      </c>
      <c r="S26" s="1">
        <v>0.82720000000000005</v>
      </c>
      <c r="T26">
        <v>0.77</v>
      </c>
      <c r="U26" t="s">
        <v>52</v>
      </c>
      <c r="V26" t="s">
        <v>48</v>
      </c>
      <c r="AA26" t="s">
        <v>52</v>
      </c>
      <c r="AB26" t="s">
        <v>52</v>
      </c>
      <c r="AE26" t="s">
        <v>52</v>
      </c>
      <c r="AH26" t="s">
        <v>52</v>
      </c>
    </row>
    <row r="27" spans="1:36">
      <c r="A27" t="s">
        <v>108</v>
      </c>
      <c r="B27" t="s">
        <v>109</v>
      </c>
      <c r="C27" s="5">
        <v>456032</v>
      </c>
      <c r="D27" s="5">
        <v>454504</v>
      </c>
      <c r="E27" s="1">
        <f t="shared" si="1"/>
        <v>3.3619066058824566E-3</v>
      </c>
      <c r="F27" s="1">
        <v>0.28539999999999999</v>
      </c>
      <c r="G27" t="s">
        <v>87</v>
      </c>
      <c r="H27" t="s">
        <v>64</v>
      </c>
      <c r="I27" t="s">
        <v>52</v>
      </c>
      <c r="J27" t="s">
        <v>68</v>
      </c>
      <c r="K27" t="s">
        <v>48</v>
      </c>
      <c r="L27" s="1">
        <v>0.89180000000000004</v>
      </c>
      <c r="M27" s="1">
        <v>0.31790000000000002</v>
      </c>
      <c r="N27" s="1">
        <v>5.4899999999999997E-2</v>
      </c>
      <c r="O27" s="1">
        <v>2.75E-2</v>
      </c>
      <c r="P27" s="1">
        <f t="shared" si="0"/>
        <v>8.2400000000000001E-2</v>
      </c>
      <c r="Q27" t="s">
        <v>56</v>
      </c>
      <c r="R27" s="6">
        <v>1.65</v>
      </c>
      <c r="S27" s="1">
        <v>0.87980000000000003</v>
      </c>
      <c r="T27">
        <v>0.66100000000000003</v>
      </c>
      <c r="U27" t="s">
        <v>52</v>
      </c>
      <c r="V27" t="s">
        <v>48</v>
      </c>
      <c r="W27" t="s">
        <v>52</v>
      </c>
      <c r="X27" t="s">
        <v>52</v>
      </c>
      <c r="AC27" t="s">
        <v>52</v>
      </c>
      <c r="AE27" t="s">
        <v>52</v>
      </c>
      <c r="AI27" t="s">
        <v>52</v>
      </c>
    </row>
    <row r="28" spans="1:36">
      <c r="A28" t="s">
        <v>110</v>
      </c>
      <c r="B28" t="s">
        <v>111</v>
      </c>
      <c r="C28" s="5">
        <v>654283</v>
      </c>
      <c r="D28" s="5">
        <v>673306</v>
      </c>
      <c r="E28" s="1">
        <f t="shared" si="1"/>
        <v>-2.8253127107139994E-2</v>
      </c>
      <c r="F28" s="1">
        <v>0.20580000000000001</v>
      </c>
      <c r="G28" t="s">
        <v>67</v>
      </c>
      <c r="H28" t="s">
        <v>12</v>
      </c>
      <c r="I28" t="s">
        <v>48</v>
      </c>
      <c r="J28" t="s">
        <v>48</v>
      </c>
      <c r="K28" t="s">
        <v>48</v>
      </c>
      <c r="L28" s="1">
        <v>0.90269999999999995</v>
      </c>
      <c r="M28" s="1">
        <v>0.16739999999999999</v>
      </c>
      <c r="N28" s="1">
        <v>0.1202</v>
      </c>
      <c r="O28" s="1">
        <v>1.01E-2</v>
      </c>
      <c r="P28" s="1">
        <f t="shared" si="0"/>
        <v>0.1303</v>
      </c>
      <c r="Q28" t="s">
        <v>51</v>
      </c>
      <c r="R28" t="s">
        <v>51</v>
      </c>
      <c r="S28" s="1">
        <v>0.77210000000000001</v>
      </c>
      <c r="T28">
        <v>0.68899999999999995</v>
      </c>
      <c r="U28" t="s">
        <v>52</v>
      </c>
      <c r="V28" t="s">
        <v>48</v>
      </c>
      <c r="AC28" t="s">
        <v>52</v>
      </c>
      <c r="AD28" t="s">
        <v>52</v>
      </c>
      <c r="AH28" t="s">
        <v>52</v>
      </c>
    </row>
    <row r="29" spans="1:36">
      <c r="A29" t="s">
        <v>112</v>
      </c>
      <c r="B29" t="s">
        <v>113</v>
      </c>
      <c r="C29" s="5">
        <v>401539</v>
      </c>
      <c r="D29" s="5">
        <v>441035</v>
      </c>
      <c r="E29" s="1">
        <f t="shared" si="1"/>
        <v>-8.9552983323319013E-2</v>
      </c>
      <c r="F29" s="1">
        <v>1.0500000000000001E-2</v>
      </c>
      <c r="G29" t="s">
        <v>55</v>
      </c>
      <c r="H29" t="s">
        <v>12</v>
      </c>
      <c r="I29" t="s">
        <v>48</v>
      </c>
      <c r="J29" t="s">
        <v>68</v>
      </c>
      <c r="K29" t="s">
        <v>52</v>
      </c>
      <c r="L29" s="1">
        <v>0.91549999999999998</v>
      </c>
      <c r="M29" s="1">
        <v>0.47320000000000001</v>
      </c>
      <c r="N29" s="1">
        <v>6.6299999999999998E-2</v>
      </c>
      <c r="O29" s="1">
        <v>1.1599999999999999E-2</v>
      </c>
      <c r="P29" s="1">
        <f t="shared" si="0"/>
        <v>7.7899999999999997E-2</v>
      </c>
      <c r="Q29" t="s">
        <v>51</v>
      </c>
      <c r="R29" t="s">
        <v>51</v>
      </c>
      <c r="S29" s="1">
        <v>0.81</v>
      </c>
      <c r="T29">
        <v>0.59399999999999997</v>
      </c>
      <c r="U29" t="s">
        <v>52</v>
      </c>
      <c r="V29" t="s">
        <v>48</v>
      </c>
    </row>
    <row r="30" spans="1:36">
      <c r="A30" t="s">
        <v>114</v>
      </c>
      <c r="B30" t="s">
        <v>115</v>
      </c>
      <c r="C30" s="5">
        <v>81182</v>
      </c>
      <c r="D30" s="5">
        <v>85408</v>
      </c>
      <c r="E30" s="1">
        <f t="shared" si="1"/>
        <v>-4.9480142375421504E-2</v>
      </c>
      <c r="F30" s="1">
        <v>0.8871</v>
      </c>
      <c r="G30" t="s">
        <v>67</v>
      </c>
      <c r="H30" t="s">
        <v>12</v>
      </c>
      <c r="I30" t="s">
        <v>52</v>
      </c>
      <c r="J30" t="s">
        <v>68</v>
      </c>
      <c r="K30" t="s">
        <v>48</v>
      </c>
      <c r="L30" s="1">
        <v>0.83660000000000001</v>
      </c>
      <c r="M30" s="1">
        <v>0.44540000000000002</v>
      </c>
      <c r="N30" s="1">
        <v>7.7100000000000002E-2</v>
      </c>
      <c r="O30" s="1">
        <v>2.2599999999999999E-2</v>
      </c>
      <c r="P30" s="1">
        <f t="shared" si="0"/>
        <v>9.9699999999999997E-2</v>
      </c>
      <c r="Q30" t="s">
        <v>56</v>
      </c>
      <c r="R30" s="6">
        <v>2</v>
      </c>
      <c r="S30" s="1">
        <v>0.86609999999999998</v>
      </c>
      <c r="T30">
        <v>0.55700000000000005</v>
      </c>
      <c r="U30" t="s">
        <v>52</v>
      </c>
      <c r="V30" t="s">
        <v>48</v>
      </c>
      <c r="AB30" t="s">
        <v>52</v>
      </c>
      <c r="AC30" t="s">
        <v>52</v>
      </c>
      <c r="AD30" t="s">
        <v>52</v>
      </c>
      <c r="AI30" t="s">
        <v>52</v>
      </c>
    </row>
    <row r="31" spans="1:36">
      <c r="A31" t="s">
        <v>116</v>
      </c>
      <c r="B31" t="s">
        <v>117</v>
      </c>
      <c r="C31" s="5">
        <v>1476280</v>
      </c>
      <c r="D31" s="5">
        <v>1574428</v>
      </c>
      <c r="E31" s="1">
        <f t="shared" si="1"/>
        <v>-6.2338830356167448E-2</v>
      </c>
      <c r="F31" s="1">
        <v>1.2999999999999999E-2</v>
      </c>
      <c r="G31" t="s">
        <v>55</v>
      </c>
      <c r="H31" t="s">
        <v>64</v>
      </c>
      <c r="I31" t="s">
        <v>52</v>
      </c>
      <c r="J31" t="s">
        <v>48</v>
      </c>
      <c r="K31" t="s">
        <v>48</v>
      </c>
      <c r="L31" s="1">
        <v>0.9758</v>
      </c>
      <c r="M31" s="1">
        <v>0.35830000000000001</v>
      </c>
      <c r="N31" s="1">
        <v>0.1744</v>
      </c>
      <c r="O31" s="1">
        <v>1.6299999999999999E-2</v>
      </c>
      <c r="P31" s="1">
        <f t="shared" si="0"/>
        <v>0.19070000000000001</v>
      </c>
      <c r="Q31" t="s">
        <v>56</v>
      </c>
      <c r="R31" s="6">
        <v>2</v>
      </c>
      <c r="S31" s="1">
        <v>0.94420000000000004</v>
      </c>
      <c r="T31">
        <v>0.89100000000000001</v>
      </c>
      <c r="U31" t="s">
        <v>52</v>
      </c>
      <c r="V31" t="s">
        <v>48</v>
      </c>
      <c r="AF31" t="s">
        <v>52</v>
      </c>
    </row>
    <row r="32" spans="1:36">
      <c r="A32" t="s">
        <v>118</v>
      </c>
      <c r="B32" t="s">
        <v>119</v>
      </c>
      <c r="C32" s="5">
        <v>45952</v>
      </c>
      <c r="D32" s="5">
        <v>45336</v>
      </c>
      <c r="E32" s="1">
        <f t="shared" si="1"/>
        <v>1.3587436033174518E-2</v>
      </c>
      <c r="F32" s="1">
        <v>0.99829999999999997</v>
      </c>
      <c r="G32" t="s">
        <v>67</v>
      </c>
      <c r="H32" t="s">
        <v>64</v>
      </c>
      <c r="I32" t="s">
        <v>52</v>
      </c>
      <c r="J32" t="s">
        <v>68</v>
      </c>
      <c r="K32" t="s">
        <v>48</v>
      </c>
      <c r="L32" s="17">
        <v>0.55679999999999996</v>
      </c>
      <c r="M32" s="1">
        <v>0.34100000000000003</v>
      </c>
      <c r="N32" s="1">
        <v>8.0600000000000005E-2</v>
      </c>
      <c r="O32" s="1">
        <v>1.4500000000000001E-2</v>
      </c>
      <c r="P32" s="1">
        <f t="shared" si="0"/>
        <v>9.5100000000000004E-2</v>
      </c>
      <c r="Q32" t="s">
        <v>56</v>
      </c>
      <c r="R32" s="6">
        <v>2</v>
      </c>
      <c r="S32" s="1">
        <v>0.75780000000000003</v>
      </c>
      <c r="T32">
        <v>0.48</v>
      </c>
      <c r="U32" t="s">
        <v>52</v>
      </c>
      <c r="V32" t="s">
        <v>48</v>
      </c>
    </row>
    <row r="33" spans="1:36">
      <c r="A33" t="s">
        <v>120</v>
      </c>
      <c r="B33" t="s">
        <v>121</v>
      </c>
      <c r="C33" s="5">
        <v>154159</v>
      </c>
      <c r="D33" s="5">
        <v>156353</v>
      </c>
      <c r="E33" s="1">
        <f t="shared" si="1"/>
        <v>-1.4032349874962425E-2</v>
      </c>
      <c r="F33" s="1">
        <v>0.21</v>
      </c>
      <c r="G33" t="s">
        <v>67</v>
      </c>
      <c r="H33" t="s">
        <v>12</v>
      </c>
      <c r="I33" t="s">
        <v>52</v>
      </c>
      <c r="J33" t="s">
        <v>48</v>
      </c>
      <c r="K33" t="s">
        <v>48</v>
      </c>
      <c r="L33" s="1">
        <v>0.95779999999999998</v>
      </c>
      <c r="M33" s="1">
        <v>0.1396</v>
      </c>
      <c r="N33" s="1">
        <v>6.3899999999999998E-2</v>
      </c>
      <c r="O33" s="1">
        <v>9.4999999999999998E-3</v>
      </c>
      <c r="P33" s="1">
        <f t="shared" si="0"/>
        <v>7.3399999999999993E-2</v>
      </c>
      <c r="Q33" s="7">
        <v>25000</v>
      </c>
      <c r="R33" s="6">
        <v>1.65</v>
      </c>
      <c r="S33" s="1">
        <v>0.89219999999999999</v>
      </c>
      <c r="T33">
        <v>0.56599999999999995</v>
      </c>
      <c r="U33" t="s">
        <v>52</v>
      </c>
      <c r="V33" t="s">
        <v>48</v>
      </c>
      <c r="W33" t="s">
        <v>52</v>
      </c>
      <c r="AB33" t="s">
        <v>52</v>
      </c>
      <c r="AH33" t="s">
        <v>52</v>
      </c>
    </row>
    <row r="34" spans="1:36">
      <c r="A34" t="s">
        <v>122</v>
      </c>
      <c r="B34" t="s">
        <v>123</v>
      </c>
      <c r="C34" s="5">
        <v>77911</v>
      </c>
      <c r="D34" s="5">
        <v>71145</v>
      </c>
      <c r="E34" s="1">
        <f t="shared" si="1"/>
        <v>9.5101553166069289E-2</v>
      </c>
      <c r="F34" s="1">
        <v>0.97860000000000003</v>
      </c>
      <c r="G34" t="s">
        <v>71</v>
      </c>
      <c r="H34" t="s">
        <v>12</v>
      </c>
      <c r="I34" t="s">
        <v>52</v>
      </c>
      <c r="J34" t="s">
        <v>68</v>
      </c>
      <c r="K34" t="s">
        <v>48</v>
      </c>
      <c r="L34" s="1">
        <v>0.96879999999999999</v>
      </c>
      <c r="M34" s="1">
        <v>0.4612</v>
      </c>
      <c r="N34" s="1">
        <v>7.7100000000000002E-2</v>
      </c>
      <c r="O34" s="1">
        <v>4.6300000000000001E-2</v>
      </c>
      <c r="P34" s="1">
        <f t="shared" si="0"/>
        <v>0.12340000000000001</v>
      </c>
      <c r="Q34" t="s">
        <v>56</v>
      </c>
      <c r="R34" s="6">
        <v>1.85</v>
      </c>
      <c r="S34" s="1">
        <v>0.92630000000000001</v>
      </c>
      <c r="T34">
        <v>0.56699999999999995</v>
      </c>
      <c r="U34" t="s">
        <v>52</v>
      </c>
      <c r="V34" t="s">
        <v>48</v>
      </c>
      <c r="AB34" t="s">
        <v>52</v>
      </c>
      <c r="AF34" t="s">
        <v>52</v>
      </c>
      <c r="AH34" t="s">
        <v>52</v>
      </c>
      <c r="AI34" t="s">
        <v>52</v>
      </c>
      <c r="AJ34" t="s">
        <v>52</v>
      </c>
    </row>
    <row r="35" spans="1:36">
      <c r="A35" t="s">
        <v>124</v>
      </c>
      <c r="B35" t="s">
        <v>125</v>
      </c>
      <c r="C35" s="5">
        <v>798380</v>
      </c>
      <c r="D35" s="5">
        <v>778883</v>
      </c>
      <c r="E35" s="1">
        <f t="shared" si="1"/>
        <v>2.503200095521407E-2</v>
      </c>
      <c r="F35" s="1">
        <v>0.2379</v>
      </c>
      <c r="G35" t="s">
        <v>74</v>
      </c>
      <c r="H35" t="s">
        <v>64</v>
      </c>
      <c r="I35" t="s">
        <v>52</v>
      </c>
      <c r="J35" t="s">
        <v>49</v>
      </c>
      <c r="K35" t="s">
        <v>48</v>
      </c>
      <c r="L35" s="1">
        <v>0.87439999999999996</v>
      </c>
      <c r="M35" s="1">
        <v>0.47710000000000002</v>
      </c>
      <c r="N35" s="1">
        <v>4.9200000000000001E-2</v>
      </c>
      <c r="O35" s="1">
        <v>1.32E-2</v>
      </c>
      <c r="P35" s="1">
        <f t="shared" ref="P35:P66" si="2">N35+O35</f>
        <v>6.2399999999999997E-2</v>
      </c>
      <c r="Q35" t="s">
        <v>56</v>
      </c>
      <c r="R35" s="6">
        <v>1.85</v>
      </c>
      <c r="S35" s="1">
        <v>0.95209999999999995</v>
      </c>
      <c r="T35">
        <v>0.72099999999999997</v>
      </c>
      <c r="U35" t="s">
        <v>52</v>
      </c>
      <c r="V35" t="s">
        <v>48</v>
      </c>
      <c r="AD35" t="s">
        <v>52</v>
      </c>
    </row>
    <row r="36" spans="1:36">
      <c r="A36" t="s">
        <v>126</v>
      </c>
      <c r="B36" t="s">
        <v>127</v>
      </c>
      <c r="C36" s="5">
        <v>448453</v>
      </c>
      <c r="D36" s="5">
        <v>513128</v>
      </c>
      <c r="E36" s="1">
        <f t="shared" si="1"/>
        <v>-0.12604067601066402</v>
      </c>
      <c r="F36" s="1">
        <v>6.4799999999999996E-2</v>
      </c>
      <c r="G36" t="s">
        <v>59</v>
      </c>
      <c r="H36" t="s">
        <v>12</v>
      </c>
      <c r="I36" t="s">
        <v>52</v>
      </c>
      <c r="J36" t="s">
        <v>49</v>
      </c>
      <c r="K36" t="s">
        <v>48</v>
      </c>
      <c r="L36" s="17">
        <v>0.72809999999999997</v>
      </c>
      <c r="M36" s="1">
        <v>0.45340000000000003</v>
      </c>
      <c r="N36" s="1">
        <v>0.1139</v>
      </c>
      <c r="O36" s="1">
        <v>1.04E-2</v>
      </c>
      <c r="P36" s="1">
        <f t="shared" si="2"/>
        <v>0.12429999999999999</v>
      </c>
      <c r="Q36" t="s">
        <v>56</v>
      </c>
      <c r="R36" s="6">
        <v>1.65</v>
      </c>
      <c r="S36" s="1">
        <v>0.92420000000000002</v>
      </c>
      <c r="T36">
        <v>1.0840000000000001</v>
      </c>
      <c r="U36" t="s">
        <v>52</v>
      </c>
      <c r="V36" t="s">
        <v>48</v>
      </c>
      <c r="AH36" t="s">
        <v>52</v>
      </c>
    </row>
    <row r="37" spans="1:36">
      <c r="A37" t="s">
        <v>128</v>
      </c>
      <c r="B37" t="s">
        <v>129</v>
      </c>
      <c r="C37" s="5">
        <v>507021</v>
      </c>
      <c r="D37" s="5">
        <v>476113</v>
      </c>
      <c r="E37" s="1">
        <f t="shared" si="1"/>
        <v>6.4917362054806318E-2</v>
      </c>
      <c r="F37" s="1">
        <v>8.4099999999999994E-2</v>
      </c>
      <c r="G37" t="s">
        <v>47</v>
      </c>
      <c r="H37" t="s">
        <v>12</v>
      </c>
      <c r="I37" t="s">
        <v>52</v>
      </c>
      <c r="J37" t="s">
        <v>49</v>
      </c>
      <c r="K37" t="s">
        <v>48</v>
      </c>
      <c r="L37" s="1">
        <v>0.96020000000000005</v>
      </c>
      <c r="M37" s="1">
        <v>0.28720000000000001</v>
      </c>
      <c r="N37" s="1">
        <v>6.0999999999999999E-2</v>
      </c>
      <c r="O37" s="1">
        <v>1.12E-2</v>
      </c>
      <c r="P37" s="1">
        <f t="shared" si="2"/>
        <v>7.22E-2</v>
      </c>
      <c r="Q37" t="s">
        <v>56</v>
      </c>
      <c r="R37" s="6">
        <v>2</v>
      </c>
      <c r="S37" s="1">
        <v>0.96479999999999999</v>
      </c>
      <c r="T37">
        <v>0.77300000000000002</v>
      </c>
      <c r="U37" t="s">
        <v>52</v>
      </c>
      <c r="V37" t="s">
        <v>48</v>
      </c>
      <c r="AD37" t="s">
        <v>52</v>
      </c>
    </row>
    <row r="38" spans="1:36">
      <c r="A38" t="s">
        <v>130</v>
      </c>
      <c r="B38" t="s">
        <v>131</v>
      </c>
      <c r="C38" s="5">
        <v>2848939</v>
      </c>
      <c r="D38" s="5">
        <v>2830123</v>
      </c>
      <c r="E38" s="1">
        <f t="shared" si="1"/>
        <v>6.6484742889266653E-3</v>
      </c>
      <c r="F38" s="1">
        <v>0.31740000000000002</v>
      </c>
      <c r="G38" t="s">
        <v>71</v>
      </c>
      <c r="H38" t="s">
        <v>64</v>
      </c>
      <c r="I38" t="s">
        <v>52</v>
      </c>
      <c r="J38" t="s">
        <v>49</v>
      </c>
      <c r="K38" t="s">
        <v>52</v>
      </c>
      <c r="L38" s="17">
        <v>0.64949999999999997</v>
      </c>
      <c r="M38" s="1">
        <v>0.4526</v>
      </c>
      <c r="N38" s="1">
        <v>0.10349999999999999</v>
      </c>
      <c r="O38" s="1">
        <v>2.5399999999999999E-2</v>
      </c>
      <c r="P38" s="1">
        <f t="shared" si="2"/>
        <v>0.12889999999999999</v>
      </c>
      <c r="Q38" t="s">
        <v>56</v>
      </c>
      <c r="R38" t="s">
        <v>132</v>
      </c>
      <c r="S38" s="1">
        <v>0.71079999999999999</v>
      </c>
      <c r="T38">
        <v>0.81899999999999995</v>
      </c>
      <c r="U38" t="s">
        <v>52</v>
      </c>
      <c r="V38" t="s">
        <v>48</v>
      </c>
      <c r="W38" t="s">
        <v>52</v>
      </c>
      <c r="AB38" t="s">
        <v>52</v>
      </c>
      <c r="AC38" t="s">
        <v>52</v>
      </c>
      <c r="AD38" t="s">
        <v>52</v>
      </c>
      <c r="AE38" t="s">
        <v>52</v>
      </c>
      <c r="AJ38" t="s">
        <v>52</v>
      </c>
    </row>
    <row r="39" spans="1:36">
      <c r="A39" t="s">
        <v>133</v>
      </c>
      <c r="B39" t="s">
        <v>134</v>
      </c>
      <c r="C39" s="5">
        <v>1376833</v>
      </c>
      <c r="D39" s="5">
        <v>1457869</v>
      </c>
      <c r="E39" s="1">
        <f t="shared" si="1"/>
        <v>-5.5585241197940283E-2</v>
      </c>
      <c r="F39" s="1">
        <v>0.12939999999999999</v>
      </c>
      <c r="G39" t="s">
        <v>87</v>
      </c>
      <c r="H39" t="s">
        <v>64</v>
      </c>
      <c r="I39" t="s">
        <v>52</v>
      </c>
      <c r="J39" t="s">
        <v>68</v>
      </c>
      <c r="K39" t="s">
        <v>52</v>
      </c>
      <c r="L39" s="1">
        <v>0.9748</v>
      </c>
      <c r="M39" s="1">
        <v>0.34760000000000002</v>
      </c>
      <c r="N39" s="1">
        <v>6.1400000000000003E-2</v>
      </c>
      <c r="O39" s="1">
        <v>9.5999999999999992E-3</v>
      </c>
      <c r="P39" s="1">
        <f t="shared" si="2"/>
        <v>7.1000000000000008E-2</v>
      </c>
      <c r="Q39" t="s">
        <v>56</v>
      </c>
      <c r="R39" s="6">
        <v>1.3</v>
      </c>
      <c r="S39" s="1">
        <v>0.93159999999999998</v>
      </c>
      <c r="T39">
        <v>0.77300000000000002</v>
      </c>
      <c r="U39" t="s">
        <v>52</v>
      </c>
      <c r="V39" t="s">
        <v>48</v>
      </c>
      <c r="W39" t="s">
        <v>52</v>
      </c>
      <c r="Z39" t="s">
        <v>52</v>
      </c>
      <c r="AB39" t="s">
        <v>52</v>
      </c>
    </row>
    <row r="40" spans="1:36">
      <c r="A40" t="s">
        <v>135</v>
      </c>
      <c r="B40" t="s">
        <v>136</v>
      </c>
      <c r="C40" s="5">
        <v>687275</v>
      </c>
      <c r="D40" s="5">
        <v>684999</v>
      </c>
      <c r="E40" s="1">
        <f t="shared" si="1"/>
        <v>3.3226325877847998E-3</v>
      </c>
      <c r="F40" s="1">
        <v>4.7999999999999996E-3</v>
      </c>
      <c r="G40" t="s">
        <v>87</v>
      </c>
      <c r="H40" t="s">
        <v>12</v>
      </c>
      <c r="I40" t="s">
        <v>52</v>
      </c>
      <c r="J40" t="s">
        <v>48</v>
      </c>
      <c r="K40" t="s">
        <v>48</v>
      </c>
      <c r="L40" s="1">
        <v>0.95740000000000003</v>
      </c>
      <c r="M40" s="1">
        <v>0.26279999999999998</v>
      </c>
      <c r="N40" s="1">
        <v>7.6700000000000004E-2</v>
      </c>
      <c r="O40" s="1">
        <v>1.2200000000000001E-2</v>
      </c>
      <c r="P40" s="1">
        <f t="shared" si="2"/>
        <v>8.8900000000000007E-2</v>
      </c>
      <c r="Q40" t="s">
        <v>56</v>
      </c>
      <c r="R40" s="6">
        <v>1.3</v>
      </c>
      <c r="S40" s="1">
        <v>0.87880000000000003</v>
      </c>
      <c r="T40">
        <v>0.81499999999999995</v>
      </c>
      <c r="U40" t="s">
        <v>52</v>
      </c>
      <c r="V40" t="s">
        <v>48</v>
      </c>
      <c r="W40" t="s">
        <v>52</v>
      </c>
      <c r="AC40" t="s">
        <v>52</v>
      </c>
      <c r="AH40" t="s">
        <v>52</v>
      </c>
      <c r="AI40" t="s">
        <v>52</v>
      </c>
    </row>
    <row r="41" spans="1:36">
      <c r="A41" t="s">
        <v>137</v>
      </c>
      <c r="B41" t="s">
        <v>138</v>
      </c>
      <c r="C41" s="5">
        <v>742069</v>
      </c>
      <c r="D41" s="5">
        <v>730228</v>
      </c>
      <c r="E41" s="1">
        <f t="shared" si="1"/>
        <v>1.6215483383272073E-2</v>
      </c>
      <c r="F41" s="1">
        <v>0.98440000000000005</v>
      </c>
      <c r="G41" t="s">
        <v>47</v>
      </c>
      <c r="H41" t="s">
        <v>12</v>
      </c>
      <c r="I41" t="s">
        <v>52</v>
      </c>
      <c r="J41" t="s">
        <v>68</v>
      </c>
      <c r="K41" t="s">
        <v>48</v>
      </c>
      <c r="L41" s="1">
        <v>0.878</v>
      </c>
      <c r="M41" s="1">
        <v>0.46029999999999999</v>
      </c>
      <c r="N41" s="1">
        <v>0.21759999999999999</v>
      </c>
      <c r="O41" s="1">
        <v>1.23E-2</v>
      </c>
      <c r="P41" s="1">
        <f t="shared" si="2"/>
        <v>0.22989999999999999</v>
      </c>
      <c r="Q41" t="s">
        <v>56</v>
      </c>
      <c r="R41" s="6">
        <v>2</v>
      </c>
      <c r="S41" s="1">
        <v>0.74460000000000004</v>
      </c>
      <c r="T41">
        <v>1.052</v>
      </c>
      <c r="U41" t="s">
        <v>52</v>
      </c>
      <c r="V41" t="s">
        <v>52</v>
      </c>
      <c r="W41" t="s">
        <v>52</v>
      </c>
      <c r="AD41" t="s">
        <v>52</v>
      </c>
      <c r="AE41" t="s">
        <v>52</v>
      </c>
      <c r="AI41" t="s">
        <v>52</v>
      </c>
      <c r="AJ41" t="s">
        <v>52</v>
      </c>
    </row>
    <row r="42" spans="1:36">
      <c r="A42" t="s">
        <v>139</v>
      </c>
      <c r="B42" t="s">
        <v>140</v>
      </c>
      <c r="C42" s="5">
        <v>1977626</v>
      </c>
      <c r="D42" s="5">
        <v>1877858</v>
      </c>
      <c r="E42" s="1">
        <f t="shared" si="1"/>
        <v>5.3128617818812708E-2</v>
      </c>
      <c r="F42" s="1">
        <v>7.9000000000000001E-2</v>
      </c>
      <c r="G42" t="s">
        <v>74</v>
      </c>
      <c r="H42" t="s">
        <v>12</v>
      </c>
      <c r="I42" t="s">
        <v>52</v>
      </c>
      <c r="J42" t="s">
        <v>49</v>
      </c>
      <c r="K42" t="s">
        <v>52</v>
      </c>
      <c r="L42" s="1">
        <v>0.94810000000000005</v>
      </c>
      <c r="M42" s="1">
        <v>0.38590000000000002</v>
      </c>
      <c r="N42" s="1">
        <v>0.12540000000000001</v>
      </c>
      <c r="O42" s="1">
        <v>1.9099999999999999E-2</v>
      </c>
      <c r="P42" s="1">
        <f t="shared" si="2"/>
        <v>0.14450000000000002</v>
      </c>
      <c r="Q42" t="s">
        <v>56</v>
      </c>
      <c r="R42" s="6">
        <v>1.6</v>
      </c>
      <c r="S42" s="1">
        <v>0.92859999999999998</v>
      </c>
      <c r="T42">
        <v>0.93200000000000005</v>
      </c>
      <c r="U42" t="s">
        <v>52</v>
      </c>
      <c r="V42" t="s">
        <v>48</v>
      </c>
      <c r="W42" t="s">
        <v>52</v>
      </c>
      <c r="Z42" t="s">
        <v>52</v>
      </c>
      <c r="AE42" t="s">
        <v>52</v>
      </c>
    </row>
    <row r="43" spans="1:36">
      <c r="A43" t="s">
        <v>141</v>
      </c>
      <c r="B43" t="s">
        <v>142</v>
      </c>
      <c r="C43" s="5">
        <v>143942</v>
      </c>
      <c r="D43" s="5">
        <v>139875</v>
      </c>
      <c r="E43" s="1">
        <f t="shared" si="1"/>
        <v>2.9075960679177837E-2</v>
      </c>
      <c r="F43" s="1">
        <v>0.23910000000000001</v>
      </c>
      <c r="G43" t="s">
        <v>71</v>
      </c>
      <c r="H43" t="s">
        <v>12</v>
      </c>
      <c r="I43" t="s">
        <v>52</v>
      </c>
      <c r="J43" t="s">
        <v>68</v>
      </c>
      <c r="K43" t="s">
        <v>52</v>
      </c>
      <c r="L43" s="1">
        <v>0.92410000000000003</v>
      </c>
      <c r="M43" s="1">
        <v>0.41599999999999998</v>
      </c>
      <c r="N43" s="1">
        <v>0.12809999999999999</v>
      </c>
      <c r="O43" s="1">
        <v>2.41E-2</v>
      </c>
      <c r="P43" s="1">
        <f t="shared" si="2"/>
        <v>0.1522</v>
      </c>
      <c r="Q43" t="s">
        <v>56</v>
      </c>
      <c r="R43" s="6">
        <v>1.85</v>
      </c>
      <c r="S43" s="1">
        <v>0.91739999999999999</v>
      </c>
      <c r="T43">
        <v>0.91800000000000004</v>
      </c>
      <c r="U43" t="s">
        <v>52</v>
      </c>
      <c r="V43" t="s">
        <v>48</v>
      </c>
    </row>
    <row r="44" spans="1:36">
      <c r="A44" t="s">
        <v>143</v>
      </c>
      <c r="B44" t="s">
        <v>144</v>
      </c>
      <c r="C44" s="5">
        <v>597036</v>
      </c>
      <c r="D44" s="5">
        <v>617348</v>
      </c>
      <c r="E44" s="1">
        <f t="shared" si="1"/>
        <v>-3.2902026085773341E-2</v>
      </c>
      <c r="F44" s="1">
        <v>9.0200000000000002E-2</v>
      </c>
      <c r="G44" t="s">
        <v>55</v>
      </c>
      <c r="H44" t="s">
        <v>12</v>
      </c>
      <c r="I44" t="s">
        <v>52</v>
      </c>
      <c r="J44" t="s">
        <v>68</v>
      </c>
      <c r="K44" t="s">
        <v>52</v>
      </c>
      <c r="L44" s="17">
        <v>0.74150000000000005</v>
      </c>
      <c r="M44" s="1">
        <v>0.79630000000000001</v>
      </c>
      <c r="N44" s="1">
        <v>7.4899999999999994E-2</v>
      </c>
      <c r="O44" s="1">
        <v>1.7000000000000001E-2</v>
      </c>
      <c r="P44" s="1">
        <f t="shared" si="2"/>
        <v>9.1899999999999996E-2</v>
      </c>
      <c r="Q44" t="s">
        <v>56</v>
      </c>
      <c r="R44" s="6">
        <v>1.3</v>
      </c>
      <c r="S44" s="1">
        <v>0.8488</v>
      </c>
      <c r="T44">
        <v>0.64400000000000002</v>
      </c>
      <c r="U44" t="s">
        <v>52</v>
      </c>
      <c r="V44" t="s">
        <v>48</v>
      </c>
      <c r="AC44" t="s">
        <v>52</v>
      </c>
    </row>
    <row r="45" spans="1:36">
      <c r="A45" t="s">
        <v>145</v>
      </c>
      <c r="B45" t="s">
        <v>146</v>
      </c>
      <c r="C45" s="5">
        <v>73313</v>
      </c>
      <c r="D45" s="5">
        <v>70982</v>
      </c>
      <c r="E45" s="1">
        <f t="shared" si="1"/>
        <v>3.2839311374714714E-2</v>
      </c>
      <c r="F45" s="1">
        <v>7.7000000000000002E-3</v>
      </c>
      <c r="G45" t="s">
        <v>67</v>
      </c>
      <c r="H45" t="s">
        <v>12</v>
      </c>
      <c r="I45" t="s">
        <v>48</v>
      </c>
      <c r="J45" t="s">
        <v>68</v>
      </c>
      <c r="K45" t="s">
        <v>48</v>
      </c>
      <c r="L45" s="1" t="s">
        <v>50</v>
      </c>
      <c r="M45" s="1" t="s">
        <v>50</v>
      </c>
      <c r="N45" s="1">
        <v>2.6800000000000001E-2</v>
      </c>
      <c r="O45" s="1">
        <v>3.8999999999999998E-3</v>
      </c>
      <c r="P45" s="1">
        <f t="shared" si="2"/>
        <v>3.0700000000000002E-2</v>
      </c>
      <c r="Q45" t="s">
        <v>51</v>
      </c>
      <c r="R45" t="s">
        <v>51</v>
      </c>
      <c r="S45" s="1">
        <v>0.88890000000000002</v>
      </c>
      <c r="T45">
        <v>0.53900000000000003</v>
      </c>
      <c r="U45" t="s">
        <v>52</v>
      </c>
      <c r="V45" t="s">
        <v>48</v>
      </c>
      <c r="AD45" t="s">
        <v>52</v>
      </c>
    </row>
    <row r="46" spans="1:36">
      <c r="A46" t="s">
        <v>147</v>
      </c>
      <c r="B46" t="s">
        <v>148</v>
      </c>
      <c r="C46" s="5">
        <v>481559</v>
      </c>
      <c r="D46" s="5">
        <v>793906</v>
      </c>
      <c r="E46" s="1">
        <f t="shared" si="1"/>
        <v>-0.39343070842139999</v>
      </c>
      <c r="F46" s="1">
        <v>0.1091</v>
      </c>
      <c r="G46" t="s">
        <v>55</v>
      </c>
      <c r="H46" t="s">
        <v>12</v>
      </c>
      <c r="I46" t="s">
        <v>48</v>
      </c>
      <c r="J46" t="s">
        <v>48</v>
      </c>
      <c r="K46" t="s">
        <v>48</v>
      </c>
      <c r="L46" s="17">
        <v>0.79179999999999995</v>
      </c>
      <c r="M46" s="1">
        <v>0.29599999999999999</v>
      </c>
      <c r="N46" s="1">
        <v>0.19040000000000001</v>
      </c>
      <c r="O46" s="1">
        <v>7.4999999999999997E-3</v>
      </c>
      <c r="P46" s="1">
        <f t="shared" si="2"/>
        <v>0.19790000000000002</v>
      </c>
      <c r="Q46" t="s">
        <v>51</v>
      </c>
      <c r="R46" t="s">
        <v>51</v>
      </c>
      <c r="S46" s="1">
        <v>0.82989999999999997</v>
      </c>
      <c r="T46">
        <v>0.69399999999999995</v>
      </c>
      <c r="U46" t="s">
        <v>52</v>
      </c>
      <c r="V46" t="s">
        <v>48</v>
      </c>
      <c r="AB46" t="s">
        <v>52</v>
      </c>
      <c r="AD46" t="s">
        <v>52</v>
      </c>
    </row>
    <row r="47" spans="1:36">
      <c r="A47" t="s">
        <v>149</v>
      </c>
      <c r="B47" t="s">
        <v>150</v>
      </c>
      <c r="C47" s="5">
        <v>3237133</v>
      </c>
      <c r="D47" s="5">
        <v>3577166</v>
      </c>
      <c r="E47" s="1">
        <f t="shared" si="1"/>
        <v>-9.5056533579934502E-2</v>
      </c>
      <c r="F47" s="1">
        <v>2.8E-3</v>
      </c>
      <c r="G47" t="s">
        <v>59</v>
      </c>
      <c r="H47" t="s">
        <v>12</v>
      </c>
      <c r="I47" t="s">
        <v>52</v>
      </c>
      <c r="J47" t="s">
        <v>48</v>
      </c>
      <c r="K47" t="s">
        <v>52</v>
      </c>
      <c r="L47" s="1">
        <v>0.87080000000000002</v>
      </c>
      <c r="M47" s="1">
        <v>0.44309999999999999</v>
      </c>
      <c r="N47" s="1">
        <v>5.2600000000000001E-2</v>
      </c>
      <c r="O47" s="1">
        <v>2.5999999999999999E-2</v>
      </c>
      <c r="P47" s="1">
        <f t="shared" si="2"/>
        <v>7.8600000000000003E-2</v>
      </c>
      <c r="Q47" s="7">
        <v>5000</v>
      </c>
      <c r="R47" s="6">
        <v>1.65</v>
      </c>
      <c r="S47" s="1">
        <v>0.82720000000000005</v>
      </c>
      <c r="T47">
        <v>0.624</v>
      </c>
      <c r="U47" t="s">
        <v>52</v>
      </c>
      <c r="V47" t="s">
        <v>48</v>
      </c>
      <c r="AA47" t="s">
        <v>52</v>
      </c>
      <c r="AC47" t="s">
        <v>52</v>
      </c>
    </row>
    <row r="48" spans="1:36">
      <c r="A48" t="s">
        <v>151</v>
      </c>
      <c r="B48" t="s">
        <v>152</v>
      </c>
      <c r="C48" s="5">
        <v>21806</v>
      </c>
      <c r="D48" s="5">
        <v>21410</v>
      </c>
      <c r="E48" s="1">
        <f t="shared" si="1"/>
        <v>1.8496029892573564E-2</v>
      </c>
      <c r="F48" s="1">
        <v>5.5500000000000001E-2</v>
      </c>
      <c r="G48" t="s">
        <v>71</v>
      </c>
      <c r="H48" t="s">
        <v>12</v>
      </c>
      <c r="I48" t="s">
        <v>52</v>
      </c>
      <c r="J48" t="s">
        <v>49</v>
      </c>
      <c r="K48" t="s">
        <v>48</v>
      </c>
      <c r="L48" s="1">
        <v>0.93120000000000003</v>
      </c>
      <c r="M48" s="1">
        <v>0.41909999999999997</v>
      </c>
      <c r="N48" s="1">
        <v>5.9499999999999997E-2</v>
      </c>
      <c r="O48" s="1">
        <v>1.2800000000000001E-2</v>
      </c>
      <c r="P48" s="1">
        <f t="shared" si="2"/>
        <v>7.2300000000000003E-2</v>
      </c>
      <c r="Q48" t="s">
        <v>56</v>
      </c>
      <c r="R48" s="6">
        <v>1.75</v>
      </c>
      <c r="S48" s="1">
        <v>0.67269999999999996</v>
      </c>
      <c r="T48" t="s">
        <v>50</v>
      </c>
      <c r="U48" t="s">
        <v>50</v>
      </c>
      <c r="V48" t="s">
        <v>50</v>
      </c>
      <c r="W48" t="s">
        <v>52</v>
      </c>
    </row>
    <row r="49" spans="1:36">
      <c r="A49" t="s">
        <v>153</v>
      </c>
      <c r="B49" t="s">
        <v>154</v>
      </c>
      <c r="C49" s="5">
        <v>161705</v>
      </c>
      <c r="D49" s="5">
        <v>154469</v>
      </c>
      <c r="E49" s="1">
        <f t="shared" si="1"/>
        <v>4.6844350646408017E-2</v>
      </c>
      <c r="F49" s="1">
        <v>3.1199999999999999E-2</v>
      </c>
      <c r="G49" t="s">
        <v>59</v>
      </c>
      <c r="H49" t="s">
        <v>12</v>
      </c>
      <c r="I49" t="s">
        <v>48</v>
      </c>
      <c r="J49" t="s">
        <v>48</v>
      </c>
      <c r="K49" t="s">
        <v>48</v>
      </c>
      <c r="L49" s="1">
        <v>0.9899</v>
      </c>
      <c r="M49" s="1">
        <v>0.24579999999999999</v>
      </c>
      <c r="N49" s="1">
        <v>5.5800000000000002E-2</v>
      </c>
      <c r="O49" s="1">
        <v>1.03E-2</v>
      </c>
      <c r="P49" s="1">
        <f t="shared" si="2"/>
        <v>6.6100000000000006E-2</v>
      </c>
      <c r="Q49" t="s">
        <v>51</v>
      </c>
      <c r="R49" t="s">
        <v>51</v>
      </c>
      <c r="S49" s="1">
        <v>0.9677</v>
      </c>
      <c r="T49">
        <v>0.41299999999999998</v>
      </c>
      <c r="U49" t="s">
        <v>52</v>
      </c>
      <c r="V49" t="s">
        <v>48</v>
      </c>
      <c r="W49" t="s">
        <v>52</v>
      </c>
      <c r="Z49" t="s">
        <v>52</v>
      </c>
      <c r="AC49" t="s">
        <v>52</v>
      </c>
      <c r="AJ49" t="s">
        <v>52</v>
      </c>
    </row>
    <row r="50" spans="1:36">
      <c r="A50" t="s">
        <v>155</v>
      </c>
      <c r="B50" t="s">
        <v>156</v>
      </c>
      <c r="C50" s="5">
        <v>831989</v>
      </c>
      <c r="D50" s="5">
        <v>828554</v>
      </c>
      <c r="E50" s="1">
        <f t="shared" si="1"/>
        <v>4.1457768594442852E-3</v>
      </c>
      <c r="F50" s="1">
        <v>0.13170000000000001</v>
      </c>
      <c r="G50" t="s">
        <v>74</v>
      </c>
      <c r="H50" t="s">
        <v>64</v>
      </c>
      <c r="I50" t="s">
        <v>52</v>
      </c>
      <c r="J50" t="s">
        <v>68</v>
      </c>
      <c r="K50" t="s">
        <v>52</v>
      </c>
      <c r="L50" s="1">
        <v>0.91390000000000005</v>
      </c>
      <c r="M50" s="1">
        <v>0.47060000000000002</v>
      </c>
      <c r="N50" s="1">
        <v>7.6600000000000001E-2</v>
      </c>
      <c r="O50" s="1">
        <v>1.6799999999999999E-2</v>
      </c>
      <c r="P50" s="1">
        <f t="shared" si="2"/>
        <v>9.3399999999999997E-2</v>
      </c>
      <c r="Q50" t="s">
        <v>56</v>
      </c>
      <c r="R50" s="6">
        <v>2</v>
      </c>
      <c r="S50" s="1">
        <v>0.8911</v>
      </c>
      <c r="T50">
        <v>0.67800000000000005</v>
      </c>
      <c r="U50" t="s">
        <v>52</v>
      </c>
      <c r="V50" t="s">
        <v>48</v>
      </c>
    </row>
    <row r="51" spans="1:36">
      <c r="A51" t="s">
        <v>157</v>
      </c>
      <c r="B51" t="s">
        <v>158</v>
      </c>
      <c r="C51" s="5">
        <v>67876</v>
      </c>
      <c r="D51" s="5">
        <v>71528</v>
      </c>
      <c r="E51" s="1">
        <f t="shared" si="1"/>
        <v>-5.1056928755172801E-2</v>
      </c>
      <c r="F51" s="1">
        <v>0.63629999999999998</v>
      </c>
      <c r="G51" t="s">
        <v>71</v>
      </c>
      <c r="H51" t="s">
        <v>12</v>
      </c>
      <c r="I51" t="s">
        <v>52</v>
      </c>
      <c r="J51" t="s">
        <v>68</v>
      </c>
      <c r="K51" t="s">
        <v>52</v>
      </c>
      <c r="L51" s="1" t="s">
        <v>50</v>
      </c>
      <c r="M51" s="1" t="s">
        <v>50</v>
      </c>
      <c r="N51" s="1">
        <v>4.1000000000000002E-2</v>
      </c>
      <c r="O51" s="1">
        <v>4.7000000000000002E-3</v>
      </c>
      <c r="P51" s="1">
        <f t="shared" si="2"/>
        <v>4.5700000000000005E-2</v>
      </c>
      <c r="Q51" t="s">
        <v>56</v>
      </c>
      <c r="R51" s="6">
        <v>1.85</v>
      </c>
      <c r="S51" s="1">
        <v>0.89359999999999995</v>
      </c>
      <c r="T51">
        <v>0.79800000000000004</v>
      </c>
      <c r="U51" t="s">
        <v>52</v>
      </c>
      <c r="V51" t="s">
        <v>48</v>
      </c>
      <c r="AB51" t="s">
        <v>52</v>
      </c>
      <c r="AC51" t="s">
        <v>52</v>
      </c>
    </row>
    <row r="52" spans="1:36">
      <c r="A52" t="s">
        <v>159</v>
      </c>
      <c r="B52" t="s">
        <v>160</v>
      </c>
      <c r="C52" s="5">
        <v>873576</v>
      </c>
      <c r="D52" s="5">
        <v>916801</v>
      </c>
      <c r="E52" s="1">
        <f t="shared" si="1"/>
        <v>-4.7147636182770306E-2</v>
      </c>
      <c r="F52" s="1">
        <v>0.19639999999999999</v>
      </c>
      <c r="G52" t="s">
        <v>47</v>
      </c>
      <c r="H52" t="s">
        <v>12</v>
      </c>
      <c r="I52" t="s">
        <v>52</v>
      </c>
      <c r="J52" t="s">
        <v>68</v>
      </c>
      <c r="K52" t="s">
        <v>52</v>
      </c>
      <c r="L52" s="1">
        <v>0.9798</v>
      </c>
      <c r="M52" s="1">
        <v>0.29649999999999999</v>
      </c>
      <c r="N52" s="1">
        <v>8.6499999999999994E-2</v>
      </c>
      <c r="O52" s="1">
        <v>6.7999999999999996E-3</v>
      </c>
      <c r="P52" s="1">
        <f t="shared" si="2"/>
        <v>9.3299999999999994E-2</v>
      </c>
      <c r="Q52" t="s">
        <v>56</v>
      </c>
      <c r="R52" s="6">
        <v>2</v>
      </c>
      <c r="S52" s="1">
        <v>0.87439999999999996</v>
      </c>
      <c r="T52">
        <v>0.92700000000000005</v>
      </c>
      <c r="U52" t="s">
        <v>52</v>
      </c>
      <c r="V52" t="s">
        <v>48</v>
      </c>
      <c r="W52" t="s">
        <v>52</v>
      </c>
      <c r="AB52" t="s">
        <v>52</v>
      </c>
      <c r="AC52" t="s">
        <v>52</v>
      </c>
      <c r="AE52" t="s">
        <v>52</v>
      </c>
    </row>
    <row r="53" spans="1:36">
      <c r="A53" t="s">
        <v>161</v>
      </c>
      <c r="B53" t="s">
        <v>162</v>
      </c>
      <c r="C53" s="5">
        <v>710919</v>
      </c>
      <c r="D53" s="5">
        <v>700338</v>
      </c>
      <c r="E53" s="1">
        <f t="shared" si="1"/>
        <v>1.5108419077645365E-2</v>
      </c>
      <c r="F53" s="1">
        <v>0.1288</v>
      </c>
      <c r="G53" t="s">
        <v>87</v>
      </c>
      <c r="H53" t="s">
        <v>64</v>
      </c>
      <c r="I53" t="s">
        <v>52</v>
      </c>
      <c r="J53" t="s">
        <v>48</v>
      </c>
      <c r="K53" t="s">
        <v>48</v>
      </c>
      <c r="L53" s="1" t="s">
        <v>50</v>
      </c>
      <c r="M53" s="1" t="s">
        <v>50</v>
      </c>
      <c r="N53" s="1">
        <v>3.8100000000000002E-2</v>
      </c>
      <c r="O53" s="1">
        <v>5.7999999999999996E-3</v>
      </c>
      <c r="P53" s="1">
        <f t="shared" si="2"/>
        <v>4.3900000000000002E-2</v>
      </c>
      <c r="Q53" t="s">
        <v>56</v>
      </c>
      <c r="R53" s="6">
        <v>2</v>
      </c>
      <c r="S53" s="1">
        <v>0.97740000000000005</v>
      </c>
      <c r="T53">
        <v>0.94899999999999995</v>
      </c>
      <c r="U53" t="s">
        <v>52</v>
      </c>
      <c r="V53" t="s">
        <v>48</v>
      </c>
      <c r="W53" t="s">
        <v>52</v>
      </c>
      <c r="Z53" t="s">
        <v>52</v>
      </c>
      <c r="AC53" t="s">
        <v>52</v>
      </c>
      <c r="AE53" t="s">
        <v>52</v>
      </c>
      <c r="AI53" t="s">
        <v>52</v>
      </c>
    </row>
    <row r="54" spans="1:36">
      <c r="A54" t="s">
        <v>163</v>
      </c>
      <c r="B54" t="s">
        <v>164</v>
      </c>
      <c r="C54" s="5">
        <v>281008</v>
      </c>
      <c r="D54" s="5">
        <v>323477</v>
      </c>
      <c r="E54" s="1">
        <f t="shared" si="1"/>
        <v>-0.13128908701391442</v>
      </c>
      <c r="F54" s="1">
        <v>0.1118</v>
      </c>
      <c r="G54" t="s">
        <v>74</v>
      </c>
      <c r="H54" t="s">
        <v>12</v>
      </c>
      <c r="I54" t="s">
        <v>52</v>
      </c>
      <c r="J54" t="s">
        <v>48</v>
      </c>
      <c r="K54" t="s">
        <v>48</v>
      </c>
      <c r="L54" s="1">
        <v>0.88219999999999998</v>
      </c>
      <c r="M54" s="1">
        <v>0.28949999999999998</v>
      </c>
      <c r="N54" s="1">
        <v>7.5600000000000001E-2</v>
      </c>
      <c r="O54" s="1">
        <v>1.7899999999999999E-2</v>
      </c>
      <c r="P54" s="1">
        <f t="shared" si="2"/>
        <v>9.35E-2</v>
      </c>
      <c r="Q54" t="s">
        <v>56</v>
      </c>
      <c r="R54" s="6">
        <v>2</v>
      </c>
      <c r="S54" s="1">
        <v>0.83589999999999998</v>
      </c>
      <c r="T54">
        <v>0.78900000000000003</v>
      </c>
      <c r="U54" t="s">
        <v>52</v>
      </c>
      <c r="V54" t="s">
        <v>48</v>
      </c>
      <c r="W54" t="s">
        <v>52</v>
      </c>
      <c r="AB54" t="s">
        <v>52</v>
      </c>
    </row>
    <row r="55" spans="1:36">
      <c r="A55" t="s">
        <v>165</v>
      </c>
      <c r="B55" t="s">
        <v>166</v>
      </c>
      <c r="C55" s="5">
        <v>28800</v>
      </c>
      <c r="D55" s="5">
        <v>29778</v>
      </c>
      <c r="E55" s="1">
        <f t="shared" si="1"/>
        <v>-3.2843038484787423E-2</v>
      </c>
      <c r="F55" s="1">
        <v>3.5299999999999998E-2</v>
      </c>
      <c r="G55" t="s">
        <v>67</v>
      </c>
      <c r="H55" t="s">
        <v>12</v>
      </c>
      <c r="I55" t="s">
        <v>48</v>
      </c>
      <c r="J55" t="s">
        <v>48</v>
      </c>
      <c r="K55" t="s">
        <v>48</v>
      </c>
      <c r="L55" s="1" t="s">
        <v>50</v>
      </c>
      <c r="M55" s="1" t="s">
        <v>50</v>
      </c>
      <c r="N55" s="1">
        <v>3.44E-2</v>
      </c>
      <c r="O55" s="1">
        <v>8.6E-3</v>
      </c>
      <c r="P55" s="1">
        <f t="shared" si="2"/>
        <v>4.2999999999999997E-2</v>
      </c>
      <c r="Q55" t="s">
        <v>51</v>
      </c>
      <c r="R55" t="s">
        <v>51</v>
      </c>
      <c r="S55" s="1">
        <v>0.94679999999999997</v>
      </c>
      <c r="T55">
        <v>0.36</v>
      </c>
      <c r="U55" t="s">
        <v>48</v>
      </c>
      <c r="V55" t="s">
        <v>51</v>
      </c>
      <c r="AB55" t="s">
        <v>52</v>
      </c>
    </row>
    <row r="56" spans="1:36" s="11" customFormat="1">
      <c r="B56" s="11" t="s">
        <v>167</v>
      </c>
      <c r="C56" s="12"/>
      <c r="D56" s="12"/>
      <c r="E56" s="13">
        <f>AVERAGE(E3:E55)</f>
        <v>-1.5822756617838159E-2</v>
      </c>
      <c r="F56" s="13">
        <f>AVERAGE(F3:F55)</f>
        <v>0.21126226415094346</v>
      </c>
      <c r="L56" s="13">
        <f>AVERAGE(L3:L55)</f>
        <v>0.8659</v>
      </c>
      <c r="M56" s="13">
        <f>AVERAGE(M3:M55)</f>
        <v>0.44152553191489352</v>
      </c>
      <c r="N56" s="13">
        <f t="shared" ref="N56:P56" si="3">AVERAGE(N3:N55)</f>
        <v>0.10319433962264149</v>
      </c>
      <c r="O56" s="13">
        <f t="shared" si="3"/>
        <v>1.6324528301886795E-2</v>
      </c>
      <c r="P56" s="13">
        <f t="shared" si="3"/>
        <v>0.11951886792452827</v>
      </c>
      <c r="S56" s="13">
        <f>AVERAGE(S3:S55)</f>
        <v>0.84905471698113211</v>
      </c>
      <c r="T56" s="11">
        <f>AVERAGE(T3:T55)</f>
        <v>0.75492156862745075</v>
      </c>
    </row>
    <row r="57" spans="1:36">
      <c r="L57">
        <f>COUNTIF(L3:L55,"&lt;0.9")</f>
        <v>25</v>
      </c>
    </row>
  </sheetData>
  <mergeCells count="7">
    <mergeCell ref="W1:AJ1"/>
    <mergeCell ref="U1:V1"/>
    <mergeCell ref="H1:K1"/>
    <mergeCell ref="C1:E1"/>
    <mergeCell ref="L1:M1"/>
    <mergeCell ref="N1:P1"/>
    <mergeCell ref="Q1:R1"/>
  </mergeCells>
  <hyperlinks>
    <hyperlink ref="H1:J1" r:id="rId1" display="State Options Report (2023)" xr:uid="{551F4025-24B3-4159-B956-36B53E2AA571}"/>
    <hyperlink ref="L1:M1" r:id="rId2" display="February 2024 USDA letters" xr:uid="{47F2781F-6482-4595-A3EB-CF7A36E75C65}"/>
    <hyperlink ref="N1:P1" r:id="rId3" display="Payment Error Rates (2022)" xr:uid="{2C3D09EA-156F-40AF-A17D-23B5D0566CD2}"/>
    <hyperlink ref="C1" r:id="rId4" xr:uid="{B4AE1A92-126A-4758-8B58-A49D7ECA497A}"/>
    <hyperlink ref="G1" r:id="rId5" xr:uid="{EB7640E6-8FE3-49E8-BB5B-1E7E074466DE}"/>
    <hyperlink ref="Q1:R1" r:id="rId6" display="Categorical Eligibility" xr:uid="{92DC727F-8968-46E0-A378-937E49C9999E}"/>
    <hyperlink ref="S1" r:id="rId7" xr:uid="{09AE0F72-4CC8-4F7D-8ADD-A2FBF28EA617}"/>
    <hyperlink ref="T1" r:id="rId8" xr:uid="{8700822A-CAD7-4273-84C1-0EABDCFEB897}"/>
    <hyperlink ref="U1:V1" r:id="rId9" display="CfA Scorecard" xr:uid="{2198EBBD-FC5A-4099-9132-3F3D92F21F02}"/>
    <hyperlink ref="F1" r:id="rId10" xr:uid="{73A73635-3EC4-4D2A-8E01-487C9691E455}"/>
    <hyperlink ref="C1:E1" r:id="rId11" display="State Monthly Data" xr:uid="{37ECF19F-558F-4F04-966D-E1F8E8DB909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FB642-AF4C-4ACD-8403-38E844330B11}">
  <dimension ref="A1:G15"/>
  <sheetViews>
    <sheetView workbookViewId="0" xr3:uid="{28D32E58-A4E2-5C10-8F93-9584317C9D39}">
      <selection activeCell="G16" sqref="G16"/>
    </sheetView>
  </sheetViews>
  <sheetFormatPr defaultRowHeight="15"/>
  <cols>
    <col min="1" max="1" width="100.7109375" bestFit="1" customWidth="1"/>
    <col min="2" max="2" width="21.28515625" bestFit="1" customWidth="1"/>
    <col min="3" max="3" width="24.42578125" bestFit="1" customWidth="1"/>
    <col min="4" max="4" width="25.28515625" bestFit="1" customWidth="1"/>
    <col min="5" max="5" width="28.42578125" bestFit="1" customWidth="1"/>
    <col min="6" max="6" width="10.5703125" bestFit="1" customWidth="1"/>
    <col min="7" max="7" width="17.85546875" bestFit="1" customWidth="1"/>
  </cols>
  <sheetData>
    <row r="1" spans="1:7">
      <c r="A1" s="9" t="s">
        <v>168</v>
      </c>
      <c r="B1" s="9" t="s">
        <v>169</v>
      </c>
      <c r="C1" s="9" t="s">
        <v>170</v>
      </c>
      <c r="D1" s="4" t="s">
        <v>171</v>
      </c>
      <c r="E1" s="4" t="s">
        <v>172</v>
      </c>
      <c r="F1" s="4" t="s">
        <v>173</v>
      </c>
      <c r="G1" s="4" t="s">
        <v>174</v>
      </c>
    </row>
    <row r="2" spans="1:7">
      <c r="A2" t="str">
        <f ca="1">INDIRECT(_xlfn.CONCAT("'Raw Data'!",G2,"2"))</f>
        <v>Reinstate Eligibility (Reinstatement)</v>
      </c>
      <c r="B2" s="10">
        <f ca="1">COUNTIF(INDIRECT(_xlfn.CONCAT("'Raw Data'!",G2,"3:",G2,"55")),"=Yes")</f>
        <v>22</v>
      </c>
      <c r="C2">
        <f ca="1">COUNTIF(INDIRECT(_xlfn.CONCAT("'Raw Data'!",G2,"3:",G2,"55")),"&lt;&gt;Yes")</f>
        <v>31</v>
      </c>
      <c r="D2" s="1">
        <f ca="1">AVERAGEIFS('Raw Data'!$L$3:$L$55,INDIRECT(_xlfn.CONCAT("'Raw Data'!",G2,"3:",G2,"55")),"=Yes")</f>
        <v>0.906995</v>
      </c>
      <c r="E2" s="1">
        <f ca="1">AVERAGEIFS('Raw Data'!$L$3:$L$55,INDIRECT(_xlfn.CONCAT("'Raw Data'!",G2,"3:",G2,"55")),"&lt;&gt;Yes")</f>
        <v>0.83428846153846148</v>
      </c>
      <c r="F2" s="1">
        <f ca="1">D2-E2</f>
        <v>7.2706538461538517E-2</v>
      </c>
      <c r="G2" t="s">
        <v>175</v>
      </c>
    </row>
    <row r="3" spans="1:7">
      <c r="A3" t="str">
        <f ca="1">INDIRECT(_xlfn.CONCAT("'Raw Data'!",G3,"2"))</f>
        <v>Align Income Reporting Timeframes</v>
      </c>
      <c r="B3" s="10">
        <f ca="1">COUNTIF(INDIRECT(_xlfn.CONCAT("'Raw Data'!",G3,"3:",G3,"55")),"=Yes")</f>
        <v>1</v>
      </c>
      <c r="C3">
        <f ca="1">COUNTIF(INDIRECT(_xlfn.CONCAT("'Raw Data'!",G3,"3:",G3,"55")),"&lt;&gt;Yes")</f>
        <v>52</v>
      </c>
      <c r="D3" s="1">
        <f ca="1">AVERAGEIFS('Raw Data'!$L$3:$L$55,INDIRECT(_xlfn.CONCAT("'Raw Data'!",G3,"3:",G3,"55")),"=Yes")</f>
        <v>0.89180000000000004</v>
      </c>
      <c r="E3" s="1">
        <f ca="1">AVERAGEIFS('Raw Data'!$L$3:$L$55,INDIRECT(_xlfn.CONCAT("'Raw Data'!",G3,"3:",G3,"55")),"&lt;&gt;Yes")</f>
        <v>0.86532444444444445</v>
      </c>
      <c r="F3" s="1">
        <f t="shared" ref="F3:F15" ca="1" si="0">D3-E3</f>
        <v>2.6475555555555585E-2</v>
      </c>
      <c r="G3" t="s">
        <v>176</v>
      </c>
    </row>
    <row r="4" spans="1:7">
      <c r="A4" t="str">
        <f ca="1">INDIRECT(_xlfn.CONCAT("'Raw Data'!",G4,"2"))</f>
        <v>Allow Fee Agents in Remote Areas</v>
      </c>
      <c r="B4" s="10">
        <f ca="1">COUNTIF(INDIRECT(_xlfn.CONCAT("'Raw Data'!",G4,"3:",G4,"55")),"=Yes")</f>
        <v>1</v>
      </c>
      <c r="C4">
        <f ca="1">COUNTIF(INDIRECT(_xlfn.CONCAT("'Raw Data'!",G4,"3:",G4,"55")),"&lt;&gt;Yes")</f>
        <v>52</v>
      </c>
      <c r="D4" s="1" t="e">
        <f ca="1">AVERAGEIFS('Raw Data'!$L$3:$L$55,INDIRECT(_xlfn.CONCAT("'Raw Data'!",G4,"3:",G4,"55")),"=Yes")</f>
        <v>#DIV/0!</v>
      </c>
      <c r="E4" s="1">
        <f ca="1">AVERAGEIFS('Raw Data'!$L$3:$L$55,INDIRECT(_xlfn.CONCAT("'Raw Data'!",G4,"3:",G4,"55")),"&lt;&gt;Yes")</f>
        <v>0.8659</v>
      </c>
      <c r="F4" s="1" t="e">
        <f t="shared" ca="1" si="0"/>
        <v>#DIV/0!</v>
      </c>
      <c r="G4" t="s">
        <v>177</v>
      </c>
    </row>
    <row r="5" spans="1:7">
      <c r="A5" t="str">
        <f ca="1">INDIRECT(_xlfn.CONCAT("'Raw Data'!",G5,"2"))</f>
        <v>Shorten Certification Periods for Certain Households</v>
      </c>
      <c r="B5" s="10">
        <f ca="1">COUNTIF(INDIRECT(_xlfn.CONCAT("'Raw Data'!",G5,"3:",G5,"55")),"=Yes")</f>
        <v>5</v>
      </c>
      <c r="C5">
        <f ca="1">COUNTIF(INDIRECT(_xlfn.CONCAT("'Raw Data'!",G5,"3:",G5,"55")),"&lt;&gt;Yes")</f>
        <v>48</v>
      </c>
      <c r="D5" s="1">
        <f ca="1">AVERAGEIFS('Raw Data'!$L$3:$L$55,INDIRECT(_xlfn.CONCAT("'Raw Data'!",G5,"3:",G5,"55")),"=Yes")</f>
        <v>0.902725</v>
      </c>
      <c r="E5" s="1">
        <f ca="1">AVERAGEIFS('Raw Data'!$L$3:$L$55,INDIRECT(_xlfn.CONCAT("'Raw Data'!",G5,"3:",G5,"55")),"&lt;&gt;Yes")</f>
        <v>0.86239285714285696</v>
      </c>
      <c r="F5" s="1">
        <f t="shared" ca="1" si="0"/>
        <v>4.0332142857143038E-2</v>
      </c>
      <c r="G5" t="s">
        <v>178</v>
      </c>
    </row>
    <row r="6" spans="1:7">
      <c r="A6" t="str">
        <f ca="1">INDIRECT(_xlfn.CONCAT("'Raw Data'!",G6,"2"))</f>
        <v>Send Electronic Notices (E-Notice)</v>
      </c>
      <c r="B6" s="10">
        <f ca="1">COUNTIF(INDIRECT(_xlfn.CONCAT("'Raw Data'!",G6,"3:",G6,"55")),"=Yes")</f>
        <v>2</v>
      </c>
      <c r="C6">
        <f ca="1">COUNTIF(INDIRECT(_xlfn.CONCAT("'Raw Data'!",G6,"3:",G6,"55")),"&lt;&gt;Yes")</f>
        <v>51</v>
      </c>
      <c r="D6" s="1">
        <f ca="1">AVERAGEIFS('Raw Data'!$L$3:$L$55,INDIRECT(_xlfn.CONCAT("'Raw Data'!",G6,"3:",G6,"55")),"=Yes")</f>
        <v>0.84610000000000007</v>
      </c>
      <c r="E6" s="1">
        <f ca="1">AVERAGEIFS('Raw Data'!$L$3:$L$55,INDIRECT(_xlfn.CONCAT("'Raw Data'!",G6,"3:",G6,"55")),"&lt;&gt;Yes")</f>
        <v>0.8667999999999999</v>
      </c>
      <c r="F6" s="1">
        <f t="shared" ca="1" si="0"/>
        <v>-2.069999999999983E-2</v>
      </c>
      <c r="G6" t="s">
        <v>179</v>
      </c>
    </row>
    <row r="7" spans="1:7">
      <c r="A7" t="str">
        <f ca="1">INDIRECT(_xlfn.CONCAT("'Raw Data'!",G7,"2"))</f>
        <v>Deny Applications Before the 30th Day (Early Denial)</v>
      </c>
      <c r="B7" s="10">
        <f ca="1">COUNTIF(INDIRECT(_xlfn.CONCAT("'Raw Data'!",G7,"3:",G7,"55")),"=Yes")</f>
        <v>24</v>
      </c>
      <c r="C7">
        <f ca="1">COUNTIF(INDIRECT(_xlfn.CONCAT("'Raw Data'!",G7,"3:",G7,"55")),"&lt;&gt;Yes")</f>
        <v>29</v>
      </c>
      <c r="D7" s="1">
        <f ca="1">AVERAGEIFS('Raw Data'!$L$3:$L$55,INDIRECT(_xlfn.CONCAT("'Raw Data'!",G7,"3:",G7,"55")),"=Yes")</f>
        <v>0.86521000000000003</v>
      </c>
      <c r="E7" s="1">
        <f ca="1">AVERAGEIFS('Raw Data'!$L$3:$L$55,INDIRECT(_xlfn.CONCAT("'Raw Data'!",G7,"3:",G7,"55")),"&lt;&gt;Yes")</f>
        <v>0.86643076923076912</v>
      </c>
      <c r="F7" s="1">
        <f t="shared" ca="1" si="0"/>
        <v>-1.2207692307690809E-3</v>
      </c>
      <c r="G7" t="s">
        <v>180</v>
      </c>
    </row>
    <row r="8" spans="1:7">
      <c r="A8" t="str">
        <f ca="1">INDIRECT(_xlfn.CONCAT("'Raw Data'!",G8,"2"))</f>
        <v>Conduct Unscheduled Interviews (On-Demand)</v>
      </c>
      <c r="B8" s="10">
        <f ca="1">COUNTIF(INDIRECT(_xlfn.CONCAT("'Raw Data'!",G8,"3:",G8,"55")),"=Yes")</f>
        <v>17</v>
      </c>
      <c r="C8">
        <f ca="1">COUNTIF(INDIRECT(_xlfn.CONCAT("'Raw Data'!",G8,"3:",G8,"55")),"&lt;&gt;Yes")</f>
        <v>36</v>
      </c>
      <c r="D8" s="1">
        <f ca="1">AVERAGEIFS('Raw Data'!$L$3:$L$55,INDIRECT(_xlfn.CONCAT("'Raw Data'!",G8,"3:",G8,"55")),"=Yes")</f>
        <v>0.87297857142857127</v>
      </c>
      <c r="E8" s="1">
        <f ca="1">AVERAGEIFS('Raw Data'!$L$3:$L$55,INDIRECT(_xlfn.CONCAT("'Raw Data'!",G8,"3:",G8,"55")),"&lt;&gt;Yes")</f>
        <v>0.86280312500000012</v>
      </c>
      <c r="F8" s="1">
        <f t="shared" ca="1" si="0"/>
        <v>1.0175446428571155E-2</v>
      </c>
      <c r="G8" t="s">
        <v>181</v>
      </c>
    </row>
    <row r="9" spans="1:7">
      <c r="A9" t="str">
        <f ca="1">INDIRECT(_xlfn.CONCAT("'Raw Data'!",G9,"2"))</f>
        <v>Accept Pre-Release Applications from Institutions</v>
      </c>
      <c r="B9" s="10">
        <f ca="1">COUNTIF(INDIRECT(_xlfn.CONCAT("'Raw Data'!",G9,"3:",G9,"55")),"=Yes")</f>
        <v>13</v>
      </c>
      <c r="C9">
        <f ca="1">COUNTIF(INDIRECT(_xlfn.CONCAT("'Raw Data'!",G9,"3:",G9,"55")),"&lt;&gt;Yes")</f>
        <v>40</v>
      </c>
      <c r="D9" s="1">
        <f ca="1">AVERAGEIFS('Raw Data'!$L$3:$L$55,INDIRECT(_xlfn.CONCAT("'Raw Data'!",G9,"3:",G9,"55")),"=Yes")</f>
        <v>0.88151666666666673</v>
      </c>
      <c r="E9" s="1">
        <f ca="1">AVERAGEIFS('Raw Data'!$L$3:$L$55,INDIRECT(_xlfn.CONCAT("'Raw Data'!",G9,"3:",G9,"55")),"&lt;&gt;Yes")</f>
        <v>0.86038823529411768</v>
      </c>
      <c r="F9" s="1">
        <f t="shared" ca="1" si="0"/>
        <v>2.112843137254905E-2</v>
      </c>
      <c r="G9" t="s">
        <v>182</v>
      </c>
    </row>
    <row r="10" spans="1:7">
      <c r="A10" t="str">
        <f ca="1">INDIRECT(_xlfn.CONCAT("'Raw Data'!",G10,"2"))</f>
        <v>Combine Reminder Notice and Adequate Notice</v>
      </c>
      <c r="B10" s="10">
        <f ca="1">COUNTIF(INDIRECT(_xlfn.CONCAT("'Raw Data'!",G10,"3:",G10,"55")),"=Yes")</f>
        <v>12</v>
      </c>
      <c r="C10">
        <f ca="1">COUNTIF(INDIRECT(_xlfn.CONCAT("'Raw Data'!",G10,"3:",G10,"55")),"&lt;&gt;Yes")</f>
        <v>41</v>
      </c>
      <c r="D10" s="1">
        <f ca="1">AVERAGEIFS('Raw Data'!$L$3:$L$55,INDIRECT(_xlfn.CONCAT("'Raw Data'!",G10,"3:",G10,"55")),"=Yes")</f>
        <v>0.85011818181818166</v>
      </c>
      <c r="E10" s="1">
        <f ca="1">AVERAGEIFS('Raw Data'!$L$3:$L$55,INDIRECT(_xlfn.CONCAT("'Raw Data'!",G10,"3:",G10,"55")),"&lt;&gt;Yes")</f>
        <v>0.87085999999999997</v>
      </c>
      <c r="F10" s="1">
        <f t="shared" ca="1" si="0"/>
        <v>-2.0741818181818306E-2</v>
      </c>
      <c r="G10" t="s">
        <v>183</v>
      </c>
    </row>
    <row r="11" spans="1:7">
      <c r="A11" t="str">
        <f ca="1">INDIRECT(_xlfn.CONCAT("'Raw Data'!",G11,"2"))</f>
        <v>Allow Signature Block on Last Page of Application</v>
      </c>
      <c r="B11" s="10">
        <f ca="1">COUNTIF(INDIRECT(_xlfn.CONCAT("'Raw Data'!",G11,"3:",G11,"55")),"=Yes")</f>
        <v>3</v>
      </c>
      <c r="C11">
        <f ca="1">COUNTIF(INDIRECT(_xlfn.CONCAT("'Raw Data'!",G11,"3:",G11,"55")),"&lt;&gt;Yes")</f>
        <v>50</v>
      </c>
      <c r="D11" s="1">
        <f ca="1">AVERAGEIFS('Raw Data'!$L$3:$L$55,INDIRECT(_xlfn.CONCAT("'Raw Data'!",G11,"3:",G11,"55")),"=Yes")</f>
        <v>0.96716666666666662</v>
      </c>
      <c r="E11" s="1">
        <f ca="1">AVERAGEIFS('Raw Data'!$L$3:$L$55,INDIRECT(_xlfn.CONCAT("'Raw Data'!",G11,"3:",G11,"55")),"&lt;&gt;Yes")</f>
        <v>0.85883488372092998</v>
      </c>
      <c r="F11" s="1">
        <f t="shared" ca="1" si="0"/>
        <v>0.10833178294573664</v>
      </c>
      <c r="G11" t="s">
        <v>184</v>
      </c>
    </row>
    <row r="12" spans="1:7">
      <c r="A12" t="str">
        <f ca="1">INDIRECT(_xlfn.CONCAT("'Raw Data'!",G12,"2"))</f>
        <v>Send Joint Notices for SNAP Increases Due to TANF Decreases</v>
      </c>
      <c r="B12" s="10">
        <f ca="1">COUNTIF(INDIRECT(_xlfn.CONCAT("'Raw Data'!",G12,"3:",G12,"55")),"=Yes")</f>
        <v>1</v>
      </c>
      <c r="C12">
        <f ca="1">COUNTIF(INDIRECT(_xlfn.CONCAT("'Raw Data'!",G12,"3:",G12,"55")),"&lt;&gt;Yes")</f>
        <v>52</v>
      </c>
      <c r="D12" s="1">
        <f ca="1">AVERAGEIFS('Raw Data'!$L$3:$L$55,INDIRECT(_xlfn.CONCAT("'Raw Data'!",G12,"3:",G12,"55")),"=Yes")</f>
        <v>0.86180000000000001</v>
      </c>
      <c r="E12" s="1">
        <f ca="1">AVERAGEIFS('Raw Data'!$L$3:$L$55,INDIRECT(_xlfn.CONCAT("'Raw Data'!",G12,"3:",G12,"55")),"&lt;&gt;Yes")</f>
        <v>0.86599111111111093</v>
      </c>
      <c r="F12" s="1">
        <f t="shared" ca="1" si="0"/>
        <v>-4.1911111111109234E-3</v>
      </c>
      <c r="G12" t="s">
        <v>185</v>
      </c>
    </row>
    <row r="13" spans="1:7">
      <c r="A13" t="str">
        <f ca="1">INDIRECT(_xlfn.CONCAT("'Raw Data'!",G13,"2"))</f>
        <v>Waive Recertification Interview for Elderly or Disabled Households with No Earned Income (Elderly/Disabled)</v>
      </c>
      <c r="B13" s="10">
        <f ca="1">COUNTIF(INDIRECT(_xlfn.CONCAT("'Raw Data'!",G13,"3:",G13,"55")),"=Yes")</f>
        <v>9</v>
      </c>
      <c r="C13">
        <f ca="1">COUNTIF(INDIRECT(_xlfn.CONCAT("'Raw Data'!",G13,"3:",G13,"55")),"&lt;&gt;Yes")</f>
        <v>44</v>
      </c>
      <c r="D13" s="1">
        <f ca="1">AVERAGEIFS('Raw Data'!$L$3:$L$55,INDIRECT(_xlfn.CONCAT("'Raw Data'!",G13,"3:",G13,"55")),"=Yes")</f>
        <v>0.88037499999999991</v>
      </c>
      <c r="E13" s="1">
        <f ca="1">AVERAGEIFS('Raw Data'!$L$3:$L$55,INDIRECT(_xlfn.CONCAT("'Raw Data'!",G13,"3:",G13,"55")),"&lt;&gt;Yes")</f>
        <v>0.8628526315789472</v>
      </c>
      <c r="F13" s="1">
        <f t="shared" ca="1" si="0"/>
        <v>1.7522368421052703E-2</v>
      </c>
      <c r="G13" t="s">
        <v>186</v>
      </c>
    </row>
    <row r="14" spans="1:7">
      <c r="A14" t="str">
        <f ca="1">INDIRECT(_xlfn.CONCAT("'Raw Data'!",G14,"2"))</f>
        <v>Not Pay for Postage on Change Report Forms</v>
      </c>
      <c r="B14" s="10">
        <f ca="1">COUNTIF(INDIRECT(_xlfn.CONCAT("'Raw Data'!",G14,"3:",G14,"55")),"=Yes")</f>
        <v>10</v>
      </c>
      <c r="C14">
        <f ca="1">COUNTIF(INDIRECT(_xlfn.CONCAT("'Raw Data'!",G14,"3:",G14,"55")),"&lt;&gt;Yes")</f>
        <v>43</v>
      </c>
      <c r="D14" s="1">
        <f ca="1">AVERAGEIFS('Raw Data'!$L$3:$L$55,INDIRECT(_xlfn.CONCAT("'Raw Data'!",G14,"3:",G14,"55")),"=Yes")</f>
        <v>0.90973333333333328</v>
      </c>
      <c r="E14" s="1">
        <f ca="1">AVERAGEIFS('Raw Data'!$L$3:$L$55,INDIRECT(_xlfn.CONCAT("'Raw Data'!",G14,"3:",G14,"55")),"&lt;&gt;Yes")</f>
        <v>0.8552378378378378</v>
      </c>
      <c r="F14" s="1">
        <f t="shared" ca="1" si="0"/>
        <v>5.4495495495495483E-2</v>
      </c>
      <c r="G14" t="s">
        <v>187</v>
      </c>
    </row>
    <row r="15" spans="1:7">
      <c r="A15" t="str">
        <f ca="1">INDIRECT(_xlfn.CONCAT("'Raw Data'!",G15,"2"))</f>
        <v>Other</v>
      </c>
      <c r="B15" s="10">
        <f ca="1">COUNTIF(INDIRECT(_xlfn.CONCAT("'Raw Data'!",G15,"3:",G15,"55")),"=Yes")</f>
        <v>10</v>
      </c>
      <c r="C15">
        <f ca="1">COUNTIF(INDIRECT(_xlfn.CONCAT("'Raw Data'!",G15,"3:",G15,"55")),"&lt;&gt;Yes")</f>
        <v>43</v>
      </c>
      <c r="D15" s="1">
        <f ca="1">AVERAGEIFS('Raw Data'!$L$3:$L$55,INDIRECT(_xlfn.CONCAT("'Raw Data'!",G15,"3:",G15,"55")),"=Yes")</f>
        <v>0.88009999999999999</v>
      </c>
      <c r="E15" s="1">
        <f ca="1">AVERAGEIFS('Raw Data'!$L$3:$L$55,INDIRECT(_xlfn.CONCAT("'Raw Data'!",G15,"3:",G15,"55")),"&lt;&gt;Yes")</f>
        <v>0.86244594594594592</v>
      </c>
      <c r="F15" s="1">
        <f t="shared" ca="1" si="0"/>
        <v>1.7654054054054069E-2</v>
      </c>
      <c r="G15" t="s">
        <v>188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0EF72-CE3C-45EF-B096-04905B05AF0B}">
  <dimension ref="A1:B7"/>
  <sheetViews>
    <sheetView workbookViewId="0" xr3:uid="{3922A2F7-0B5C-5ACB-948A-9C879F1D4E5D}">
      <selection activeCell="A25" sqref="A25"/>
    </sheetView>
  </sheetViews>
  <sheetFormatPr defaultRowHeight="15"/>
  <cols>
    <col min="1" max="1" width="30" bestFit="1" customWidth="1"/>
    <col min="2" max="2" width="12.28515625" bestFit="1" customWidth="1"/>
  </cols>
  <sheetData>
    <row r="1" spans="1:2" s="4" customFormat="1">
      <c r="A1" s="4" t="s">
        <v>189</v>
      </c>
      <c r="B1" s="4" t="s">
        <v>190</v>
      </c>
    </row>
    <row r="2" spans="1:2">
      <c r="A2" t="s">
        <v>47</v>
      </c>
      <c r="B2" s="1">
        <f>AVERAGEIFS('Raw Data'!L$3:L$55,'Raw Data'!G$3:G$55,A2)</f>
        <v>0.8580833333333332</v>
      </c>
    </row>
    <row r="3" spans="1:2">
      <c r="A3" t="s">
        <v>55</v>
      </c>
      <c r="B3" s="1">
        <f>AVERAGEIFS('Raw Data'!L$3:L$55,'Raw Data'!G$3:G$55,A3)</f>
        <v>0.82547142857142852</v>
      </c>
    </row>
    <row r="4" spans="1:2">
      <c r="A4" t="s">
        <v>59</v>
      </c>
      <c r="B4" s="1">
        <f>AVERAGEIFS('Raw Data'!L$3:L$55,'Raw Data'!G$3:G$55,A4)</f>
        <v>0.88121666666666665</v>
      </c>
    </row>
    <row r="5" spans="1:2">
      <c r="A5" t="s">
        <v>67</v>
      </c>
      <c r="B5" s="1">
        <f>AVERAGEIFS('Raw Data'!L$3:L$55,'Raw Data'!G$3:G$55,A5)</f>
        <v>0.8267833333333332</v>
      </c>
    </row>
    <row r="6" spans="1:2">
      <c r="A6" t="s">
        <v>71</v>
      </c>
      <c r="B6" s="1">
        <f>AVERAGEIFS('Raw Data'!L$3:L$55,'Raw Data'!G$3:G$55,A6)</f>
        <v>0.90897142857142854</v>
      </c>
    </row>
    <row r="7" spans="1:2">
      <c r="A7" t="s">
        <v>74</v>
      </c>
      <c r="B7" s="1">
        <f>AVERAGEIFS('Raw Data'!L$3:L$55,'Raw Data'!G$3:G$55,A7)</f>
        <v>0.84125714285714281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F0F73-727A-4604-8F43-39FF3A8F6842}">
  <dimension ref="A1:O54"/>
  <sheetViews>
    <sheetView workbookViewId="0" xr3:uid="{8B5C9A5A-1E0C-54A6-9334-46D2CE78EE2F}">
      <selection activeCell="L2" sqref="L2"/>
    </sheetView>
  </sheetViews>
  <sheetFormatPr defaultRowHeight="15"/>
  <cols>
    <col min="2" max="2" width="16.28515625" bestFit="1" customWidth="1"/>
    <col min="3" max="3" width="10.85546875" bestFit="1" customWidth="1"/>
    <col min="4" max="4" width="17.5703125" bestFit="1" customWidth="1"/>
    <col min="5" max="5" width="19.28515625" bestFit="1" customWidth="1"/>
    <col min="6" max="6" width="10.140625" bestFit="1" customWidth="1"/>
    <col min="7" max="7" width="23.85546875" bestFit="1" customWidth="1"/>
    <col min="8" max="8" width="12.140625" bestFit="1" customWidth="1"/>
    <col min="9" max="9" width="12.140625" customWidth="1"/>
    <col min="10" max="10" width="25.140625" bestFit="1" customWidth="1"/>
    <col min="11" max="11" width="12.140625" bestFit="1" customWidth="1"/>
    <col min="12" max="12" width="23.7109375" bestFit="1" customWidth="1"/>
    <col min="14" max="14" width="48.28515625" bestFit="1" customWidth="1"/>
  </cols>
  <sheetData>
    <row r="1" spans="1:15">
      <c r="A1" s="4" t="s">
        <v>12</v>
      </c>
      <c r="B1" s="4" t="s">
        <v>191</v>
      </c>
      <c r="C1" s="4" t="s">
        <v>192</v>
      </c>
      <c r="D1" s="4" t="s">
        <v>193</v>
      </c>
      <c r="E1" s="4" t="s">
        <v>194</v>
      </c>
      <c r="F1" s="4" t="s">
        <v>195</v>
      </c>
      <c r="G1" s="4" t="s">
        <v>196</v>
      </c>
      <c r="H1" s="4" t="s">
        <v>197</v>
      </c>
      <c r="I1" s="4" t="s">
        <v>198</v>
      </c>
      <c r="J1" s="4" t="s">
        <v>199</v>
      </c>
      <c r="K1" s="4" t="s">
        <v>200</v>
      </c>
      <c r="L1" s="4" t="s">
        <v>201</v>
      </c>
      <c r="N1" s="19" t="s">
        <v>202</v>
      </c>
      <c r="O1" s="19"/>
    </row>
    <row r="2" spans="1:15">
      <c r="A2" t="str">
        <f>'Raw Data'!A10</f>
        <v>DC</v>
      </c>
      <c r="B2">
        <f>$O$2*(('Raw Data'!C10 - MIN('Raw Data'!$C$3:$C$55)) / (MAX('Raw Data'!$C$3:$C$55) - MIN('Raw Data'!$C$3:$C$55)))</f>
        <v>2.2062404291813338E-2</v>
      </c>
      <c r="C2">
        <f>$O$3*IF('Raw Data'!I10="Yes",1,0)</f>
        <v>0</v>
      </c>
      <c r="D2">
        <f>$O$4*IF('Raw Data'!H10="State",1,0)</f>
        <v>0</v>
      </c>
      <c r="E2">
        <f>$O$5*IF('Raw Data'!H10="County",1,0)</f>
        <v>0</v>
      </c>
      <c r="F2">
        <f>$O$6*(1-((IF(ISNUMBER('Raw Data'!L10), 'Raw Data'!L10, 'Raw Data'!$L$56) - MIN('Raw Data'!$L$3:$L$55))/(MAX('Raw Data'!$L$3:$L$55) - MIN('Raw Data'!$L$3:$L$55))))</f>
        <v>3</v>
      </c>
      <c r="G2">
        <f>$O$7*(('Raw Data'!P10 - MIN('Raw Data'!$P$3:$P$55)) / (MAX('Raw Data'!$P$3:$P$55) - MIN('Raw Data'!$P$3:$P$55)))</f>
        <v>0</v>
      </c>
      <c r="H2">
        <f>$O$8*((IF(ISNUMBER('Raw Data'!M10), 'Raw Data'!M10, 'Raw Data'!$M$56) - MIN('Raw Data'!$M$3:$M$55))/(MAX('Raw Data'!$M$3:$M$55) - MIN('Raw Data'!$M$3:$M$55)))</f>
        <v>2</v>
      </c>
      <c r="I2">
        <f>$O$9*(1-((IF(ISNUMBER('Raw Data'!T10), 'Raw Data'!T10, 'Raw Data'!$T$56) - MIN('Raw Data'!T$3:T$55))/(MAX('Raw Data'!T$3:T$55) - MIN('Raw Data'!T$3:T$55))))</f>
        <v>0</v>
      </c>
      <c r="J2">
        <f>$O$10*(1-(('Raw Data'!E10 - MIN('Raw Data'!$E$3:$E$55)) / (MAX('Raw Data'!$E$3:$E$55) - MIN('Raw Data'!$E$3:$E$55))))</f>
        <v>0.38871462269765256</v>
      </c>
      <c r="K2">
        <f>SUM(B2:J2)</f>
        <v>5.4107770269894662</v>
      </c>
      <c r="L2">
        <f>100*((K2 - MIN($K$2:$K$54))/(MAX($K$2:$K$54) - MIN($K$2:$K$54)))</f>
        <v>100</v>
      </c>
      <c r="N2" t="s">
        <v>203</v>
      </c>
      <c r="O2">
        <v>1</v>
      </c>
    </row>
    <row r="3" spans="1:15">
      <c r="A3" t="str">
        <f>'Raw Data'!A12</f>
        <v>FL</v>
      </c>
      <c r="B3">
        <f>$O$2*(('Raw Data'!C12 - MIN('Raw Data'!$C$3:$C$55)) / (MAX('Raw Data'!$C$3:$C$55) - MIN('Raw Data'!$C$3:$C$55)))</f>
        <v>0.58472191793624861</v>
      </c>
      <c r="C3">
        <f>$O$3*IF('Raw Data'!I12="Yes",1,0)</f>
        <v>0</v>
      </c>
      <c r="D3">
        <f>$O$4*IF('Raw Data'!H12="State",1,0)</f>
        <v>0</v>
      </c>
      <c r="E3">
        <f>$O$5*IF('Raw Data'!H12="County",1,0)</f>
        <v>0</v>
      </c>
      <c r="F3">
        <f>$O$6*(1-((IF(ISNUMBER('Raw Data'!L12), 'Raw Data'!L12, 'Raw Data'!$L$56) - MIN('Raw Data'!$L$3:$L$55))/(MAX('Raw Data'!$L$3:$L$55) - MIN('Raw Data'!$L$3:$L$55))))</f>
        <v>1.7816988827806353</v>
      </c>
      <c r="G3">
        <f>$O$7*(('Raw Data'!P12 - MIN('Raw Data'!$P$3:$P$55)) / (MAX('Raw Data'!$P$3:$P$55) - MIN('Raw Data'!$P$3:$P$55)))</f>
        <v>0</v>
      </c>
      <c r="H3">
        <f>$O$8*((IF(ISNUMBER('Raw Data'!M12), 'Raw Data'!M12, 'Raw Data'!$M$56) - MIN('Raw Data'!$M$3:$M$55))/(MAX('Raw Data'!$M$3:$M$55) - MIN('Raw Data'!$M$3:$M$55)))</f>
        <v>1.1353383458646615</v>
      </c>
      <c r="I3">
        <f>$O$9*(1-((IF(ISNUMBER('Raw Data'!T12), 'Raw Data'!T12, 'Raw Data'!$T$56) - MIN('Raw Data'!T$3:T$55))/(MAX('Raw Data'!T$3:T$55) - MIN('Raw Data'!T$3:T$55))))</f>
        <v>0</v>
      </c>
      <c r="J3">
        <f>$O$10*(1-(('Raw Data'!E12 - MIN('Raw Data'!$E$3:$E$55)) / (MAX('Raw Data'!$E$3:$E$55) - MIN('Raw Data'!$E$3:$E$55))))</f>
        <v>0.71809012198062572</v>
      </c>
      <c r="K3">
        <f>SUM(B3:J3)</f>
        <v>4.2198492685621707</v>
      </c>
      <c r="L3">
        <f>100*((K3 - MIN($K$2:$K$54))/(MAX($K$2:$K$54) - MIN($K$2:$K$54)))</f>
        <v>75.297417597185685</v>
      </c>
      <c r="N3" t="s">
        <v>204</v>
      </c>
      <c r="O3">
        <v>0</v>
      </c>
    </row>
    <row r="4" spans="1:15">
      <c r="A4" t="str">
        <f>'Raw Data'!A44</f>
        <v>SC</v>
      </c>
      <c r="B4">
        <f>$O$2*(('Raw Data'!C44 - MIN('Raw Data'!$C$3:$C$55)) / (MAX('Raw Data'!$C$3:$C$55) - MIN('Raw Data'!$C$3:$C$55)))</f>
        <v>0.10882969155051141</v>
      </c>
      <c r="C4">
        <f>$O$3*IF('Raw Data'!I44="Yes",1,0)</f>
        <v>0</v>
      </c>
      <c r="D4">
        <f>$O$4*IF('Raw Data'!H44="State",1,0)</f>
        <v>0</v>
      </c>
      <c r="E4">
        <f>$O$5*IF('Raw Data'!H44="County",1,0)</f>
        <v>0</v>
      </c>
      <c r="F4">
        <f>$O$6*(1-((IF(ISNUMBER('Raw Data'!L44), 'Raw Data'!L44, 'Raw Data'!$L$56) - MIN('Raw Data'!$L$3:$L$55))/(MAX('Raw Data'!$L$3:$L$55) - MIN('Raw Data'!$L$3:$L$55))))</f>
        <v>1.3677957084589463</v>
      </c>
      <c r="G4">
        <f>$O$7*(('Raw Data'!P44 - MIN('Raw Data'!$P$3:$P$55)) / (MAX('Raw Data'!$P$3:$P$55) - MIN('Raw Data'!$P$3:$P$55)))</f>
        <v>0</v>
      </c>
      <c r="H4">
        <f>$O$8*((IF(ISNUMBER('Raw Data'!M44), 'Raw Data'!M44, 'Raw Data'!$M$56) - MIN('Raw Data'!$M$3:$M$55))/(MAX('Raw Data'!$M$3:$M$55) - MIN('Raw Data'!$M$3:$M$55)))</f>
        <v>1.9750375939849625</v>
      </c>
      <c r="I4">
        <f>$O$9*(1-((IF(ISNUMBER('Raw Data'!T44), 'Raw Data'!T44, 'Raw Data'!$T$56) - MIN('Raw Data'!T$3:T$55))/(MAX('Raw Data'!T$3:T$55) - MIN('Raw Data'!T$3:T$55))))</f>
        <v>0</v>
      </c>
      <c r="J4">
        <f>$O$10*(1-(('Raw Data'!E44 - MIN('Raw Data'!$E$3:$E$55)) / (MAX('Raw Data'!$E$3:$E$55) - MIN('Raw Data'!$E$3:$E$55))))</f>
        <v>0.52403326992530364</v>
      </c>
      <c r="K4">
        <f>SUM(B4:J4)</f>
        <v>3.9756962639197235</v>
      </c>
      <c r="L4">
        <f>100*((K4 - MIN($K$2:$K$54))/(MAX($K$2:$K$54) - MIN($K$2:$K$54)))</f>
        <v>70.233122409340368</v>
      </c>
      <c r="N4" t="s">
        <v>205</v>
      </c>
      <c r="O4">
        <v>0</v>
      </c>
    </row>
    <row r="5" spans="1:15">
      <c r="A5" t="str">
        <f>'Raw Data'!A14</f>
        <v>GU</v>
      </c>
      <c r="B5">
        <f>$O$2*(('Raw Data'!C14 - MIN('Raw Data'!$C$3:$C$55)) / (MAX('Raw Data'!$C$3:$C$55) - MIN('Raw Data'!$C$3:$C$55)))</f>
        <v>1.9534213536481588E-3</v>
      </c>
      <c r="C5">
        <f>$O$3*IF('Raw Data'!I14="Yes",1,0)</f>
        <v>0</v>
      </c>
      <c r="D5">
        <f>$O$4*IF('Raw Data'!H14="State",1,0)</f>
        <v>0</v>
      </c>
      <c r="E5">
        <f>$O$5*IF('Raw Data'!H14="County",1,0)</f>
        <v>0</v>
      </c>
      <c r="F5">
        <f>$O$6*(1-((IF(ISNUMBER('Raw Data'!L14), 'Raw Data'!L14, 'Raw Data'!$L$56) - MIN('Raw Data'!$L$3:$L$55))/(MAX('Raw Data'!$L$3:$L$55) - MIN('Raw Data'!$L$3:$L$55))))</f>
        <v>1.5986877105869832</v>
      </c>
      <c r="G5">
        <f>$O$7*(('Raw Data'!P14 - MIN('Raw Data'!$P$3:$P$55)) / (MAX('Raw Data'!$P$3:$P$55) - MIN('Raw Data'!$P$3:$P$55)))</f>
        <v>0</v>
      </c>
      <c r="H5">
        <f>$O$8*((IF(ISNUMBER('Raw Data'!M14), 'Raw Data'!M14, 'Raw Data'!$M$56) - MIN('Raw Data'!$M$3:$M$55))/(MAX('Raw Data'!$M$3:$M$55) - MIN('Raw Data'!$M$3:$M$55)))</f>
        <v>1.4249624060150374</v>
      </c>
      <c r="I5">
        <f>$O$9*(1-((IF(ISNUMBER('Raw Data'!T14), 'Raw Data'!T14, 'Raw Data'!$T$56) - MIN('Raw Data'!T$3:T$55))/(MAX('Raw Data'!T$3:T$55) - MIN('Raw Data'!T$3:T$55))))</f>
        <v>0</v>
      </c>
      <c r="J5">
        <f>$O$10*(1-(('Raw Data'!E14 - MIN('Raw Data'!$E$3:$E$55)) / (MAX('Raw Data'!$E$3:$E$55) - MIN('Raw Data'!$E$3:$E$55))))</f>
        <v>0.81208184919957449</v>
      </c>
      <c r="K5">
        <f>SUM(B5:J5)</f>
        <v>3.8376853871552434</v>
      </c>
      <c r="L5">
        <f>100*((K5 - MIN($K$2:$K$54))/(MAX($K$2:$K$54) - MIN($K$2:$K$54)))</f>
        <v>67.370459219541729</v>
      </c>
      <c r="N5" t="s">
        <v>206</v>
      </c>
      <c r="O5">
        <v>0</v>
      </c>
    </row>
    <row r="6" spans="1:15">
      <c r="A6" t="str">
        <f>'Raw Data'!A38</f>
        <v>NY</v>
      </c>
      <c r="B6">
        <f>$O$2*(('Raw Data'!C38 - MIN('Raw Data'!$C$3:$C$55)) / (MAX('Raw Data'!$C$3:$C$55) - MIN('Raw Data'!$C$3:$C$55)))</f>
        <v>0.53487476724487937</v>
      </c>
      <c r="C6">
        <f>$O$3*IF('Raw Data'!I38="Yes",1,0)</f>
        <v>0</v>
      </c>
      <c r="D6">
        <f>$O$4*IF('Raw Data'!H38="State",1,0)</f>
        <v>0</v>
      </c>
      <c r="E6">
        <f>$O$5*IF('Raw Data'!H38="County",1,0)</f>
        <v>0</v>
      </c>
      <c r="F6">
        <f>$O$6*(1-((IF(ISNUMBER('Raw Data'!L38), 'Raw Data'!L38, 'Raw Data'!$L$56) - MIN('Raw Data'!$L$3:$L$55))/(MAX('Raw Data'!$L$3:$L$55) - MIN('Raw Data'!$L$3:$L$55))))</f>
        <v>1.8572441922326655</v>
      </c>
      <c r="G6">
        <f>$O$7*(('Raw Data'!P38 - MIN('Raw Data'!$P$3:$P$55)) / (MAX('Raw Data'!$P$3:$P$55) - MIN('Raw Data'!$P$3:$P$55)))</f>
        <v>0</v>
      </c>
      <c r="H6">
        <f>$O$8*((IF(ISNUMBER('Raw Data'!M38), 'Raw Data'!M38, 'Raw Data'!$M$56) - MIN('Raw Data'!$M$3:$M$55))/(MAX('Raw Data'!$M$3:$M$55) - MIN('Raw Data'!$M$3:$M$55)))</f>
        <v>0.94135338345864661</v>
      </c>
      <c r="I6">
        <f>$O$9*(1-((IF(ISNUMBER('Raw Data'!T38), 'Raw Data'!T38, 'Raw Data'!$T$56) - MIN('Raw Data'!T$3:T$55))/(MAX('Raw Data'!T$3:T$55) - MIN('Raw Data'!T$3:T$55))))</f>
        <v>0</v>
      </c>
      <c r="J6">
        <f>$O$10*(1-(('Raw Data'!E38 - MIN('Raw Data'!$E$3:$E$55)) / (MAX('Raw Data'!$E$3:$E$55) - MIN('Raw Data'!$E$3:$E$55))))</f>
        <v>0.36211765663015694</v>
      </c>
      <c r="K6">
        <f>SUM(B6:J6)</f>
        <v>3.6955899995663484</v>
      </c>
      <c r="L6">
        <f>100*((K6 - MIN($K$2:$K$54))/(MAX($K$2:$K$54) - MIN($K$2:$K$54)))</f>
        <v>64.423073875522292</v>
      </c>
      <c r="N6" t="s">
        <v>207</v>
      </c>
      <c r="O6">
        <v>3</v>
      </c>
    </row>
    <row r="7" spans="1:15">
      <c r="A7" t="str">
        <f>'Raw Data'!A13</f>
        <v>GA</v>
      </c>
      <c r="B7">
        <f>$O$2*(('Raw Data'!C13 - MIN('Raw Data'!$C$3:$C$55)) / (MAX('Raw Data'!$C$3:$C$55) - MIN('Raw Data'!$C$3:$C$55)))</f>
        <v>0.26716958043347222</v>
      </c>
      <c r="C7">
        <f>$O$3*IF('Raw Data'!I13="Yes",1,0)</f>
        <v>0</v>
      </c>
      <c r="D7">
        <f>$O$4*IF('Raw Data'!H13="State",1,0)</f>
        <v>0</v>
      </c>
      <c r="E7">
        <f>$O$5*IF('Raw Data'!H13="County",1,0)</f>
        <v>0</v>
      </c>
      <c r="F7">
        <f>$O$6*(1-((IF(ISNUMBER('Raw Data'!L13), 'Raw Data'!L13, 'Raw Data'!$L$56) - MIN('Raw Data'!$L$3:$L$55))/(MAX('Raw Data'!$L$3:$L$55) - MIN('Raw Data'!$L$3:$L$55))))</f>
        <v>0.79588579535378634</v>
      </c>
      <c r="G7">
        <f>$O$7*(('Raw Data'!P13 - MIN('Raw Data'!$P$3:$P$55)) / (MAX('Raw Data'!$P$3:$P$55) - MIN('Raw Data'!$P$3:$P$55)))</f>
        <v>0</v>
      </c>
      <c r="H7">
        <f>$O$8*((IF(ISNUMBER('Raw Data'!M13), 'Raw Data'!M13, 'Raw Data'!$M$56) - MIN('Raw Data'!$M$3:$M$55))/(MAX('Raw Data'!$M$3:$M$55) - MIN('Raw Data'!$M$3:$M$55)))</f>
        <v>1.830375939849624</v>
      </c>
      <c r="I7">
        <f>$O$9*(1-((IF(ISNUMBER('Raw Data'!T13), 'Raw Data'!T13, 'Raw Data'!$T$56) - MIN('Raw Data'!T$3:T$55))/(MAX('Raw Data'!T$3:T$55) - MIN('Raw Data'!T$3:T$55))))</f>
        <v>0</v>
      </c>
      <c r="J7">
        <f>$O$10*(1-(('Raw Data'!E13 - MIN('Raw Data'!$E$3:$E$55)) / (MAX('Raw Data'!$E$3:$E$55) - MIN('Raw Data'!$E$3:$E$55))))</f>
        <v>0.76556270991192221</v>
      </c>
      <c r="K7">
        <f>SUM(B7:J7)</f>
        <v>3.6589940255488047</v>
      </c>
      <c r="L7">
        <f>100*((K7 - MIN($K$2:$K$54))/(MAX($K$2:$K$54) - MIN($K$2:$K$54)))</f>
        <v>63.66398915574598</v>
      </c>
      <c r="N7" t="s">
        <v>208</v>
      </c>
      <c r="O7">
        <v>0</v>
      </c>
    </row>
    <row r="8" spans="1:15">
      <c r="A8" t="str">
        <f>'Raw Data'!A46</f>
        <v>TN</v>
      </c>
      <c r="B8">
        <f>$O$2*(('Raw Data'!C46 - MIN('Raw Data'!$C$3:$C$55)) / (MAX('Raw Data'!$C$3:$C$55) - MIN('Raw Data'!$C$3:$C$55)))</f>
        <v>8.6982210905937232E-2</v>
      </c>
      <c r="C8">
        <f>$O$3*IF('Raw Data'!I46="Yes",1,0)</f>
        <v>0</v>
      </c>
      <c r="D8">
        <f>$O$4*IF('Raw Data'!H46="State",1,0)</f>
        <v>0</v>
      </c>
      <c r="E8">
        <f>$O$5*IF('Raw Data'!H46="County",1,0)</f>
        <v>0</v>
      </c>
      <c r="F8">
        <f>$O$6*(1-((IF(ISNUMBER('Raw Data'!L46), 'Raw Data'!L46, 'Raw Data'!$L$56) - MIN('Raw Data'!$L$3:$L$55))/(MAX('Raw Data'!$L$3:$L$55) - MIN('Raw Data'!$L$3:$L$55))))</f>
        <v>1.1001950700478811</v>
      </c>
      <c r="G8">
        <f>$O$7*(('Raw Data'!P46 - MIN('Raw Data'!$P$3:$P$55)) / (MAX('Raw Data'!$P$3:$P$55) - MIN('Raw Data'!$P$3:$P$55)))</f>
        <v>0</v>
      </c>
      <c r="H8">
        <f>$O$8*((IF(ISNUMBER('Raw Data'!M46), 'Raw Data'!M46, 'Raw Data'!$M$56) - MIN('Raw Data'!$M$3:$M$55))/(MAX('Raw Data'!$M$3:$M$55) - MIN('Raw Data'!$M$3:$M$55)))</f>
        <v>0.470375939849624</v>
      </c>
      <c r="I8">
        <f>$O$9*(1-((IF(ISNUMBER('Raw Data'!T46), 'Raw Data'!T46, 'Raw Data'!$T$56) - MIN('Raw Data'!T$3:T$55))/(MAX('Raw Data'!T$3:T$55) - MIN('Raw Data'!T$3:T$55))))</f>
        <v>0</v>
      </c>
      <c r="J8">
        <f>$O$10*(1-(('Raw Data'!E46 - MIN('Raw Data'!$E$3:$E$55)) / (MAX('Raw Data'!$E$3:$E$55) - MIN('Raw Data'!$E$3:$E$55))))</f>
        <v>2</v>
      </c>
      <c r="K8">
        <f>SUM(B8:J8)</f>
        <v>3.6575532208034423</v>
      </c>
      <c r="L8">
        <f>100*((K8 - MIN($K$2:$K$54))/(MAX($K$2:$K$54) - MIN($K$2:$K$54)))</f>
        <v>63.634103549589916</v>
      </c>
      <c r="N8" t="s">
        <v>209</v>
      </c>
      <c r="O8">
        <v>2</v>
      </c>
    </row>
    <row r="9" spans="1:15">
      <c r="A9" t="str">
        <f>'Raw Data'!A36</f>
        <v>NM</v>
      </c>
      <c r="B9">
        <f>$O$2*(('Raw Data'!C36 - MIN('Raw Data'!$C$3:$C$55)) / (MAX('Raw Data'!$C$3:$C$55) - MIN('Raw Data'!$C$3:$C$55)))</f>
        <v>8.0718775813067883E-2</v>
      </c>
      <c r="C9">
        <f>$O$3*IF('Raw Data'!I36="Yes",1,0)</f>
        <v>0</v>
      </c>
      <c r="D9">
        <f>$O$4*IF('Raw Data'!H36="State",1,0)</f>
        <v>0</v>
      </c>
      <c r="E9">
        <f>$O$5*IF('Raw Data'!H36="County",1,0)</f>
        <v>0</v>
      </c>
      <c r="F9">
        <f>$O$6*(1-((IF(ISNUMBER('Raw Data'!L36), 'Raw Data'!L36, 'Raw Data'!$L$56) - MIN('Raw Data'!$L$3:$L$55))/(MAX('Raw Data'!$L$3:$L$55) - MIN('Raw Data'!$L$3:$L$55))))</f>
        <v>1.4390849441390321</v>
      </c>
      <c r="G9">
        <f>$O$7*(('Raw Data'!P36 - MIN('Raw Data'!$P$3:$P$55)) / (MAX('Raw Data'!$P$3:$P$55) - MIN('Raw Data'!$P$3:$P$55)))</f>
        <v>0</v>
      </c>
      <c r="H9">
        <f>$O$8*((IF(ISNUMBER('Raw Data'!M36), 'Raw Data'!M36, 'Raw Data'!$M$56) - MIN('Raw Data'!$M$3:$M$55))/(MAX('Raw Data'!$M$3:$M$55) - MIN('Raw Data'!$M$3:$M$55)))</f>
        <v>0.94375939849624058</v>
      </c>
      <c r="I9">
        <f>$O$9*(1-((IF(ISNUMBER('Raw Data'!T36), 'Raw Data'!T36, 'Raw Data'!$T$56) - MIN('Raw Data'!T$3:T$55))/(MAX('Raw Data'!T$3:T$55) - MIN('Raw Data'!T$3:T$55))))</f>
        <v>0</v>
      </c>
      <c r="J9">
        <f>$O$10*(1-(('Raw Data'!E36 - MIN('Raw Data'!$E$3:$E$55)) / (MAX('Raw Data'!$E$3:$E$55) - MIN('Raw Data'!$E$3:$E$55))))</f>
        <v>0.90533316452075852</v>
      </c>
      <c r="K9">
        <f>SUM(B9:J9)</f>
        <v>3.3688962829690992</v>
      </c>
      <c r="L9">
        <f>100*((K9 - MIN($K$2:$K$54))/(MAX($K$2:$K$54) - MIN($K$2:$K$54)))</f>
        <v>57.646694370032847</v>
      </c>
      <c r="N9" t="s">
        <v>210</v>
      </c>
      <c r="O9">
        <v>0</v>
      </c>
    </row>
    <row r="10" spans="1:15">
      <c r="A10" t="str">
        <f>'Raw Data'!A32</f>
        <v>ND</v>
      </c>
      <c r="B10">
        <f>$O$2*(('Raw Data'!C32 - MIN('Raw Data'!$C$3:$C$55)) / (MAX('Raw Data'!$C$3:$C$55) - MIN('Raw Data'!$C$3:$C$55)))</f>
        <v>4.5682626639407687E-3</v>
      </c>
      <c r="C10">
        <f>$O$3*IF('Raw Data'!I32="Yes",1,0)</f>
        <v>0</v>
      </c>
      <c r="D10">
        <f>$O$4*IF('Raw Data'!H32="State",1,0)</f>
        <v>0</v>
      </c>
      <c r="E10">
        <f>$O$5*IF('Raw Data'!H32="County",1,0)</f>
        <v>0</v>
      </c>
      <c r="F10">
        <f>$O$6*(1-((IF(ISNUMBER('Raw Data'!L32), 'Raw Data'!L32, 'Raw Data'!$L$56) - MIN('Raw Data'!$L$3:$L$55))/(MAX('Raw Data'!$L$3:$L$55) - MIN('Raw Data'!$L$3:$L$55))))</f>
        <v>2.3504167405568364</v>
      </c>
      <c r="G10">
        <f>$O$7*(('Raw Data'!P32 - MIN('Raw Data'!$P$3:$P$55)) / (MAX('Raw Data'!$P$3:$P$55) - MIN('Raw Data'!$P$3:$P$55)))</f>
        <v>0</v>
      </c>
      <c r="H10">
        <f>$O$8*((IF(ISNUMBER('Raw Data'!M32), 'Raw Data'!M32, 'Raw Data'!$M$56) - MIN('Raw Data'!$M$3:$M$55))/(MAX('Raw Data'!$M$3:$M$55) - MIN('Raw Data'!$M$3:$M$55)))</f>
        <v>0.60571428571428576</v>
      </c>
      <c r="I10">
        <f>$O$9*(1-((IF(ISNUMBER('Raw Data'!T32), 'Raw Data'!T32, 'Raw Data'!$T$56) - MIN('Raw Data'!T$3:T$55))/(MAX('Raw Data'!T$3:T$55) - MIN('Raw Data'!T$3:T$55))))</f>
        <v>0</v>
      </c>
      <c r="J10">
        <f>$O$10*(1-(('Raw Data'!E32 - MIN('Raw Data'!$E$3:$E$55)) / (MAX('Raw Data'!$E$3:$E$55) - MIN('Raw Data'!$E$3:$E$55))))</f>
        <v>0.33371027275872156</v>
      </c>
      <c r="K10">
        <f>SUM(B10:J10)</f>
        <v>3.2944095616937847</v>
      </c>
      <c r="L10">
        <f>100*((K10 - MIN($K$2:$K$54))/(MAX($K$2:$K$54) - MIN($K$2:$K$54)))</f>
        <v>56.1016683538043</v>
      </c>
      <c r="N10" t="s">
        <v>211</v>
      </c>
      <c r="O10">
        <v>2</v>
      </c>
    </row>
    <row r="11" spans="1:15">
      <c r="A11" t="str">
        <f>'Raw Data'!A21</f>
        <v>KY</v>
      </c>
      <c r="B11">
        <f>$O$2*(('Raw Data'!C21 - MIN('Raw Data'!$C$3:$C$55)) / (MAX('Raw Data'!$C$3:$C$55) - MIN('Raw Data'!$C$3:$C$55)))</f>
        <v>0.10204692070793125</v>
      </c>
      <c r="C11">
        <f>$O$3*IF('Raw Data'!I21="Yes",1,0)</f>
        <v>0</v>
      </c>
      <c r="D11">
        <f>$O$4*IF('Raw Data'!H21="State",1,0)</f>
        <v>0</v>
      </c>
      <c r="E11">
        <f>$O$5*IF('Raw Data'!H21="County",1,0)</f>
        <v>0</v>
      </c>
      <c r="F11">
        <f>$O$6*(1-((IF(ISNUMBER('Raw Data'!L21), 'Raw Data'!L21, 'Raw Data'!$L$56) - MIN('Raw Data'!$L$3:$L$55))/(MAX('Raw Data'!$L$3:$L$55) - MIN('Raw Data'!$L$3:$L$55))))</f>
        <v>0.83844653307324024</v>
      </c>
      <c r="G11">
        <f>$O$7*(('Raw Data'!P21 - MIN('Raw Data'!$P$3:$P$55)) / (MAX('Raw Data'!$P$3:$P$55) - MIN('Raw Data'!$P$3:$P$55)))</f>
        <v>0</v>
      </c>
      <c r="H11">
        <f>$O$8*((IF(ISNUMBER('Raw Data'!M21), 'Raw Data'!M21, 'Raw Data'!$M$56) - MIN('Raw Data'!$M$3:$M$55))/(MAX('Raw Data'!$M$3:$M$55) - MIN('Raw Data'!$M$3:$M$55)))</f>
        <v>1.9762406015037592</v>
      </c>
      <c r="I11">
        <f>$O$9*(1-((IF(ISNUMBER('Raw Data'!T21), 'Raw Data'!T21, 'Raw Data'!$T$56) - MIN('Raw Data'!T$3:T$55))/(MAX('Raw Data'!T$3:T$55) - MIN('Raw Data'!T$3:T$55))))</f>
        <v>0</v>
      </c>
      <c r="J11">
        <f>$O$10*(1-(('Raw Data'!E21 - MIN('Raw Data'!$E$3:$E$55)) / (MAX('Raw Data'!$E$3:$E$55) - MIN('Raw Data'!$E$3:$E$55))))</f>
        <v>0.29847983848356985</v>
      </c>
      <c r="K11">
        <f>SUM(B11:J11)</f>
        <v>3.2152138937685004</v>
      </c>
      <c r="L11">
        <f>100*((K11 - MIN($K$2:$K$54))/(MAX($K$2:$K$54) - MIN($K$2:$K$54)))</f>
        <v>54.458967947313027</v>
      </c>
    </row>
    <row r="12" spans="1:15">
      <c r="A12" t="str">
        <f>'Raw Data'!A47</f>
        <v>TX</v>
      </c>
      <c r="B12">
        <f>$O$2*(('Raw Data'!C47 - MIN('Raw Data'!$C$3:$C$55)) / (MAX('Raw Data'!$C$3:$C$55) - MIN('Raw Data'!$C$3:$C$55)))</f>
        <v>0.60831849111491265</v>
      </c>
      <c r="C12">
        <f>$O$3*IF('Raw Data'!I47="Yes",1,0)</f>
        <v>0</v>
      </c>
      <c r="D12">
        <f>$O$4*IF('Raw Data'!H47="State",1,0)</f>
        <v>0</v>
      </c>
      <c r="E12">
        <f>$O$5*IF('Raw Data'!H47="County",1,0)</f>
        <v>0</v>
      </c>
      <c r="F12">
        <f>$O$6*(1-((IF(ISNUMBER('Raw Data'!L47), 'Raw Data'!L47, 'Raw Data'!$L$56) - MIN('Raw Data'!$L$3:$L$55))/(MAX('Raw Data'!$L$3:$L$55) - MIN('Raw Data'!$L$3:$L$55))))</f>
        <v>0.67990778506827443</v>
      </c>
      <c r="G12">
        <f>$O$7*(('Raw Data'!P47 - MIN('Raw Data'!$P$3:$P$55)) / (MAX('Raw Data'!$P$3:$P$55) - MIN('Raw Data'!$P$3:$P$55)))</f>
        <v>0</v>
      </c>
      <c r="H12">
        <f>$O$8*((IF(ISNUMBER('Raw Data'!M47), 'Raw Data'!M47, 'Raw Data'!$M$56) - MIN('Raw Data'!$M$3:$M$55))/(MAX('Raw Data'!$M$3:$M$55) - MIN('Raw Data'!$M$3:$M$55)))</f>
        <v>0.91278195488721803</v>
      </c>
      <c r="I12">
        <f>$O$9*(1-((IF(ISNUMBER('Raw Data'!T47), 'Raw Data'!T47, 'Raw Data'!$T$56) - MIN('Raw Data'!T$3:T$55))/(MAX('Raw Data'!T$3:T$55) - MIN('Raw Data'!T$3:T$55))))</f>
        <v>0</v>
      </c>
      <c r="J12">
        <f>$O$10*(1-(('Raw Data'!E47 - MIN('Raw Data'!$E$3:$E$55)) / (MAX('Raw Data'!$E$3:$E$55) - MIN('Raw Data'!$E$3:$E$55))))</f>
        <v>0.77848732498480833</v>
      </c>
      <c r="K12">
        <f>SUM(B12:J12)</f>
        <v>2.9794955560552134</v>
      </c>
      <c r="L12">
        <f>100*((K12 - MIN($K$2:$K$54))/(MAX($K$2:$K$54) - MIN($K$2:$K$54)))</f>
        <v>49.569627162355282</v>
      </c>
    </row>
    <row r="13" spans="1:15">
      <c r="A13" t="str">
        <f>'Raw Data'!A3</f>
        <v>AK</v>
      </c>
      <c r="B13">
        <f>$O$2*(('Raw Data'!C3 - MIN('Raw Data'!$C$3:$C$55)) / (MAX('Raw Data'!$C$3:$C$55) - MIN('Raw Data'!$C$3:$C$55)))</f>
        <v>5.4805530045985333E-3</v>
      </c>
      <c r="C13">
        <f>$O$3*IF('Raw Data'!I3="Yes",1,0)</f>
        <v>0</v>
      </c>
      <c r="D13">
        <f>$O$4*IF('Raw Data'!H3="State",1,0)</f>
        <v>0</v>
      </c>
      <c r="E13">
        <f>$O$5*IF('Raw Data'!H3="County",1,0)</f>
        <v>0</v>
      </c>
      <c r="F13">
        <f>$O$6*(1-((IF(ISNUMBER('Raw Data'!L3), 'Raw Data'!L3, 'Raw Data'!$L$56) - MIN('Raw Data'!$L$3:$L$55))/(MAX('Raw Data'!$L$3:$L$55) - MIN('Raw Data'!$L$3:$L$55))))</f>
        <v>0.70597623692143996</v>
      </c>
      <c r="G13">
        <f>$O$7*(('Raw Data'!P3 - MIN('Raw Data'!$P$3:$P$55)) / (MAX('Raw Data'!$P$3:$P$55) - MIN('Raw Data'!$P$3:$P$55)))</f>
        <v>0</v>
      </c>
      <c r="H13">
        <f>$O$8*((IF(ISNUMBER('Raw Data'!M3), 'Raw Data'!M3, 'Raw Data'!$M$56) - MIN('Raw Data'!$M$3:$M$55))/(MAX('Raw Data'!$M$3:$M$55) - MIN('Raw Data'!$M$3:$M$55)))</f>
        <v>1.266766917293233</v>
      </c>
      <c r="I13">
        <f>$O$9*(1-((IF(ISNUMBER('Raw Data'!T3), 'Raw Data'!T3, 'Raw Data'!$T$56) - MIN('Raw Data'!T$3:T$55))/(MAX('Raw Data'!T$3:T$55) - MIN('Raw Data'!T$3:T$55))))</f>
        <v>0</v>
      </c>
      <c r="J13">
        <f>$O$10*(1-(('Raw Data'!E3 - MIN('Raw Data'!$E$3:$E$55)) / (MAX('Raw Data'!$E$3:$E$55) - MIN('Raw Data'!$E$3:$E$55))))</f>
        <v>0.9827858839841328</v>
      </c>
      <c r="K13">
        <f>SUM(B13:J13)</f>
        <v>2.9610095912034042</v>
      </c>
      <c r="L13">
        <f>100*((K13 - MIN($K$2:$K$54))/(MAX($K$2:$K$54) - MIN($K$2:$K$54)))</f>
        <v>49.186185709407383</v>
      </c>
    </row>
    <row r="14" spans="1:15">
      <c r="A14" t="str">
        <f>'Raw Data'!A7</f>
        <v>CA</v>
      </c>
      <c r="B14">
        <f>$O$2*(('Raw Data'!C7 - MIN('Raw Data'!$C$3:$C$55)) / (MAX('Raw Data'!$C$3:$C$55) - MIN('Raw Data'!$C$3:$C$55)))</f>
        <v>1</v>
      </c>
      <c r="C14">
        <f>$O$3*IF('Raw Data'!I7="Yes",1,0)</f>
        <v>0</v>
      </c>
      <c r="D14">
        <f>$O$4*IF('Raw Data'!H7="State",1,0)</f>
        <v>0</v>
      </c>
      <c r="E14">
        <f>$O$5*IF('Raw Data'!H7="County",1,0)</f>
        <v>0</v>
      </c>
      <c r="F14">
        <f>$O$6*(1-((IF(ISNUMBER('Raw Data'!L7), 'Raw Data'!L7, 'Raw Data'!$L$56) - MIN('Raw Data'!$L$3:$L$55))/(MAX('Raw Data'!$L$3:$L$55) - MIN('Raw Data'!$L$3:$L$55))))</f>
        <v>0.72193651356623534</v>
      </c>
      <c r="G14">
        <f>$O$7*(('Raw Data'!P7 - MIN('Raw Data'!$P$3:$P$55)) / (MAX('Raw Data'!$P$3:$P$55) - MIN('Raw Data'!$P$3:$P$55)))</f>
        <v>0</v>
      </c>
      <c r="H14">
        <f>$O$8*((IF(ISNUMBER('Raw Data'!M7), 'Raw Data'!M7, 'Raw Data'!$M$56) - MIN('Raw Data'!$M$3:$M$55))/(MAX('Raw Data'!$M$3:$M$55) - MIN('Raw Data'!$M$3:$M$55)))</f>
        <v>0.77112781954887222</v>
      </c>
      <c r="I14">
        <f>$O$9*(1-((IF(ISNUMBER('Raw Data'!T7), 'Raw Data'!T7, 'Raw Data'!$T$56) - MIN('Raw Data'!T$3:T$55))/(MAX('Raw Data'!T$3:T$55) - MIN('Raw Data'!T$3:T$55))))</f>
        <v>0</v>
      </c>
      <c r="J14">
        <f>$O$10*(1-(('Raw Data'!E7 - MIN('Raw Data'!$E$3:$E$55)) / (MAX('Raw Data'!$E$3:$E$55) - MIN('Raw Data'!$E$3:$E$55))))</f>
        <v>0.18299104159725599</v>
      </c>
      <c r="K14">
        <f>SUM(B14:J14)</f>
        <v>2.6760553747123632</v>
      </c>
      <c r="L14">
        <f>100*((K14 - MIN($K$2:$K$54))/(MAX($K$2:$K$54) - MIN($K$2:$K$54)))</f>
        <v>43.275579491617172</v>
      </c>
    </row>
    <row r="15" spans="1:15">
      <c r="A15" t="str">
        <f>'Raw Data'!A11</f>
        <v>DE</v>
      </c>
      <c r="B15">
        <f>$O$2*(('Raw Data'!C11 - MIN('Raw Data'!$C$3:$C$55)) / (MAX('Raw Data'!$C$3:$C$55) - MIN('Raw Data'!$C$3:$C$55)))</f>
        <v>1.8296132244639111E-2</v>
      </c>
      <c r="C15">
        <f>$O$3*IF('Raw Data'!I11="Yes",1,0)</f>
        <v>0</v>
      </c>
      <c r="D15">
        <f>$O$4*IF('Raw Data'!H11="State",1,0)</f>
        <v>0</v>
      </c>
      <c r="E15">
        <f>$O$5*IF('Raw Data'!H11="County",1,0)</f>
        <v>0</v>
      </c>
      <c r="F15">
        <f>$O$6*(1-((IF(ISNUMBER('Raw Data'!L11), 'Raw Data'!L11, 'Raw Data'!$L$56) - MIN('Raw Data'!$L$3:$L$55))/(MAX('Raw Data'!$L$3:$L$55) - MIN('Raw Data'!$L$3:$L$55))))</f>
        <v>0.26015250931016165</v>
      </c>
      <c r="G15">
        <f>$O$7*(('Raw Data'!P11 - MIN('Raw Data'!$P$3:$P$55)) / (MAX('Raw Data'!$P$3:$P$55) - MIN('Raw Data'!$P$3:$P$55)))</f>
        <v>0</v>
      </c>
      <c r="H15">
        <f>$O$8*((IF(ISNUMBER('Raw Data'!M11), 'Raw Data'!M11, 'Raw Data'!$M$56) - MIN('Raw Data'!$M$3:$M$55))/(MAX('Raw Data'!$M$3:$M$55) - MIN('Raw Data'!$M$3:$M$55)))</f>
        <v>1.873984962406015</v>
      </c>
      <c r="I15">
        <f>$O$9*(1-((IF(ISNUMBER('Raw Data'!T11), 'Raw Data'!T11, 'Raw Data'!$T$56) - MIN('Raw Data'!T$3:T$55))/(MAX('Raw Data'!T$3:T$55) - MIN('Raw Data'!T$3:T$55))))</f>
        <v>0</v>
      </c>
      <c r="J15">
        <f>$O$10*(1-(('Raw Data'!E11 - MIN('Raw Data'!$E$3:$E$55)) / (MAX('Raw Data'!$E$3:$E$55) - MIN('Raw Data'!$E$3:$E$55))))</f>
        <v>0.47510442641231143</v>
      </c>
      <c r="K15">
        <f>SUM(B15:J15)</f>
        <v>2.6275380303731275</v>
      </c>
      <c r="L15">
        <f>100*((K15 - MIN($K$2:$K$54))/(MAX($K$2:$K$54) - MIN($K$2:$K$54)))</f>
        <v>42.269218116609508</v>
      </c>
    </row>
    <row r="16" spans="1:15">
      <c r="A16" t="str">
        <f>'Raw Data'!A15</f>
        <v>HI</v>
      </c>
      <c r="B16">
        <f>$O$2*(('Raw Data'!C15 - MIN('Raw Data'!$C$3:$C$55)) / (MAX('Raw Data'!$C$3:$C$55) - MIN('Raw Data'!$C$3:$C$55)))</f>
        <v>2.8421571220512799E-2</v>
      </c>
      <c r="C16">
        <f>$O$3*IF('Raw Data'!I15="Yes",1,0)</f>
        <v>0</v>
      </c>
      <c r="D16">
        <f>$O$4*IF('Raw Data'!H15="State",1,0)</f>
        <v>0</v>
      </c>
      <c r="E16">
        <f>$O$5*IF('Raw Data'!H15="County",1,0)</f>
        <v>0</v>
      </c>
      <c r="F16">
        <f>$O$6*(1-((IF(ISNUMBER('Raw Data'!L15), 'Raw Data'!L15, 'Raw Data'!$L$56) - MIN('Raw Data'!$L$3:$L$55))/(MAX('Raw Data'!$L$3:$L$55) - MIN('Raw Data'!$L$3:$L$55))))</f>
        <v>1.2188331264408587</v>
      </c>
      <c r="G16">
        <f>$O$7*(('Raw Data'!P15 - MIN('Raw Data'!$P$3:$P$55)) / (MAX('Raw Data'!$P$3:$P$55) - MIN('Raw Data'!$P$3:$P$55)))</f>
        <v>0</v>
      </c>
      <c r="H16">
        <f>$O$8*((IF(ISNUMBER('Raw Data'!M15), 'Raw Data'!M15, 'Raw Data'!$M$56) - MIN('Raw Data'!$M$3:$M$55))/(MAX('Raw Data'!$M$3:$M$55) - MIN('Raw Data'!$M$3:$M$55)))</f>
        <v>1.3290225563909774</v>
      </c>
      <c r="I16">
        <f>$O$9*(1-((IF(ISNUMBER('Raw Data'!T15), 'Raw Data'!T15, 'Raw Data'!$T$56) - MIN('Raw Data'!T$3:T$55))/(MAX('Raw Data'!T$3:T$55) - MIN('Raw Data'!T$3:T$55))))</f>
        <v>0</v>
      </c>
      <c r="J16">
        <f>$O$10*(1-(('Raw Data'!E15 - MIN('Raw Data'!$E$3:$E$55)) / (MAX('Raw Data'!$E$3:$E$55) - MIN('Raw Data'!$E$3:$E$55))))</f>
        <v>3.9619423127194242E-2</v>
      </c>
      <c r="K16">
        <f>SUM(B16:J16)</f>
        <v>2.6158966771795433</v>
      </c>
      <c r="L16">
        <f>100*((K16 - MIN($K$2:$K$54))/(MAX($K$2:$K$54) - MIN($K$2:$K$54)))</f>
        <v>42.027749661021112</v>
      </c>
    </row>
    <row r="17" spans="1:12">
      <c r="A17" t="str">
        <f>'Raw Data'!A5</f>
        <v>AR</v>
      </c>
      <c r="B17">
        <f>$O$2*(('Raw Data'!C5 - MIN('Raw Data'!$C$3:$C$55)) / (MAX('Raw Data'!$C$3:$C$55) - MIN('Raw Data'!$C$3:$C$55)))</f>
        <v>4.2488475286996855E-2</v>
      </c>
      <c r="C17">
        <f>$O$3*IF('Raw Data'!I5="Yes",1,0)</f>
        <v>0</v>
      </c>
      <c r="D17">
        <f>$O$4*IF('Raw Data'!H5="State",1,0)</f>
        <v>0</v>
      </c>
      <c r="E17">
        <f>$O$5*IF('Raw Data'!H5="County",1,0)</f>
        <v>0</v>
      </c>
      <c r="F17">
        <f>$O$6*(1-((IF(ISNUMBER('Raw Data'!L5), 'Raw Data'!L5, 'Raw Data'!$L$56) - MIN('Raw Data'!$L$3:$L$55))/(MAX('Raw Data'!$L$3:$L$55) - MIN('Raw Data'!$L$3:$L$55))))</f>
        <v>1.1517999645327186</v>
      </c>
      <c r="G17">
        <f>$O$7*(('Raw Data'!P5 - MIN('Raw Data'!$P$3:$P$55)) / (MAX('Raw Data'!$P$3:$P$55) - MIN('Raw Data'!$P$3:$P$55)))</f>
        <v>0</v>
      </c>
      <c r="H17">
        <f>$O$8*((IF(ISNUMBER('Raw Data'!M5), 'Raw Data'!M5, 'Raw Data'!$M$56) - MIN('Raw Data'!$M$3:$M$55))/(MAX('Raw Data'!$M$3:$M$55) - MIN('Raw Data'!$M$3:$M$55)))</f>
        <v>1.2297744360902254</v>
      </c>
      <c r="I17">
        <f>$O$9*(1-((IF(ISNUMBER('Raw Data'!T5), 'Raw Data'!T5, 'Raw Data'!$T$56) - MIN('Raw Data'!T$3:T$55))/(MAX('Raw Data'!T$3:T$55) - MIN('Raw Data'!T$3:T$55))))</f>
        <v>0</v>
      </c>
      <c r="J17">
        <f>$O$10*(1-(('Raw Data'!E5 - MIN('Raw Data'!$E$3:$E$55)) / (MAX('Raw Data'!$E$3:$E$55) - MIN('Raw Data'!$E$3:$E$55))))</f>
        <v>0.15777448660072269</v>
      </c>
      <c r="K17">
        <f>SUM(B17:J17)</f>
        <v>2.5818373625106639</v>
      </c>
      <c r="L17">
        <f>100*((K17 - MIN($K$2:$K$54))/(MAX($K$2:$K$54) - MIN($K$2:$K$54)))</f>
        <v>41.321281093773642</v>
      </c>
    </row>
    <row r="18" spans="1:12">
      <c r="A18" t="str">
        <f>'Raw Data'!A26</f>
        <v>MI</v>
      </c>
      <c r="B18">
        <f>$O$2*(('Raw Data'!C26 - MIN('Raw Data'!$C$3:$C$55)) / (MAX('Raw Data'!$C$3:$C$55) - MIN('Raw Data'!$C$3:$C$55)))</f>
        <v>0.27564392903130358</v>
      </c>
      <c r="C18">
        <f>$O$3*IF('Raw Data'!I26="Yes",1,0)</f>
        <v>0</v>
      </c>
      <c r="D18">
        <f>$O$4*IF('Raw Data'!H26="State",1,0)</f>
        <v>0</v>
      </c>
      <c r="E18">
        <f>$O$5*IF('Raw Data'!H26="County",1,0)</f>
        <v>0</v>
      </c>
      <c r="F18">
        <f>$O$6*(1-((IF(ISNUMBER('Raw Data'!L26), 'Raw Data'!L26, 'Raw Data'!$L$56) - MIN('Raw Data'!$L$3:$L$55))/(MAX('Raw Data'!$L$3:$L$55) - MIN('Raw Data'!$L$3:$L$55))))</f>
        <v>0.9427203404859017</v>
      </c>
      <c r="G18">
        <f>$O$7*(('Raw Data'!P26 - MIN('Raw Data'!$P$3:$P$55)) / (MAX('Raw Data'!$P$3:$P$55) - MIN('Raw Data'!$P$3:$P$55)))</f>
        <v>0</v>
      </c>
      <c r="H18">
        <f>$O$8*((IF(ISNUMBER('Raw Data'!M26), 'Raw Data'!M26, 'Raw Data'!$M$56) - MIN('Raw Data'!$M$3:$M$55))/(MAX('Raw Data'!$M$3:$M$55) - MIN('Raw Data'!$M$3:$M$55)))</f>
        <v>0.99609022556390969</v>
      </c>
      <c r="I18">
        <f>$O$9*(1-((IF(ISNUMBER('Raw Data'!T26), 'Raw Data'!T26, 'Raw Data'!$T$56) - MIN('Raw Data'!T$3:T$55))/(MAX('Raw Data'!T$3:T$55) - MIN('Raw Data'!T$3:T$55))))</f>
        <v>0</v>
      </c>
      <c r="J18">
        <f>$O$10*(1-(('Raw Data'!E26 - MIN('Raw Data'!$E$3:$E$55)) / (MAX('Raw Data'!$E$3:$E$55) - MIN('Raw Data'!$E$3:$E$55))))</f>
        <v>0.1776173919200541</v>
      </c>
      <c r="K18">
        <f>SUM(B18:J18)</f>
        <v>2.392071887001169</v>
      </c>
      <c r="L18">
        <f>100*((K18 - MIN($K$2:$K$54))/(MAX($K$2:$K$54) - MIN($K$2:$K$54)))</f>
        <v>37.385108422668075</v>
      </c>
    </row>
    <row r="19" spans="1:12">
      <c r="A19" t="str">
        <f>'Raw Data'!A30</f>
        <v>MT</v>
      </c>
      <c r="B19">
        <f>$O$2*(('Raw Data'!C30 - MIN('Raw Data'!$C$3:$C$55)) / (MAX('Raw Data'!$C$3:$C$55) - MIN('Raw Data'!$C$3:$C$55)))</f>
        <v>1.1233544435274873E-2</v>
      </c>
      <c r="C19">
        <f>$O$3*IF('Raw Data'!I30="Yes",1,0)</f>
        <v>0</v>
      </c>
      <c r="D19">
        <f>$O$4*IF('Raw Data'!H30="State",1,0)</f>
        <v>0</v>
      </c>
      <c r="E19">
        <f>$O$5*IF('Raw Data'!H30="County",1,0)</f>
        <v>0</v>
      </c>
      <c r="F19">
        <f>$O$6*(1-((IF(ISNUMBER('Raw Data'!L30), 'Raw Data'!L30, 'Raw Data'!$L$56) - MIN('Raw Data'!$L$3:$L$55))/(MAX('Raw Data'!$L$3:$L$55) - MIN('Raw Data'!$L$3:$L$55))))</f>
        <v>0.86185493881893949</v>
      </c>
      <c r="G19">
        <f>$O$7*(('Raw Data'!P30 - MIN('Raw Data'!$P$3:$P$55)) / (MAX('Raw Data'!$P$3:$P$55) - MIN('Raw Data'!$P$3:$P$55)))</f>
        <v>0</v>
      </c>
      <c r="H19">
        <f>$O$8*((IF(ISNUMBER('Raw Data'!M30), 'Raw Data'!M30, 'Raw Data'!$M$56) - MIN('Raw Data'!$M$3:$M$55))/(MAX('Raw Data'!$M$3:$M$55) - MIN('Raw Data'!$M$3:$M$55)))</f>
        <v>0.91969924812030079</v>
      </c>
      <c r="I19">
        <f>$O$9*(1-((IF(ISNUMBER('Raw Data'!T30), 'Raw Data'!T30, 'Raw Data'!$T$56) - MIN('Raw Data'!T$3:T$55))/(MAX('Raw Data'!T$3:T$55) - MIN('Raw Data'!T$3:T$55))))</f>
        <v>0</v>
      </c>
      <c r="J19">
        <f>$O$10*(1-(('Raw Data'!E30 - MIN('Raw Data'!$E$3:$E$55)) / (MAX('Raw Data'!$E$3:$E$55) - MIN('Raw Data'!$E$3:$E$55))))</f>
        <v>0.59190234467495495</v>
      </c>
      <c r="K19">
        <f>SUM(B19:J19)</f>
        <v>2.3846900760494703</v>
      </c>
      <c r="L19">
        <f>100*((K19 - MIN($K$2:$K$54))/(MAX($K$2:$K$54) - MIN($K$2:$K$54)))</f>
        <v>37.231992675700226</v>
      </c>
    </row>
    <row r="20" spans="1:12">
      <c r="A20" t="str">
        <f>'Raw Data'!A29</f>
        <v>MS</v>
      </c>
      <c r="B20">
        <f>$O$2*(('Raw Data'!C29 - MIN('Raw Data'!$C$3:$C$55)) / (MAX('Raw Data'!$C$3:$C$55) - MIN('Raw Data'!$C$3:$C$55)))</f>
        <v>7.1842958923474698E-2</v>
      </c>
      <c r="C20">
        <f>$O$3*IF('Raw Data'!I29="Yes",1,0)</f>
        <v>0</v>
      </c>
      <c r="D20">
        <f>$O$4*IF('Raw Data'!H29="State",1,0)</f>
        <v>0</v>
      </c>
      <c r="E20">
        <f>$O$5*IF('Raw Data'!H29="County",1,0)</f>
        <v>0</v>
      </c>
      <c r="F20">
        <f>$O$6*(1-((IF(ISNUMBER('Raw Data'!L29), 'Raw Data'!L29, 'Raw Data'!$L$56) - MIN('Raw Data'!$L$3:$L$55))/(MAX('Raw Data'!$L$3:$L$55) - MIN('Raw Data'!$L$3:$L$55))))</f>
        <v>0.44209966306082671</v>
      </c>
      <c r="G20">
        <f>$O$7*(('Raw Data'!P29 - MIN('Raw Data'!$P$3:$P$55)) / (MAX('Raw Data'!$P$3:$P$55) - MIN('Raw Data'!$P$3:$P$55)))</f>
        <v>0</v>
      </c>
      <c r="H20">
        <f>$O$8*((IF(ISNUMBER('Raw Data'!M29), 'Raw Data'!M29, 'Raw Data'!$M$56) - MIN('Raw Data'!$M$3:$M$55))/(MAX('Raw Data'!$M$3:$M$55) - MIN('Raw Data'!$M$3:$M$55)))</f>
        <v>1.0033082706766916</v>
      </c>
      <c r="I20">
        <f>$O$9*(1-((IF(ISNUMBER('Raw Data'!T29), 'Raw Data'!T29, 'Raw Data'!$T$56) - MIN('Raw Data'!T$3:T$55))/(MAX('Raw Data'!T$3:T$55) - MIN('Raw Data'!T$3:T$55))))</f>
        <v>0</v>
      </c>
      <c r="J20">
        <f>$O$10*(1-(('Raw Data'!E29 - MIN('Raw Data'!$E$3:$E$55)) / (MAX('Raw Data'!$E$3:$E$55) - MIN('Raw Data'!$E$3:$E$55))))</f>
        <v>0.75595636566297397</v>
      </c>
      <c r="K20">
        <f>SUM(B20:J20)</f>
        <v>2.2732072583239669</v>
      </c>
      <c r="L20">
        <f>100*((K20 - MIN($K$2:$K$54))/(MAX($K$2:$K$54) - MIN($K$2:$K$54)))</f>
        <v>34.919582479636851</v>
      </c>
    </row>
    <row r="21" spans="1:12">
      <c r="A21" t="str">
        <f>'Raw Data'!A4</f>
        <v>AL</v>
      </c>
      <c r="B21">
        <f>$O$2*(('Raw Data'!C4 - MIN('Raw Data'!$C$3:$C$55)) / (MAX('Raw Data'!$C$3:$C$55) - MIN('Raw Data'!$C$3:$C$55)))</f>
        <v>0.13902249092723284</v>
      </c>
      <c r="C21">
        <f>$O$3*IF('Raw Data'!I4="Yes",1,0)</f>
        <v>0</v>
      </c>
      <c r="D21">
        <f>$O$4*IF('Raw Data'!H4="State",1,0)</f>
        <v>0</v>
      </c>
      <c r="E21">
        <f>$O$5*IF('Raw Data'!H4="County",1,0)</f>
        <v>0</v>
      </c>
      <c r="F21">
        <f>$O$6*(1-((IF(ISNUMBER('Raw Data'!L4), 'Raw Data'!L4, 'Raw Data'!$L$56) - MIN('Raw Data'!$L$3:$L$55))/(MAX('Raw Data'!$L$3:$L$55) - MIN('Raw Data'!$L$3:$L$55))))</f>
        <v>0.70597623692143996</v>
      </c>
      <c r="G21">
        <f>$O$7*(('Raw Data'!P4 - MIN('Raw Data'!$P$3:$P$55)) / (MAX('Raw Data'!$P$3:$P$55) - MIN('Raw Data'!$P$3:$P$55)))</f>
        <v>0</v>
      </c>
      <c r="H21">
        <f>$O$8*((IF(ISNUMBER('Raw Data'!M4), 'Raw Data'!M4, 'Raw Data'!$M$56) - MIN('Raw Data'!$M$3:$M$55))/(MAX('Raw Data'!$M$3:$M$55) - MIN('Raw Data'!$M$3:$M$55)))</f>
        <v>0.90804671252599545</v>
      </c>
      <c r="I21">
        <f>$O$9*(1-((IF(ISNUMBER('Raw Data'!T4), 'Raw Data'!T4, 'Raw Data'!$T$56) - MIN('Raw Data'!T$3:T$55))/(MAX('Raw Data'!T$3:T$55) - MIN('Raw Data'!T$3:T$55))))</f>
        <v>0</v>
      </c>
      <c r="J21">
        <f>$O$10*(1-(('Raw Data'!E4 - MIN('Raw Data'!$E$3:$E$55)) / (MAX('Raw Data'!$E$3:$E$55) - MIN('Raw Data'!$E$3:$E$55))))</f>
        <v>0.49093935221521745</v>
      </c>
      <c r="K21">
        <f>SUM(B21:J21)</f>
        <v>2.2439847925898855</v>
      </c>
      <c r="L21">
        <f>100*((K21 - MIN($K$2:$K$54))/(MAX($K$2:$K$54) - MIN($K$2:$K$54)))</f>
        <v>34.313441290382144</v>
      </c>
    </row>
    <row r="22" spans="1:12">
      <c r="A22" t="str">
        <f>'Raw Data'!A51</f>
        <v>VT</v>
      </c>
      <c r="B22">
        <f>$O$2*(('Raw Data'!C51 - MIN('Raw Data'!$C$3:$C$55)) / (MAX('Raw Data'!$C$3:$C$55) - MIN('Raw Data'!$C$3:$C$55)))</f>
        <v>8.7161377009753668E-3</v>
      </c>
      <c r="C22">
        <f>$O$3*IF('Raw Data'!I51="Yes",1,0)</f>
        <v>0</v>
      </c>
      <c r="D22">
        <f>$O$4*IF('Raw Data'!H51="State",1,0)</f>
        <v>0</v>
      </c>
      <c r="E22">
        <f>$O$5*IF('Raw Data'!H51="County",1,0)</f>
        <v>0</v>
      </c>
      <c r="F22">
        <f>$O$6*(1-((IF(ISNUMBER('Raw Data'!L51), 'Raw Data'!L51, 'Raw Data'!$L$56) - MIN('Raw Data'!$L$3:$L$55))/(MAX('Raw Data'!$L$3:$L$55) - MIN('Raw Data'!$L$3:$L$55))))</f>
        <v>0.70597623692143996</v>
      </c>
      <c r="G22">
        <f>$O$7*(('Raw Data'!P51 - MIN('Raw Data'!$P$3:$P$55)) / (MAX('Raw Data'!$P$3:$P$55) - MIN('Raw Data'!$P$3:$P$55)))</f>
        <v>0</v>
      </c>
      <c r="H22">
        <f>$O$8*((IF(ISNUMBER('Raw Data'!M51), 'Raw Data'!M51, 'Raw Data'!$M$56) - MIN('Raw Data'!$M$3:$M$55))/(MAX('Raw Data'!$M$3:$M$55) - MIN('Raw Data'!$M$3:$M$55)))</f>
        <v>0.90804671252599545</v>
      </c>
      <c r="I22">
        <f>$O$9*(1-((IF(ISNUMBER('Raw Data'!T51), 'Raw Data'!T51, 'Raw Data'!$T$56) - MIN('Raw Data'!T$3:T$55))/(MAX('Raw Data'!T$3:T$55) - MIN('Raw Data'!T$3:T$55))))</f>
        <v>0</v>
      </c>
      <c r="J22">
        <f>$O$10*(1-(('Raw Data'!E51 - MIN('Raw Data'!$E$3:$E$55)) / (MAX('Raw Data'!$E$3:$E$55) - MIN('Raw Data'!$E$3:$E$55))))</f>
        <v>0.59835754325130952</v>
      </c>
      <c r="K22">
        <f>SUM(B22:J22)</f>
        <v>2.2210966303997202</v>
      </c>
      <c r="L22">
        <f>100*((K22 - MIN($K$2:$K$54))/(MAX($K$2:$K$54) - MIN($K$2:$K$54)))</f>
        <v>33.83868813381941</v>
      </c>
    </row>
    <row r="23" spans="1:12">
      <c r="A23" t="str">
        <f>'Raw Data'!A55</f>
        <v>WY</v>
      </c>
      <c r="B23">
        <f>$O$2*(('Raw Data'!C55 - MIN('Raw Data'!$C$3:$C$55)) / (MAX('Raw Data'!$C$3:$C$55) - MIN('Raw Data'!$C$3:$C$55)))</f>
        <v>1.3232182999917889E-3</v>
      </c>
      <c r="C23">
        <f>$O$3*IF('Raw Data'!I55="Yes",1,0)</f>
        <v>0</v>
      </c>
      <c r="D23">
        <f>$O$4*IF('Raw Data'!H55="State",1,0)</f>
        <v>0</v>
      </c>
      <c r="E23">
        <f>$O$5*IF('Raw Data'!H55="County",1,0)</f>
        <v>0</v>
      </c>
      <c r="F23">
        <f>$O$6*(1-((IF(ISNUMBER('Raw Data'!L55), 'Raw Data'!L55, 'Raw Data'!$L$56) - MIN('Raw Data'!$L$3:$L$55))/(MAX('Raw Data'!$L$3:$L$55) - MIN('Raw Data'!$L$3:$L$55))))</f>
        <v>0.70597623692143996</v>
      </c>
      <c r="G23">
        <f>$O$7*(('Raw Data'!P55 - MIN('Raw Data'!$P$3:$P$55)) / (MAX('Raw Data'!$P$3:$P$55) - MIN('Raw Data'!$P$3:$P$55)))</f>
        <v>0</v>
      </c>
      <c r="H23">
        <f>$O$8*((IF(ISNUMBER('Raw Data'!M55), 'Raw Data'!M55, 'Raw Data'!$M$56) - MIN('Raw Data'!$M$3:$M$55))/(MAX('Raw Data'!$M$3:$M$55) - MIN('Raw Data'!$M$3:$M$55)))</f>
        <v>0.90804671252599545</v>
      </c>
      <c r="I23">
        <f>$O$9*(1-((IF(ISNUMBER('Raw Data'!T55), 'Raw Data'!T55, 'Raw Data'!$T$56) - MIN('Raw Data'!T$3:T$55))/(MAX('Raw Data'!T$3:T$55) - MIN('Raw Data'!T$3:T$55))))</f>
        <v>0</v>
      </c>
      <c r="J23">
        <f>$O$10*(1-(('Raw Data'!E55 - MIN('Raw Data'!$E$3:$E$55)) / (MAX('Raw Data'!$E$3:$E$55) - MIN('Raw Data'!$E$3:$E$55))))</f>
        <v>0.52379178085436995</v>
      </c>
      <c r="K23">
        <f>SUM(B23:J23)</f>
        <v>2.139137948601797</v>
      </c>
      <c r="L23">
        <f>100*((K23 - MIN($K$2:$K$54))/(MAX($K$2:$K$54) - MIN($K$2:$K$54)))</f>
        <v>32.138676461060314</v>
      </c>
    </row>
    <row r="24" spans="1:12">
      <c r="A24" t="str">
        <f>'Raw Data'!A24</f>
        <v>MD</v>
      </c>
      <c r="B24">
        <f>$O$2*(('Raw Data'!C24 - MIN('Raw Data'!$C$3:$C$55)) / (MAX('Raw Data'!$C$3:$C$55) - MIN('Raw Data'!$C$3:$C$55)))</f>
        <v>0.12491150480986257</v>
      </c>
      <c r="C24">
        <f>$O$3*IF('Raw Data'!I24="Yes",1,0)</f>
        <v>0</v>
      </c>
      <c r="D24">
        <f>$O$4*IF('Raw Data'!H24="State",1,0)</f>
        <v>0</v>
      </c>
      <c r="E24">
        <f>$O$5*IF('Raw Data'!H24="County",1,0)</f>
        <v>0</v>
      </c>
      <c r="F24">
        <f>$O$6*(1-((IF(ISNUMBER('Raw Data'!L24), 'Raw Data'!L24, 'Raw Data'!$L$56) - MIN('Raw Data'!$L$3:$L$55))/(MAX('Raw Data'!$L$3:$L$55) - MIN('Raw Data'!$L$3:$L$55))))</f>
        <v>0.60010640184429853</v>
      </c>
      <c r="G24">
        <f>$O$7*(('Raw Data'!P24 - MIN('Raw Data'!$P$3:$P$55)) / (MAX('Raw Data'!$P$3:$P$55) - MIN('Raw Data'!$P$3:$P$55)))</f>
        <v>0</v>
      </c>
      <c r="H24">
        <f>$O$8*((IF(ISNUMBER('Raw Data'!M24), 'Raw Data'!M24, 'Raw Data'!$M$56) - MIN('Raw Data'!$M$3:$M$55))/(MAX('Raw Data'!$M$3:$M$55) - MIN('Raw Data'!$M$3:$M$55)))</f>
        <v>1.248721804511278</v>
      </c>
      <c r="I24">
        <f>$O$9*(1-((IF(ISNUMBER('Raw Data'!T24), 'Raw Data'!T24, 'Raw Data'!$T$56) - MIN('Raw Data'!T$3:T$55))/(MAX('Raw Data'!T$3:T$55) - MIN('Raw Data'!T$3:T$55))))</f>
        <v>0</v>
      </c>
      <c r="J24">
        <f>$O$10*(1-(('Raw Data'!E24 - MIN('Raw Data'!$E$3:$E$55)) / (MAX('Raw Data'!$E$3:$E$55) - MIN('Raw Data'!$E$3:$E$55))))</f>
        <v>0.15738305810309683</v>
      </c>
      <c r="K24">
        <f>SUM(B24:J24)</f>
        <v>2.1311227692685359</v>
      </c>
      <c r="L24">
        <f>100*((K24 - MIN($K$2:$K$54))/(MAX($K$2:$K$54) - MIN($K$2:$K$54)))</f>
        <v>31.972423196282367</v>
      </c>
    </row>
    <row r="25" spans="1:12">
      <c r="A25" t="str">
        <f>'Raw Data'!A35</f>
        <v>NJ</v>
      </c>
      <c r="B25">
        <f>$O$2*(('Raw Data'!C35 - MIN('Raw Data'!$C$3:$C$55)) / (MAX('Raw Data'!$C$3:$C$55) - MIN('Raw Data'!$C$3:$C$55)))</f>
        <v>0.14692263770343489</v>
      </c>
      <c r="C25">
        <f>$O$3*IF('Raw Data'!I35="Yes",1,0)</f>
        <v>0</v>
      </c>
      <c r="D25">
        <f>$O$4*IF('Raw Data'!H35="State",1,0)</f>
        <v>0</v>
      </c>
      <c r="E25">
        <f>$O$5*IF('Raw Data'!H35="County",1,0)</f>
        <v>0</v>
      </c>
      <c r="F25">
        <f>$O$6*(1-((IF(ISNUMBER('Raw Data'!L35), 'Raw Data'!L35, 'Raw Data'!$L$56) - MIN('Raw Data'!$L$3:$L$55))/(MAX('Raw Data'!$L$3:$L$55) - MIN('Raw Data'!$L$3:$L$55))))</f>
        <v>0.66075545309452077</v>
      </c>
      <c r="G25">
        <f>$O$7*(('Raw Data'!P35 - MIN('Raw Data'!$P$3:$P$55)) / (MAX('Raw Data'!$P$3:$P$55) - MIN('Raw Data'!$P$3:$P$55)))</f>
        <v>0</v>
      </c>
      <c r="H25">
        <f>$O$8*((IF(ISNUMBER('Raw Data'!M35), 'Raw Data'!M35, 'Raw Data'!$M$56) - MIN('Raw Data'!$M$3:$M$55))/(MAX('Raw Data'!$M$3:$M$55) - MIN('Raw Data'!$M$3:$M$55)))</f>
        <v>1.0150375939849625</v>
      </c>
      <c r="I25">
        <f>$O$9*(1-((IF(ISNUMBER('Raw Data'!T35), 'Raw Data'!T35, 'Raw Data'!$T$56) - MIN('Raw Data'!T$3:T$55))/(MAX('Raw Data'!T$3:T$55) - MIN('Raw Data'!T$3:T$55))))</f>
        <v>0</v>
      </c>
      <c r="J25">
        <f>$O$10*(1-(('Raw Data'!E35 - MIN('Raw Data'!$E$3:$E$55)) / (MAX('Raw Data'!$E$3:$E$55) - MIN('Raw Data'!$E$3:$E$55))))</f>
        <v>0.2868574205648835</v>
      </c>
      <c r="K25">
        <f>SUM(B25:J25)</f>
        <v>2.1095731053478017</v>
      </c>
      <c r="L25">
        <f>100*((K25 - MIN($K$2:$K$54))/(MAX($K$2:$K$54) - MIN($K$2:$K$54)))</f>
        <v>31.525433574126044</v>
      </c>
    </row>
    <row r="26" spans="1:12">
      <c r="A26" t="str">
        <f>'Raw Data'!A53</f>
        <v>WI</v>
      </c>
      <c r="B26">
        <f>$O$2*(('Raw Data'!C53 - MIN('Raw Data'!$C$3:$C$55)) / (MAX('Raw Data'!$C$3:$C$55) - MIN('Raw Data'!$C$3:$C$55)))</f>
        <v>0.13037559799288556</v>
      </c>
      <c r="C26">
        <f>$O$3*IF('Raw Data'!I53="Yes",1,0)</f>
        <v>0</v>
      </c>
      <c r="D26">
        <f>$O$4*IF('Raw Data'!H53="State",1,0)</f>
        <v>0</v>
      </c>
      <c r="E26">
        <f>$O$5*IF('Raw Data'!H53="County",1,0)</f>
        <v>0</v>
      </c>
      <c r="F26">
        <f>$O$6*(1-((IF(ISNUMBER('Raw Data'!L53), 'Raw Data'!L53, 'Raw Data'!$L$56) - MIN('Raw Data'!$L$3:$L$55))/(MAX('Raw Data'!$L$3:$L$55) - MIN('Raw Data'!$L$3:$L$55))))</f>
        <v>0.70597623692143996</v>
      </c>
      <c r="G26">
        <f>$O$7*(('Raw Data'!P53 - MIN('Raw Data'!$P$3:$P$55)) / (MAX('Raw Data'!$P$3:$P$55) - MIN('Raw Data'!$P$3:$P$55)))</f>
        <v>0</v>
      </c>
      <c r="H26">
        <f>$O$8*((IF(ISNUMBER('Raw Data'!M53), 'Raw Data'!M53, 'Raw Data'!$M$56) - MIN('Raw Data'!$M$3:$M$55))/(MAX('Raw Data'!$M$3:$M$55) - MIN('Raw Data'!$M$3:$M$55)))</f>
        <v>0.90804671252599545</v>
      </c>
      <c r="I26">
        <f>$O$9*(1-((IF(ISNUMBER('Raw Data'!T53), 'Raw Data'!T53, 'Raw Data'!$T$56) - MIN('Raw Data'!T$3:T$55))/(MAX('Raw Data'!T$3:T$55) - MIN('Raw Data'!T$3:T$55))))</f>
        <v>0</v>
      </c>
      <c r="J26">
        <f>$O$10*(1-(('Raw Data'!E53 - MIN('Raw Data'!$E$3:$E$55)) / (MAX('Raw Data'!$E$3:$E$55) - MIN('Raw Data'!$E$3:$E$55))))</f>
        <v>0.32748352720243656</v>
      </c>
      <c r="K26">
        <f>SUM(B26:J26)</f>
        <v>2.0718820746427573</v>
      </c>
      <c r="L26">
        <f>100*((K26 - MIN($K$2:$K$54))/(MAX($K$2:$K$54) - MIN($K$2:$K$54)))</f>
        <v>30.743634858586908</v>
      </c>
    </row>
    <row r="27" spans="1:12">
      <c r="A27" t="str">
        <f>'Raw Data'!A41</f>
        <v>OR</v>
      </c>
      <c r="B27">
        <f>$O$2*(('Raw Data'!C41 - MIN('Raw Data'!$C$3:$C$55)) / (MAX('Raw Data'!$C$3:$C$55) - MIN('Raw Data'!$C$3:$C$55)))</f>
        <v>0.13626897089033255</v>
      </c>
      <c r="C27">
        <f>$O$3*IF('Raw Data'!I41="Yes",1,0)</f>
        <v>0</v>
      </c>
      <c r="D27">
        <f>$O$4*IF('Raw Data'!H41="State",1,0)</f>
        <v>0</v>
      </c>
      <c r="E27">
        <f>$O$5*IF('Raw Data'!H41="County",1,0)</f>
        <v>0</v>
      </c>
      <c r="F27">
        <f>$O$6*(1-((IF(ISNUMBER('Raw Data'!L41), 'Raw Data'!L41, 'Raw Data'!$L$56) - MIN('Raw Data'!$L$3:$L$55))/(MAX('Raw Data'!$L$3:$L$55) - MIN('Raw Data'!$L$3:$L$55))))</f>
        <v>0.64160312112076612</v>
      </c>
      <c r="G27">
        <f>$O$7*(('Raw Data'!P41 - MIN('Raw Data'!$P$3:$P$55)) / (MAX('Raw Data'!$P$3:$P$55) - MIN('Raw Data'!$P$3:$P$55)))</f>
        <v>0</v>
      </c>
      <c r="H27">
        <f>$O$8*((IF(ISNUMBER('Raw Data'!M41), 'Raw Data'!M41, 'Raw Data'!$M$56) - MIN('Raw Data'!$M$3:$M$55))/(MAX('Raw Data'!$M$3:$M$55) - MIN('Raw Data'!$M$3:$M$55)))</f>
        <v>0.96451127819548865</v>
      </c>
      <c r="I27">
        <f>$O$9*(1-((IF(ISNUMBER('Raw Data'!T41), 'Raw Data'!T41, 'Raw Data'!$T$56) - MIN('Raw Data'!T$3:T$55))/(MAX('Raw Data'!T$3:T$55) - MIN('Raw Data'!T$3:T$55))))</f>
        <v>0</v>
      </c>
      <c r="J27">
        <f>$O$10*(1-(('Raw Data'!E41 - MIN('Raw Data'!$E$3:$E$55)) / (MAX('Raw Data'!$E$3:$E$55) - MIN('Raw Data'!$E$3:$E$55))))</f>
        <v>0.3229513216853257</v>
      </c>
      <c r="K27">
        <f>SUM(B27:J27)</f>
        <v>2.0653346918919131</v>
      </c>
      <c r="L27">
        <f>100*((K27 - MIN($K$2:$K$54))/(MAX($K$2:$K$54) - MIN($K$2:$K$54)))</f>
        <v>30.607827072782101</v>
      </c>
    </row>
    <row r="28" spans="1:12">
      <c r="A28" t="str">
        <f>'Raw Data'!A8</f>
        <v>CO</v>
      </c>
      <c r="B28">
        <f>$O$2*(('Raw Data'!C8 - MIN('Raw Data'!$C$3:$C$55)) / (MAX('Raw Data'!$C$3:$C$55) - MIN('Raw Data'!$C$3:$C$55)))</f>
        <v>0.10413523692115821</v>
      </c>
      <c r="C28">
        <f>$O$3*IF('Raw Data'!I8="Yes",1,0)</f>
        <v>0</v>
      </c>
      <c r="D28">
        <f>$O$4*IF('Raw Data'!H8="State",1,0)</f>
        <v>0</v>
      </c>
      <c r="E28">
        <f>$O$5*IF('Raw Data'!H8="County",1,0)</f>
        <v>0</v>
      </c>
      <c r="F28">
        <f>$O$6*(1-((IF(ISNUMBER('Raw Data'!L8), 'Raw Data'!L8, 'Raw Data'!$L$56) - MIN('Raw Data'!$L$3:$L$55))/(MAX('Raw Data'!$L$3:$L$55) - MIN('Raw Data'!$L$3:$L$55))))</f>
        <v>0.9427203404859017</v>
      </c>
      <c r="G28">
        <f>$O$7*(('Raw Data'!P8 - MIN('Raw Data'!$P$3:$P$55)) / (MAX('Raw Data'!$P$3:$P$55) - MIN('Raw Data'!$P$3:$P$55)))</f>
        <v>0</v>
      </c>
      <c r="H28">
        <f>$O$8*((IF(ISNUMBER('Raw Data'!M8), 'Raw Data'!M8, 'Raw Data'!$M$56) - MIN('Raw Data'!$M$3:$M$55))/(MAX('Raw Data'!$M$3:$M$55) - MIN('Raw Data'!$M$3:$M$55)))</f>
        <v>0.75669172932330819</v>
      </c>
      <c r="I28">
        <f>$O$9*(1-((IF(ISNUMBER('Raw Data'!T8), 'Raw Data'!T8, 'Raw Data'!$T$56) - MIN('Raw Data'!T$3:T$55))/(MAX('Raw Data'!T$3:T$55) - MIN('Raw Data'!T$3:T$55))))</f>
        <v>0</v>
      </c>
      <c r="J28">
        <f>$O$10*(1-(('Raw Data'!E8 - MIN('Raw Data'!$E$3:$E$55)) / (MAX('Raw Data'!$E$3:$E$55) - MIN('Raw Data'!$E$3:$E$55))))</f>
        <v>0.24290136748595592</v>
      </c>
      <c r="K28">
        <f>SUM(B28:J28)</f>
        <v>2.0464486742163239</v>
      </c>
      <c r="L28">
        <f>100*((K28 - MIN($K$2:$K$54))/(MAX($K$2:$K$54) - MIN($K$2:$K$54)))</f>
        <v>30.216087603623755</v>
      </c>
    </row>
    <row r="29" spans="1:12">
      <c r="A29" t="str">
        <f>'Raw Data'!A54</f>
        <v>WV</v>
      </c>
      <c r="B29">
        <f>$O$2*(('Raw Data'!C54 - MIN('Raw Data'!$C$3:$C$55)) / (MAX('Raw Data'!$C$3:$C$55) - MIN('Raw Data'!$C$3:$C$55)))</f>
        <v>4.9039295080707992E-2</v>
      </c>
      <c r="C29">
        <f>$O$3*IF('Raw Data'!I54="Yes",1,0)</f>
        <v>0</v>
      </c>
      <c r="D29">
        <f>$O$4*IF('Raw Data'!H54="State",1,0)</f>
        <v>0</v>
      </c>
      <c r="E29">
        <f>$O$5*IF('Raw Data'!H54="County",1,0)</f>
        <v>0</v>
      </c>
      <c r="F29">
        <f>$O$6*(1-((IF(ISNUMBER('Raw Data'!L54), 'Raw Data'!L54, 'Raw Data'!$L$56) - MIN('Raw Data'!$L$3:$L$55))/(MAX('Raw Data'!$L$3:$L$55) - MIN('Raw Data'!$L$3:$L$55))))</f>
        <v>0.61925873381805319</v>
      </c>
      <c r="G29">
        <f>$O$7*(('Raw Data'!P54 - MIN('Raw Data'!$P$3:$P$55)) / (MAX('Raw Data'!$P$3:$P$55) - MIN('Raw Data'!$P$3:$P$55)))</f>
        <v>0</v>
      </c>
      <c r="H29">
        <f>$O$8*((IF(ISNUMBER('Raw Data'!M54), 'Raw Data'!M54, 'Raw Data'!$M$56) - MIN('Raw Data'!$M$3:$M$55))/(MAX('Raw Data'!$M$3:$M$55) - MIN('Raw Data'!$M$3:$M$55)))</f>
        <v>0.45082706766917285</v>
      </c>
      <c r="I29">
        <f>$O$9*(1-((IF(ISNUMBER('Raw Data'!T54), 'Raw Data'!T54, 'Raw Data'!$T$56) - MIN('Raw Data'!T$3:T$55))/(MAX('Raw Data'!T$3:T$55) - MIN('Raw Data'!T$3:T$55))))</f>
        <v>0</v>
      </c>
      <c r="J29">
        <f>$O$10*(1-(('Raw Data'!E54 - MIN('Raw Data'!$E$3:$E$55)) / (MAX('Raw Data'!$E$3:$E$55) - MIN('Raw Data'!$E$3:$E$55))))</f>
        <v>0.92681961041563521</v>
      </c>
      <c r="K29">
        <f>SUM(B29:J29)</f>
        <v>2.045944706983569</v>
      </c>
      <c r="L29">
        <f>100*((K29 - MIN($K$2:$K$54))/(MAX($K$2:$K$54) - MIN($K$2:$K$54)))</f>
        <v>30.205634163431977</v>
      </c>
    </row>
    <row r="30" spans="1:12">
      <c r="A30" t="str">
        <f>'Raw Data'!A22</f>
        <v>LA</v>
      </c>
      <c r="B30">
        <f>$O$2*(('Raw Data'!C22 - MIN('Raw Data'!$C$3:$C$55)) / (MAX('Raw Data'!$C$3:$C$55) - MIN('Raw Data'!$C$3:$C$55)))</f>
        <v>0.15888703605533375</v>
      </c>
      <c r="C30">
        <f>$O$3*IF('Raw Data'!I22="Yes",1,0)</f>
        <v>0</v>
      </c>
      <c r="D30">
        <f>$O$4*IF('Raw Data'!H22="State",1,0)</f>
        <v>0</v>
      </c>
      <c r="E30">
        <f>$O$5*IF('Raw Data'!H22="County",1,0)</f>
        <v>0</v>
      </c>
      <c r="F30">
        <f>$O$6*(1-((IF(ISNUMBER('Raw Data'!L22), 'Raw Data'!L22, 'Raw Data'!$L$56) - MIN('Raw Data'!$L$3:$L$55))/(MAX('Raw Data'!$L$3:$L$55) - MIN('Raw Data'!$L$3:$L$55))))</f>
        <v>6.4905125022166832E-2</v>
      </c>
      <c r="G30">
        <f>$O$7*(('Raw Data'!P22 - MIN('Raw Data'!$P$3:$P$55)) / (MAX('Raw Data'!$P$3:$P$55) - MIN('Raw Data'!$P$3:$P$55)))</f>
        <v>0</v>
      </c>
      <c r="H30">
        <f>$O$8*((IF(ISNUMBER('Raw Data'!M22), 'Raw Data'!M22, 'Raw Data'!$M$56) - MIN('Raw Data'!$M$3:$M$55))/(MAX('Raw Data'!$M$3:$M$55) - MIN('Raw Data'!$M$3:$M$55)))</f>
        <v>1.3416541353383458</v>
      </c>
      <c r="I30">
        <f>$O$9*(1-((IF(ISNUMBER('Raw Data'!T22), 'Raw Data'!T22, 'Raw Data'!$T$56) - MIN('Raw Data'!T$3:T$55))/(MAX('Raw Data'!T$3:T$55) - MIN('Raw Data'!T$3:T$55))))</f>
        <v>0</v>
      </c>
      <c r="J30">
        <f>$O$10*(1-(('Raw Data'!E22 - MIN('Raw Data'!$E$3:$E$55)) / (MAX('Raw Data'!$E$3:$E$55) - MIN('Raw Data'!$E$3:$E$55))))</f>
        <v>0.44123880771959545</v>
      </c>
      <c r="K30">
        <f>SUM(B30:J30)</f>
        <v>2.0066851041354417</v>
      </c>
      <c r="L30">
        <f>100*((K30 - MIN($K$2:$K$54))/(MAX($K$2:$K$54) - MIN($K$2:$K$54)))</f>
        <v>29.391299651875762</v>
      </c>
    </row>
    <row r="31" spans="1:12">
      <c r="A31" t="str">
        <f>'Raw Data'!A50</f>
        <v>VA</v>
      </c>
      <c r="B31">
        <f>$O$2*(('Raw Data'!C50 - MIN('Raw Data'!$C$3:$C$55)) / (MAX('Raw Data'!$C$3:$C$55) - MIN('Raw Data'!$C$3:$C$55)))</f>
        <v>0.15328123705208002</v>
      </c>
      <c r="C31">
        <f>$O$3*IF('Raw Data'!I50="Yes",1,0)</f>
        <v>0</v>
      </c>
      <c r="D31">
        <f>$O$4*IF('Raw Data'!H50="State",1,0)</f>
        <v>0</v>
      </c>
      <c r="E31">
        <f>$O$5*IF('Raw Data'!H50="County",1,0)</f>
        <v>0</v>
      </c>
      <c r="F31">
        <f>$O$6*(1-((IF(ISNUMBER('Raw Data'!L50), 'Raw Data'!L50, 'Raw Data'!$L$56) - MIN('Raw Data'!$L$3:$L$55))/(MAX('Raw Data'!$L$3:$L$55) - MIN('Raw Data'!$L$3:$L$55))))</f>
        <v>0.45061181060471722</v>
      </c>
      <c r="G31">
        <f>$O$7*(('Raw Data'!P50 - MIN('Raw Data'!$P$3:$P$55)) / (MAX('Raw Data'!$P$3:$P$55) - MIN('Raw Data'!$P$3:$P$55)))</f>
        <v>0</v>
      </c>
      <c r="H31">
        <f>$O$8*((IF(ISNUMBER('Raw Data'!M50), 'Raw Data'!M50, 'Raw Data'!$M$56) - MIN('Raw Data'!$M$3:$M$55))/(MAX('Raw Data'!$M$3:$M$55) - MIN('Raw Data'!$M$3:$M$55)))</f>
        <v>0.99548872180451131</v>
      </c>
      <c r="I31">
        <f>$O$9*(1-((IF(ISNUMBER('Raw Data'!T50), 'Raw Data'!T50, 'Raw Data'!$T$56) - MIN('Raw Data'!T$3:T$55))/(MAX('Raw Data'!T$3:T$55) - MIN('Raw Data'!T$3:T$55))))</f>
        <v>0</v>
      </c>
      <c r="J31">
        <f>$O$10*(1-(('Raw Data'!E50 - MIN('Raw Data'!$E$3:$E$55)) / (MAX('Raw Data'!$E$3:$E$55) - MIN('Raw Data'!$E$3:$E$55))))</f>
        <v>0.37236343823463058</v>
      </c>
      <c r="K31">
        <f>SUM(B31:J31)</f>
        <v>1.9717452076959392</v>
      </c>
      <c r="L31">
        <f>100*((K31 - MIN($K$2:$K$54))/(MAX($K$2:$K$54) - MIN($K$2:$K$54)))</f>
        <v>28.666565792214616</v>
      </c>
    </row>
    <row r="32" spans="1:12">
      <c r="A32" t="str">
        <f>'Raw Data'!A17</f>
        <v>ID</v>
      </c>
      <c r="B32">
        <f>$O$2*(('Raw Data'!C17 - MIN('Raw Data'!$C$3:$C$55)) / (MAX('Raw Data'!$C$3:$C$55) - MIN('Raw Data'!$C$3:$C$55)))</f>
        <v>1.9605917816678455E-2</v>
      </c>
      <c r="C32">
        <f>$O$3*IF('Raw Data'!I17="Yes",1,0)</f>
        <v>0</v>
      </c>
      <c r="D32">
        <f>$O$4*IF('Raw Data'!H17="State",1,0)</f>
        <v>0</v>
      </c>
      <c r="E32">
        <f>$O$5*IF('Raw Data'!H17="County",1,0)</f>
        <v>0</v>
      </c>
      <c r="F32">
        <f>$O$6*(1-((IF(ISNUMBER('Raw Data'!L17), 'Raw Data'!L17, 'Raw Data'!$L$56) - MIN('Raw Data'!$L$3:$L$55))/(MAX('Raw Data'!$L$3:$L$55) - MIN('Raw Data'!$L$3:$L$55))))</f>
        <v>0.70597623692143996</v>
      </c>
      <c r="G32">
        <f>$O$7*(('Raw Data'!P17 - MIN('Raw Data'!$P$3:$P$55)) / (MAX('Raw Data'!$P$3:$P$55) - MIN('Raw Data'!$P$3:$P$55)))</f>
        <v>0</v>
      </c>
      <c r="H32">
        <f>$O$8*((IF(ISNUMBER('Raw Data'!M17), 'Raw Data'!M17, 'Raw Data'!$M$56) - MIN('Raw Data'!$M$3:$M$55))/(MAX('Raw Data'!$M$3:$M$55) - MIN('Raw Data'!$M$3:$M$55)))</f>
        <v>0.90804671252599545</v>
      </c>
      <c r="I32">
        <f>$O$9*(1-((IF(ISNUMBER('Raw Data'!T17), 'Raw Data'!T17, 'Raw Data'!$T$56) - MIN('Raw Data'!T$3:T$55))/(MAX('Raw Data'!T$3:T$55) - MIN('Raw Data'!T$3:T$55))))</f>
        <v>0</v>
      </c>
      <c r="J32">
        <f>$O$10*(1-(('Raw Data'!E17 - MIN('Raw Data'!$E$3:$E$55)) / (MAX('Raw Data'!$E$3:$E$55) - MIN('Raw Data'!$E$3:$E$55))))</f>
        <v>0.27999504292674726</v>
      </c>
      <c r="K32">
        <f>SUM(B32:J32)</f>
        <v>1.913623910190861</v>
      </c>
      <c r="L32">
        <f>100*((K32 - MIN($K$2:$K$54))/(MAX($K$2:$K$54) - MIN($K$2:$K$54)))</f>
        <v>27.4609963268814</v>
      </c>
    </row>
    <row r="33" spans="1:12">
      <c r="A33" t="str">
        <f>'Raw Data'!A19</f>
        <v>IN</v>
      </c>
      <c r="B33">
        <f>$O$2*(('Raw Data'!C19 - MIN('Raw Data'!$C$3:$C$55)) / (MAX('Raw Data'!$C$3:$C$55) - MIN('Raw Data'!$C$3:$C$55)))</f>
        <v>0.11187589370209387</v>
      </c>
      <c r="C33">
        <f>$O$3*IF('Raw Data'!I19="Yes",1,0)</f>
        <v>0</v>
      </c>
      <c r="D33">
        <f>$O$4*IF('Raw Data'!H19="State",1,0)</f>
        <v>0</v>
      </c>
      <c r="E33">
        <f>$O$5*IF('Raw Data'!H19="County",1,0)</f>
        <v>0</v>
      </c>
      <c r="F33">
        <f>$O$6*(1-((IF(ISNUMBER('Raw Data'!L19), 'Raw Data'!L19, 'Raw Data'!$L$56) - MIN('Raw Data'!$L$3:$L$55))/(MAX('Raw Data'!$L$3:$L$55) - MIN('Raw Data'!$L$3:$L$55))))</f>
        <v>0.72778861500266023</v>
      </c>
      <c r="G33">
        <f>$O$7*(('Raw Data'!P19 - MIN('Raw Data'!$P$3:$P$55)) / (MAX('Raw Data'!$P$3:$P$55) - MIN('Raw Data'!$P$3:$P$55)))</f>
        <v>0</v>
      </c>
      <c r="H33">
        <f>$O$8*((IF(ISNUMBER('Raw Data'!M19), 'Raw Data'!M19, 'Raw Data'!$M$56) - MIN('Raw Data'!$M$3:$M$55))/(MAX('Raw Data'!$M$3:$M$55) - MIN('Raw Data'!$M$3:$M$55)))</f>
        <v>0.75398496240601498</v>
      </c>
      <c r="I33">
        <f>$O$9*(1-((IF(ISNUMBER('Raw Data'!T19), 'Raw Data'!T19, 'Raw Data'!$T$56) - MIN('Raw Data'!T$3:T$55))/(MAX('Raw Data'!T$3:T$55) - MIN('Raw Data'!T$3:T$55))))</f>
        <v>0</v>
      </c>
      <c r="J33">
        <f>$O$10*(1-(('Raw Data'!E19 - MIN('Raw Data'!$E$3:$E$55)) / (MAX('Raw Data'!$E$3:$E$55) - MIN('Raw Data'!$E$3:$E$55))))</f>
        <v>0.29922578719667525</v>
      </c>
      <c r="K33">
        <f>SUM(B33:J33)</f>
        <v>1.8928752583074444</v>
      </c>
      <c r="L33">
        <f>100*((K33 - MIN($K$2:$K$54))/(MAX($K$2:$K$54) - MIN($K$2:$K$54)))</f>
        <v>27.030621537755433</v>
      </c>
    </row>
    <row r="34" spans="1:12">
      <c r="A34" t="str">
        <f>'Raw Data'!A18</f>
        <v>IL</v>
      </c>
      <c r="B34">
        <f>$O$2*(('Raw Data'!C18 - MIN('Raw Data'!$C$3:$C$55)) / (MAX('Raw Data'!$C$3:$C$55) - MIN('Raw Data'!$C$3:$C$55)))</f>
        <v>0.3628883619223407</v>
      </c>
      <c r="C34">
        <f>$O$3*IF('Raw Data'!I18="Yes",1,0)</f>
        <v>0</v>
      </c>
      <c r="D34">
        <f>$O$4*IF('Raw Data'!H18="State",1,0)</f>
        <v>0</v>
      </c>
      <c r="E34">
        <f>$O$5*IF('Raw Data'!H18="County",1,0)</f>
        <v>0</v>
      </c>
      <c r="F34">
        <f>$O$6*(1-((IF(ISNUMBER('Raw Data'!L18), 'Raw Data'!L18, 'Raw Data'!$L$56) - MIN('Raw Data'!$L$3:$L$55))/(MAX('Raw Data'!$L$3:$L$55) - MIN('Raw Data'!$L$3:$L$55))))</f>
        <v>0</v>
      </c>
      <c r="G34">
        <f>$O$7*(('Raw Data'!P18 - MIN('Raw Data'!$P$3:$P$55)) / (MAX('Raw Data'!$P$3:$P$55) - MIN('Raw Data'!$P$3:$P$55)))</f>
        <v>0</v>
      </c>
      <c r="H34">
        <f>$O$8*((IF(ISNUMBER('Raw Data'!M18), 'Raw Data'!M18, 'Raw Data'!$M$56) - MIN('Raw Data'!$M$3:$M$55))/(MAX('Raw Data'!$M$3:$M$55) - MIN('Raw Data'!$M$3:$M$55)))</f>
        <v>0.94947368421052625</v>
      </c>
      <c r="I34">
        <f>$O$9*(1-((IF(ISNUMBER('Raw Data'!T18), 'Raw Data'!T18, 'Raw Data'!$T$56) - MIN('Raw Data'!T$3:T$55))/(MAX('Raw Data'!T$3:T$55) - MIN('Raw Data'!T$3:T$55))))</f>
        <v>0</v>
      </c>
      <c r="J34">
        <f>$O$10*(1-(('Raw Data'!E18 - MIN('Raw Data'!$E$3:$E$55)) / (MAX('Raw Data'!$E$3:$E$55) - MIN('Raw Data'!$E$3:$E$55))))</f>
        <v>0.5761782517332934</v>
      </c>
      <c r="K34">
        <f>SUM(B34:J34)</f>
        <v>1.8885402978661603</v>
      </c>
      <c r="L34">
        <f>100*((K34 - MIN($K$2:$K$54))/(MAX($K$2:$K$54) - MIN($K$2:$K$54)))</f>
        <v>26.940704482118765</v>
      </c>
    </row>
    <row r="35" spans="1:12">
      <c r="A35" t="str">
        <f>'Raw Data'!A45</f>
        <v>SD</v>
      </c>
      <c r="B35">
        <f>$O$2*(('Raw Data'!C45 - MIN('Raw Data'!$C$3:$C$55)) / (MAX('Raw Data'!$C$3:$C$55) - MIN('Raw Data'!$C$3:$C$55)))</f>
        <v>9.7447819527705284E-3</v>
      </c>
      <c r="C35">
        <f>$O$3*IF('Raw Data'!I45="Yes",1,0)</f>
        <v>0</v>
      </c>
      <c r="D35">
        <f>$O$4*IF('Raw Data'!H45="State",1,0)</f>
        <v>0</v>
      </c>
      <c r="E35">
        <f>$O$5*IF('Raw Data'!H45="County",1,0)</f>
        <v>0</v>
      </c>
      <c r="F35">
        <f>$O$6*(1-((IF(ISNUMBER('Raw Data'!L45), 'Raw Data'!L45, 'Raw Data'!$L$56) - MIN('Raw Data'!$L$3:$L$55))/(MAX('Raw Data'!$L$3:$L$55) - MIN('Raw Data'!$L$3:$L$55))))</f>
        <v>0.70597623692143996</v>
      </c>
      <c r="G35">
        <f>$O$7*(('Raw Data'!P45 - MIN('Raw Data'!$P$3:$P$55)) / (MAX('Raw Data'!$P$3:$P$55) - MIN('Raw Data'!$P$3:$P$55)))</f>
        <v>0</v>
      </c>
      <c r="H35">
        <f>$O$8*((IF(ISNUMBER('Raw Data'!M45), 'Raw Data'!M45, 'Raw Data'!$M$56) - MIN('Raw Data'!$M$3:$M$55))/(MAX('Raw Data'!$M$3:$M$55) - MIN('Raw Data'!$M$3:$M$55)))</f>
        <v>0.90804671252599545</v>
      </c>
      <c r="I35">
        <f>$O$9*(1-((IF(ISNUMBER('Raw Data'!T45), 'Raw Data'!T45, 'Raw Data'!$T$56) - MIN('Raw Data'!T$3:T$55))/(MAX('Raw Data'!T$3:T$55) - MIN('Raw Data'!T$3:T$55))))</f>
        <v>0</v>
      </c>
      <c r="J35">
        <f>$O$10*(1-(('Raw Data'!E45 - MIN('Raw Data'!$E$3:$E$55)) / (MAX('Raw Data'!$E$3:$E$55) - MIN('Raw Data'!$E$3:$E$55))))</f>
        <v>0.25489510800795645</v>
      </c>
      <c r="K35">
        <f>SUM(B35:J35)</f>
        <v>1.8786628394081624</v>
      </c>
      <c r="L35">
        <f>100*((K35 - MIN($K$2:$K$54))/(MAX($K$2:$K$54) - MIN($K$2:$K$54)))</f>
        <v>26.735823262613657</v>
      </c>
    </row>
    <row r="36" spans="1:12">
      <c r="A36" t="str">
        <f>'Raw Data'!A20</f>
        <v>KS</v>
      </c>
      <c r="B36">
        <f>$O$2*(('Raw Data'!C20 - MIN('Raw Data'!$C$3:$C$55)) / (MAX('Raw Data'!$C$3:$C$55) - MIN('Raw Data'!$C$3:$C$55)))</f>
        <v>3.1230524909385843E-2</v>
      </c>
      <c r="C36">
        <f>$O$3*IF('Raw Data'!I20="Yes",1,0)</f>
        <v>0</v>
      </c>
      <c r="D36">
        <f>$O$4*IF('Raw Data'!H20="State",1,0)</f>
        <v>0</v>
      </c>
      <c r="E36">
        <f>$O$5*IF('Raw Data'!H20="County",1,0)</f>
        <v>0</v>
      </c>
      <c r="F36">
        <f>$O$6*(1-((IF(ISNUMBER('Raw Data'!L20), 'Raw Data'!L20, 'Raw Data'!$L$56) - MIN('Raw Data'!$L$3:$L$55))/(MAX('Raw Data'!$L$3:$L$55) - MIN('Raw Data'!$L$3:$L$55))))</f>
        <v>0.60223443873027183</v>
      </c>
      <c r="G36">
        <f>$O$7*(('Raw Data'!P20 - MIN('Raw Data'!$P$3:$P$55)) / (MAX('Raw Data'!$P$3:$P$55) - MIN('Raw Data'!$P$3:$P$55)))</f>
        <v>0</v>
      </c>
      <c r="H36">
        <f>$O$8*((IF(ISNUMBER('Raw Data'!M20), 'Raw Data'!M20, 'Raw Data'!$M$56) - MIN('Raw Data'!$M$3:$M$55))/(MAX('Raw Data'!$M$3:$M$55) - MIN('Raw Data'!$M$3:$M$55)))</f>
        <v>0.63458646616541359</v>
      </c>
      <c r="I36">
        <f>$O$9*(1-((IF(ISNUMBER('Raw Data'!T20), 'Raw Data'!T20, 'Raw Data'!$T$56) - MIN('Raw Data'!T$3:T$55))/(MAX('Raw Data'!T$3:T$55) - MIN('Raw Data'!T$3:T$55))))</f>
        <v>0</v>
      </c>
      <c r="J36">
        <f>$O$10*(1-(('Raw Data'!E20 - MIN('Raw Data'!$E$3:$E$55)) / (MAX('Raw Data'!$E$3:$E$55) - MIN('Raw Data'!$E$3:$E$55))))</f>
        <v>0.48689301861605006</v>
      </c>
      <c r="K36">
        <f>SUM(B36:J36)</f>
        <v>1.7549444484211214</v>
      </c>
      <c r="L36">
        <f>100*((K36 - MIN($K$2:$K$54))/(MAX($K$2:$K$54) - MIN($K$2:$K$54)))</f>
        <v>24.169619119268422</v>
      </c>
    </row>
    <row r="37" spans="1:12">
      <c r="A37" t="str">
        <f>'Raw Data'!A25</f>
        <v>ME</v>
      </c>
      <c r="B37">
        <f>$O$2*(('Raw Data'!C25 - MIN('Raw Data'!$C$3:$C$55)) / (MAX('Raw Data'!$C$3:$C$55) - MIN('Raw Data'!$C$3:$C$55)))</f>
        <v>2.7611634482985654E-2</v>
      </c>
      <c r="C37">
        <f>$O$3*IF('Raw Data'!I25="Yes",1,0)</f>
        <v>0</v>
      </c>
      <c r="D37">
        <f>$O$4*IF('Raw Data'!H25="State",1,0)</f>
        <v>0</v>
      </c>
      <c r="E37">
        <f>$O$5*IF('Raw Data'!H25="County",1,0)</f>
        <v>0</v>
      </c>
      <c r="F37">
        <f>$O$6*(1-((IF(ISNUMBER('Raw Data'!L25), 'Raw Data'!L25, 'Raw Data'!$L$56) - MIN('Raw Data'!$L$3:$L$55))/(MAX('Raw Data'!$L$3:$L$55) - MIN('Raw Data'!$L$3:$L$55))))</f>
        <v>0.24951232488029818</v>
      </c>
      <c r="G37">
        <f>$O$7*(('Raw Data'!P25 - MIN('Raw Data'!$P$3:$P$55)) / (MAX('Raw Data'!$P$3:$P$55) - MIN('Raw Data'!$P$3:$P$55)))</f>
        <v>0</v>
      </c>
      <c r="H37">
        <f>$O$8*((IF(ISNUMBER('Raw Data'!M25), 'Raw Data'!M25, 'Raw Data'!$M$56) - MIN('Raw Data'!$M$3:$M$55))/(MAX('Raw Data'!$M$3:$M$55) - MIN('Raw Data'!$M$3:$M$55)))</f>
        <v>1.0363909774436091</v>
      </c>
      <c r="I37">
        <f>$O$9*(1-((IF(ISNUMBER('Raw Data'!T25), 'Raw Data'!T25, 'Raw Data'!$T$56) - MIN('Raw Data'!T$3:T$55))/(MAX('Raw Data'!T$3:T$55) - MIN('Raw Data'!T$3:T$55))))</f>
        <v>0</v>
      </c>
      <c r="J37">
        <f>$O$10*(1-(('Raw Data'!E25 - MIN('Raw Data'!$E$3:$E$55)) / (MAX('Raw Data'!$E$3:$E$55) - MIN('Raw Data'!$E$3:$E$55))))</f>
        <v>0.39038495020213282</v>
      </c>
      <c r="K37">
        <f>SUM(B37:J37)</f>
        <v>1.7038998870090258</v>
      </c>
      <c r="L37">
        <f>100*((K37 - MIN($K$2:$K$54))/(MAX($K$2:$K$54) - MIN($K$2:$K$54)))</f>
        <v>23.110837446261691</v>
      </c>
    </row>
    <row r="38" spans="1:12">
      <c r="A38" t="str">
        <f>'Raw Data'!A31</f>
        <v>NC</v>
      </c>
      <c r="B38">
        <f>$O$2*(('Raw Data'!C31 - MIN('Raw Data'!$C$3:$C$55)) / (MAX('Raw Data'!$C$3:$C$55) - MIN('Raw Data'!$C$3:$C$55)))</f>
        <v>0.275176810646591</v>
      </c>
      <c r="C38">
        <f>$O$3*IF('Raw Data'!I31="Yes",1,0)</f>
        <v>0</v>
      </c>
      <c r="D38">
        <f>$O$4*IF('Raw Data'!H31="State",1,0)</f>
        <v>0</v>
      </c>
      <c r="E38">
        <f>$O$5*IF('Raw Data'!H31="County",1,0)</f>
        <v>0</v>
      </c>
      <c r="F38">
        <f>$O$6*(1-((IF(ISNUMBER('Raw Data'!L31), 'Raw Data'!L31, 'Raw Data'!$L$56) - MIN('Raw Data'!$L$3:$L$55))/(MAX('Raw Data'!$L$3:$L$55) - MIN('Raw Data'!$L$3:$L$55))))</f>
        <v>0.12129810250044348</v>
      </c>
      <c r="G38">
        <f>$O$7*(('Raw Data'!P31 - MIN('Raw Data'!$P$3:$P$55)) / (MAX('Raw Data'!$P$3:$P$55) - MIN('Raw Data'!$P$3:$P$55)))</f>
        <v>0</v>
      </c>
      <c r="H38">
        <f>$O$8*((IF(ISNUMBER('Raw Data'!M31), 'Raw Data'!M31, 'Raw Data'!$M$56) - MIN('Raw Data'!$M$3:$M$55))/(MAX('Raw Data'!$M$3:$M$55) - MIN('Raw Data'!$M$3:$M$55)))</f>
        <v>0.65774436090225563</v>
      </c>
      <c r="I38">
        <f>$O$9*(1-((IF(ISNUMBER('Raw Data'!T31), 'Raw Data'!T31, 'Raw Data'!$T$56) - MIN('Raw Data'!T$3:T$55))/(MAX('Raw Data'!T$3:T$55) - MIN('Raw Data'!T$3:T$55))))</f>
        <v>0</v>
      </c>
      <c r="J38">
        <f>$O$10*(1-(('Raw Data'!E31 - MIN('Raw Data'!$E$3:$E$55)) / (MAX('Raw Data'!$E$3:$E$55) - MIN('Raw Data'!$E$3:$E$55))))</f>
        <v>0.64454446881620253</v>
      </c>
      <c r="K38">
        <f>SUM(B38:J38)</f>
        <v>1.6987637428654927</v>
      </c>
      <c r="L38">
        <f>100*((K38 - MIN($K$2:$K$54))/(MAX($K$2:$K$54) - MIN($K$2:$K$54)))</f>
        <v>23.004301996868932</v>
      </c>
    </row>
    <row r="39" spans="1:12">
      <c r="A39" t="str">
        <f>'Raw Data'!A39</f>
        <v>OH</v>
      </c>
      <c r="B39">
        <f>$O$2*(('Raw Data'!C39 - MIN('Raw Data'!$C$3:$C$55)) / (MAX('Raw Data'!$C$3:$C$55) - MIN('Raw Data'!$C$3:$C$55)))</f>
        <v>0.25636209942564681</v>
      </c>
      <c r="C39">
        <f>$O$3*IF('Raw Data'!I39="Yes",1,0)</f>
        <v>0</v>
      </c>
      <c r="D39">
        <f>$O$4*IF('Raw Data'!H39="State",1,0)</f>
        <v>0</v>
      </c>
      <c r="E39">
        <f>$O$5*IF('Raw Data'!H39="County",1,0)</f>
        <v>0</v>
      </c>
      <c r="F39">
        <f>$O$6*(1-((IF(ISNUMBER('Raw Data'!L39), 'Raw Data'!L39, 'Raw Data'!$L$56) - MIN('Raw Data'!$L$3:$L$55))/(MAX('Raw Data'!$L$3:$L$55) - MIN('Raw Data'!$L$3:$L$55))))</f>
        <v>0.12661819471537539</v>
      </c>
      <c r="G39">
        <f>$O$7*(('Raw Data'!P39 - MIN('Raw Data'!$P$3:$P$55)) / (MAX('Raw Data'!$P$3:$P$55) - MIN('Raw Data'!$P$3:$P$55)))</f>
        <v>0</v>
      </c>
      <c r="H39">
        <f>$O$8*((IF(ISNUMBER('Raw Data'!M39), 'Raw Data'!M39, 'Raw Data'!$M$56) - MIN('Raw Data'!$M$3:$M$55))/(MAX('Raw Data'!$M$3:$M$55) - MIN('Raw Data'!$M$3:$M$55)))</f>
        <v>0.6255639097744361</v>
      </c>
      <c r="I39">
        <f>$O$9*(1-((IF(ISNUMBER('Raw Data'!T39), 'Raw Data'!T39, 'Raw Data'!$T$56) - MIN('Raw Data'!T$3:T$55))/(MAX('Raw Data'!T$3:T$55) - MIN('Raw Data'!T$3:T$55))))</f>
        <v>0</v>
      </c>
      <c r="J39">
        <f>$O$10*(1-(('Raw Data'!E39 - MIN('Raw Data'!$E$3:$E$55)) / (MAX('Raw Data'!$E$3:$E$55) - MIN('Raw Data'!$E$3:$E$55))))</f>
        <v>0.61689598093013487</v>
      </c>
      <c r="K39">
        <f>SUM(B39:J39)</f>
        <v>1.6254401848455933</v>
      </c>
      <c r="L39">
        <f>100*((K39 - MIN($K$2:$K$54))/(MAX($K$2:$K$54) - MIN($K$2:$K$54)))</f>
        <v>21.483402663356017</v>
      </c>
    </row>
    <row r="40" spans="1:12">
      <c r="A40" t="str">
        <f>'Raw Data'!A27</f>
        <v>MN</v>
      </c>
      <c r="B40">
        <f>$O$2*(('Raw Data'!C27 - MIN('Raw Data'!$C$3:$C$55)) / (MAX('Raw Data'!$C$3:$C$55) - MIN('Raw Data'!$C$3:$C$55)))</f>
        <v>8.2152672223653786E-2</v>
      </c>
      <c r="C40">
        <f>$O$3*IF('Raw Data'!I27="Yes",1,0)</f>
        <v>0</v>
      </c>
      <c r="D40">
        <f>$O$4*IF('Raw Data'!H27="State",1,0)</f>
        <v>0</v>
      </c>
      <c r="E40">
        <f>$O$5*IF('Raw Data'!H27="County",1,0)</f>
        <v>0</v>
      </c>
      <c r="F40">
        <f>$O$6*(1-((IF(ISNUMBER('Raw Data'!L27), 'Raw Data'!L27, 'Raw Data'!$L$56) - MIN('Raw Data'!$L$3:$L$55))/(MAX('Raw Data'!$L$3:$L$55) - MIN('Raw Data'!$L$3:$L$55))))</f>
        <v>0.56818584855470811</v>
      </c>
      <c r="G40">
        <f>$O$7*(('Raw Data'!P27 - MIN('Raw Data'!$P$3:$P$55)) / (MAX('Raw Data'!$P$3:$P$55) - MIN('Raw Data'!$P$3:$P$55)))</f>
        <v>0</v>
      </c>
      <c r="H40">
        <f>$O$8*((IF(ISNUMBER('Raw Data'!M27), 'Raw Data'!M27, 'Raw Data'!$M$56) - MIN('Raw Data'!$M$3:$M$55))/(MAX('Raw Data'!$M$3:$M$55) - MIN('Raw Data'!$M$3:$M$55)))</f>
        <v>0.53624060150375941</v>
      </c>
      <c r="I40">
        <f>$O$9*(1-((IF(ISNUMBER('Raw Data'!T27), 'Raw Data'!T27, 'Raw Data'!$T$56) - MIN('Raw Data'!T$3:T$55))/(MAX('Raw Data'!T$3:T$55) - MIN('Raw Data'!T$3:T$55))))</f>
        <v>0</v>
      </c>
      <c r="J40">
        <f>$O$10*(1-(('Raw Data'!E27 - MIN('Raw Data'!$E$3:$E$55)) / (MAX('Raw Data'!$E$3:$E$55) - MIN('Raw Data'!$E$3:$E$55))))</f>
        <v>0.37557252109443851</v>
      </c>
      <c r="K40">
        <f>SUM(B40:J40)</f>
        <v>1.5621516433765599</v>
      </c>
      <c r="L40">
        <f>100*((K40 - MIN($K$2:$K$54))/(MAX($K$2:$K$54) - MIN($K$2:$K$54)))</f>
        <v>20.170652666784189</v>
      </c>
    </row>
    <row r="41" spans="1:12">
      <c r="A41" t="str">
        <f>'Raw Data'!A16</f>
        <v>IA</v>
      </c>
      <c r="B41">
        <f>$O$2*(('Raw Data'!C16 - MIN('Raw Data'!$C$3:$C$55)) / (MAX('Raw Data'!$C$3:$C$55) - MIN('Raw Data'!$C$3:$C$55)))</f>
        <v>4.5055072292671521E-2</v>
      </c>
      <c r="C41">
        <f>$O$3*IF('Raw Data'!I16="Yes",1,0)</f>
        <v>0</v>
      </c>
      <c r="D41">
        <f>$O$4*IF('Raw Data'!H16="State",1,0)</f>
        <v>0</v>
      </c>
      <c r="E41">
        <f>$O$5*IF('Raw Data'!H16="County",1,0)</f>
        <v>0</v>
      </c>
      <c r="F41">
        <f>$O$6*(1-((IF(ISNUMBER('Raw Data'!L16), 'Raw Data'!L16, 'Raw Data'!$L$56) - MIN('Raw Data'!$L$3:$L$55))/(MAX('Raw Data'!$L$3:$L$55) - MIN('Raw Data'!$L$3:$L$55))))</f>
        <v>0.52881716616421381</v>
      </c>
      <c r="G41">
        <f>$O$7*(('Raw Data'!P16 - MIN('Raw Data'!$P$3:$P$55)) / (MAX('Raw Data'!$P$3:$P$55) - MIN('Raw Data'!$P$3:$P$55)))</f>
        <v>0</v>
      </c>
      <c r="H41">
        <f>$O$8*((IF(ISNUMBER('Raw Data'!M16), 'Raw Data'!M16, 'Raw Data'!$M$56) - MIN('Raw Data'!$M$3:$M$55))/(MAX('Raw Data'!$M$3:$M$55) - MIN('Raw Data'!$M$3:$M$55)))</f>
        <v>0.47187969924812023</v>
      </c>
      <c r="I41">
        <f>$O$9*(1-((IF(ISNUMBER('Raw Data'!T16), 'Raw Data'!T16, 'Raw Data'!$T$56) - MIN('Raw Data'!T$3:T$55))/(MAX('Raw Data'!T$3:T$55) - MIN('Raw Data'!T$3:T$55))))</f>
        <v>0</v>
      </c>
      <c r="J41">
        <f>$O$10*(1-(('Raw Data'!E16 - MIN('Raw Data'!$E$3:$E$55)) / (MAX('Raw Data'!$E$3:$E$55) - MIN('Raw Data'!$E$3:$E$55))))</f>
        <v>0.50760336205622747</v>
      </c>
      <c r="K41">
        <f>SUM(B41:J41)</f>
        <v>1.553355299761233</v>
      </c>
      <c r="L41">
        <f>100*((K41 - MIN($K$2:$K$54))/(MAX($K$2:$K$54) - MIN($K$2:$K$54)))</f>
        <v>19.988196257095638</v>
      </c>
    </row>
    <row r="42" spans="1:12">
      <c r="A42" t="str">
        <f>'Raw Data'!A42</f>
        <v>PA</v>
      </c>
      <c r="B42">
        <f>$O$2*(('Raw Data'!C42 - MIN('Raw Data'!$C$3:$C$55)) / (MAX('Raw Data'!$C$3:$C$55) - MIN('Raw Data'!$C$3:$C$55)))</f>
        <v>0.37002814061909362</v>
      </c>
      <c r="C42">
        <f>$O$3*IF('Raw Data'!I42="Yes",1,0)</f>
        <v>0</v>
      </c>
      <c r="D42">
        <f>$O$4*IF('Raw Data'!H42="State",1,0)</f>
        <v>0</v>
      </c>
      <c r="E42">
        <f>$O$5*IF('Raw Data'!H42="County",1,0)</f>
        <v>0</v>
      </c>
      <c r="F42">
        <f>$O$6*(1-((IF(ISNUMBER('Raw Data'!L42), 'Raw Data'!L42, 'Raw Data'!$L$56) - MIN('Raw Data'!$L$3:$L$55))/(MAX('Raw Data'!$L$3:$L$55) - MIN('Raw Data'!$L$3:$L$55))))</f>
        <v>0.26866465685405216</v>
      </c>
      <c r="G42">
        <f>$O$7*(('Raw Data'!P42 - MIN('Raw Data'!$P$3:$P$55)) / (MAX('Raw Data'!$P$3:$P$55) - MIN('Raw Data'!$P$3:$P$55)))</f>
        <v>0</v>
      </c>
      <c r="H42">
        <f>$O$8*((IF(ISNUMBER('Raw Data'!M42), 'Raw Data'!M42, 'Raw Data'!$M$56) - MIN('Raw Data'!$M$3:$M$55))/(MAX('Raw Data'!$M$3:$M$55) - MIN('Raw Data'!$M$3:$M$55)))</f>
        <v>0.74075187969924816</v>
      </c>
      <c r="I42">
        <f>$O$9*(1-((IF(ISNUMBER('Raw Data'!T42), 'Raw Data'!T42, 'Raw Data'!$T$56) - MIN('Raw Data'!T$3:T$55))/(MAX('Raw Data'!T$3:T$55) - MIN('Raw Data'!T$3:T$55))))</f>
        <v>0</v>
      </c>
      <c r="J42">
        <f>$O$10*(1-(('Raw Data'!E42 - MIN('Raw Data'!$E$3:$E$55)) / (MAX('Raw Data'!$E$3:$E$55) - MIN('Raw Data'!$E$3:$E$55))))</f>
        <v>0.17183280879288043</v>
      </c>
      <c r="K42">
        <f>SUM(B42:J42)</f>
        <v>1.5512774859652745</v>
      </c>
      <c r="L42">
        <f>100*((K42 - MIN($K$2:$K$54))/(MAX($K$2:$K$54) - MIN($K$2:$K$54)))</f>
        <v>19.945097617275408</v>
      </c>
    </row>
    <row r="43" spans="1:12">
      <c r="A43" t="str">
        <f>'Raw Data'!A43</f>
        <v>RI</v>
      </c>
      <c r="B43">
        <f>$O$2*(('Raw Data'!C43 - MIN('Raw Data'!$C$3:$C$55)) / (MAX('Raw Data'!$C$3:$C$55) - MIN('Raw Data'!$C$3:$C$55)))</f>
        <v>2.3107319171832591E-2</v>
      </c>
      <c r="C43">
        <f>$O$3*IF('Raw Data'!I43="Yes",1,0)</f>
        <v>0</v>
      </c>
      <c r="D43">
        <f>$O$4*IF('Raw Data'!H43="State",1,0)</f>
        <v>0</v>
      </c>
      <c r="E43">
        <f>$O$5*IF('Raw Data'!H43="County",1,0)</f>
        <v>0</v>
      </c>
      <c r="F43">
        <f>$O$6*(1-((IF(ISNUMBER('Raw Data'!L43), 'Raw Data'!L43, 'Raw Data'!$L$56) - MIN('Raw Data'!$L$3:$L$55))/(MAX('Raw Data'!$L$3:$L$55) - MIN('Raw Data'!$L$3:$L$55))))</f>
        <v>0.39634687001241353</v>
      </c>
      <c r="G43">
        <f>$O$7*(('Raw Data'!P43 - MIN('Raw Data'!$P$3:$P$55)) / (MAX('Raw Data'!$P$3:$P$55) - MIN('Raw Data'!$P$3:$P$55)))</f>
        <v>0</v>
      </c>
      <c r="H43">
        <f>$O$8*((IF(ISNUMBER('Raw Data'!M43), 'Raw Data'!M43, 'Raw Data'!$M$56) - MIN('Raw Data'!$M$3:$M$55))/(MAX('Raw Data'!$M$3:$M$55) - MIN('Raw Data'!$M$3:$M$55)))</f>
        <v>0.83127819548872173</v>
      </c>
      <c r="I43">
        <f>$O$9*(1-((IF(ISNUMBER('Raw Data'!T43), 'Raw Data'!T43, 'Raw Data'!$T$56) - MIN('Raw Data'!T$3:T$55))/(MAX('Raw Data'!T$3:T$55) - MIN('Raw Data'!T$3:T$55))))</f>
        <v>0</v>
      </c>
      <c r="J43">
        <f>$O$10*(1-(('Raw Data'!E43 - MIN('Raw Data'!$E$3:$E$55)) / (MAX('Raw Data'!$E$3:$E$55) - MIN('Raw Data'!$E$3:$E$55))))</f>
        <v>0.27030187227489733</v>
      </c>
      <c r="K43">
        <f>SUM(B43:J43)</f>
        <v>1.5210342569478652</v>
      </c>
      <c r="L43">
        <f>100*((K43 - MIN($K$2:$K$54))/(MAX($K$2:$K$54) - MIN($K$2:$K$54)))</f>
        <v>19.317783448432525</v>
      </c>
    </row>
    <row r="44" spans="1:12">
      <c r="A44" t="str">
        <f>'Raw Data'!A48</f>
        <v>USVI</v>
      </c>
      <c r="B44">
        <f>$O$2*(('Raw Data'!C48 - MIN('Raw Data'!$C$3:$C$55)) / (MAX('Raw Data'!$C$3:$C$55) - MIN('Raw Data'!$C$3:$C$55)))</f>
        <v>0</v>
      </c>
      <c r="C44">
        <f>$O$3*IF('Raw Data'!I48="Yes",1,0)</f>
        <v>0</v>
      </c>
      <c r="D44">
        <f>$O$4*IF('Raw Data'!H48="State",1,0)</f>
        <v>0</v>
      </c>
      <c r="E44">
        <f>$O$5*IF('Raw Data'!H48="County",1,0)</f>
        <v>0</v>
      </c>
      <c r="F44">
        <f>$O$6*(1-((IF(ISNUMBER('Raw Data'!L48), 'Raw Data'!L48, 'Raw Data'!$L$56) - MIN('Raw Data'!$L$3:$L$55))/(MAX('Raw Data'!$L$3:$L$55) - MIN('Raw Data'!$L$3:$L$55))))</f>
        <v>0.35857421528639821</v>
      </c>
      <c r="G44">
        <f>$O$7*(('Raw Data'!P48 - MIN('Raw Data'!$P$3:$P$55)) / (MAX('Raw Data'!$P$3:$P$55) - MIN('Raw Data'!$P$3:$P$55)))</f>
        <v>0</v>
      </c>
      <c r="H44">
        <f>$O$8*((IF(ISNUMBER('Raw Data'!M48), 'Raw Data'!M48, 'Raw Data'!$M$56) - MIN('Raw Data'!$M$3:$M$55))/(MAX('Raw Data'!$M$3:$M$55) - MIN('Raw Data'!$M$3:$M$55)))</f>
        <v>0.84060150375939835</v>
      </c>
      <c r="I44">
        <f>$O$9*(1-((IF(ISNUMBER('Raw Data'!T48), 'Raw Data'!T48, 'Raw Data'!$T$56) - MIN('Raw Data'!T$3:T$55))/(MAX('Raw Data'!T$3:T$55) - MIN('Raw Data'!T$3:T$55))))</f>
        <v>0</v>
      </c>
      <c r="J44">
        <f>$O$10*(1-(('Raw Data'!E48 - MIN('Raw Data'!$E$3:$E$55)) / (MAX('Raw Data'!$E$3:$E$55) - MIN('Raw Data'!$E$3:$E$55))))</f>
        <v>0.31361500272087928</v>
      </c>
      <c r="K44">
        <f>SUM(B44:J44)</f>
        <v>1.5127907217666758</v>
      </c>
      <c r="L44">
        <f>100*((K44 - MIN($K$2:$K$54))/(MAX($K$2:$K$54) - MIN($K$2:$K$54)))</f>
        <v>19.146793557851129</v>
      </c>
    </row>
    <row r="45" spans="1:12">
      <c r="A45" t="str">
        <f>'Raw Data'!A6</f>
        <v>AZ</v>
      </c>
      <c r="B45">
        <f>$O$2*(('Raw Data'!C6 - MIN('Raw Data'!$C$3:$C$55)) / (MAX('Raw Data'!$C$3:$C$55) - MIN('Raw Data'!$C$3:$C$55)))</f>
        <v>0.1713344450334664</v>
      </c>
      <c r="C45">
        <f>$O$3*IF('Raw Data'!I6="Yes",1,0)</f>
        <v>0</v>
      </c>
      <c r="D45">
        <f>$O$4*IF('Raw Data'!H6="State",1,0)</f>
        <v>0</v>
      </c>
      <c r="E45">
        <f>$O$5*IF('Raw Data'!H6="County",1,0)</f>
        <v>0</v>
      </c>
      <c r="F45">
        <f>$O$6*(1-((IF(ISNUMBER('Raw Data'!L6), 'Raw Data'!L6, 'Raw Data'!$L$56) - MIN('Raw Data'!$L$3:$L$55))/(MAX('Raw Data'!$L$3:$L$55) - MIN('Raw Data'!$L$3:$L$55))))</f>
        <v>0.36495832594431643</v>
      </c>
      <c r="G45">
        <f>$O$7*(('Raw Data'!P6 - MIN('Raw Data'!$P$3:$P$55)) / (MAX('Raw Data'!$P$3:$P$55) - MIN('Raw Data'!$P$3:$P$55)))</f>
        <v>0</v>
      </c>
      <c r="H45">
        <f>$O$8*((IF(ISNUMBER('Raw Data'!M6), 'Raw Data'!M6, 'Raw Data'!$M$56) - MIN('Raw Data'!$M$3:$M$55))/(MAX('Raw Data'!$M$3:$M$55) - MIN('Raw Data'!$M$3:$M$55)))</f>
        <v>0.66045112781954884</v>
      </c>
      <c r="I45">
        <f>$O$9*(1-((IF(ISNUMBER('Raw Data'!T6), 'Raw Data'!T6, 'Raw Data'!$T$56) - MIN('Raw Data'!T$3:T$55))/(MAX('Raw Data'!T$3:T$55) - MIN('Raw Data'!T$3:T$55))))</f>
        <v>0</v>
      </c>
      <c r="J45">
        <f>$O$10*(1-(('Raw Data'!E6 - MIN('Raw Data'!$E$3:$E$55)) / (MAX('Raw Data'!$E$3:$E$55) - MIN('Raw Data'!$E$3:$E$55))))</f>
        <v>0.14599713821696492</v>
      </c>
      <c r="K45">
        <f>SUM(B45:J45)</f>
        <v>1.3427410370142967</v>
      </c>
      <c r="L45">
        <f>100*((K45 - MIN($K$2:$K$54))/(MAX($K$2:$K$54) - MIN($K$2:$K$54)))</f>
        <v>15.619571759179207</v>
      </c>
    </row>
    <row r="46" spans="1:12">
      <c r="A46" t="str">
        <f>'Raw Data'!A52</f>
        <v>WA</v>
      </c>
      <c r="B46">
        <f>$O$2*(('Raw Data'!C52 - MIN('Raw Data'!$C$3:$C$55)) / (MAX('Raw Data'!$C$3:$C$55) - MIN('Raw Data'!$C$3:$C$55)))</f>
        <v>0.16114922095853676</v>
      </c>
      <c r="C46">
        <f>$O$3*IF('Raw Data'!I52="Yes",1,0)</f>
        <v>0</v>
      </c>
      <c r="D46">
        <f>$O$4*IF('Raw Data'!H52="State",1,0)</f>
        <v>0</v>
      </c>
      <c r="E46">
        <f>$O$5*IF('Raw Data'!H52="County",1,0)</f>
        <v>0</v>
      </c>
      <c r="F46">
        <f>$O$6*(1-((IF(ISNUMBER('Raw Data'!L52), 'Raw Data'!L52, 'Raw Data'!$L$56) - MIN('Raw Data'!$L$3:$L$55))/(MAX('Raw Data'!$L$3:$L$55) - MIN('Raw Data'!$L$3:$L$55))))</f>
        <v>0.10001773364071653</v>
      </c>
      <c r="G46">
        <f>$O$7*(('Raw Data'!P52 - MIN('Raw Data'!$P$3:$P$55)) / (MAX('Raw Data'!$P$3:$P$55) - MIN('Raw Data'!$P$3:$P$55)))</f>
        <v>0</v>
      </c>
      <c r="H46">
        <f>$O$8*((IF(ISNUMBER('Raw Data'!M52), 'Raw Data'!M52, 'Raw Data'!$M$56) - MIN('Raw Data'!$M$3:$M$55))/(MAX('Raw Data'!$M$3:$M$55) - MIN('Raw Data'!$M$3:$M$55)))</f>
        <v>0.47187969924812023</v>
      </c>
      <c r="I46">
        <f>$O$9*(1-((IF(ISNUMBER('Raw Data'!T52), 'Raw Data'!T52, 'Raw Data'!$T$56) - MIN('Raw Data'!T$3:T$55))/(MAX('Raw Data'!T$3:T$55) - MIN('Raw Data'!T$3:T$55))))</f>
        <v>0</v>
      </c>
      <c r="J46">
        <f>$O$10*(1-(('Raw Data'!E52 - MIN('Raw Data'!$E$3:$E$55)) / (MAX('Raw Data'!$E$3:$E$55) - MIN('Raw Data'!$E$3:$E$55))))</f>
        <v>0.58235330819956732</v>
      </c>
      <c r="K46">
        <f>SUM(B46:J46)</f>
        <v>1.315399962046941</v>
      </c>
      <c r="L46">
        <f>100*((K46 - MIN($K$2:$K$54))/(MAX($K$2:$K$54) - MIN($K$2:$K$54)))</f>
        <v>15.052454944088311</v>
      </c>
    </row>
    <row r="47" spans="1:12">
      <c r="A47" t="str">
        <f>'Raw Data'!A28</f>
        <v>MO</v>
      </c>
      <c r="B47">
        <f>$O$2*(('Raw Data'!C28 - MIN('Raw Data'!$C$3:$C$55)) / (MAX('Raw Data'!$C$3:$C$55) - MIN('Raw Data'!$C$3:$C$55)))</f>
        <v>0.1196604433405643</v>
      </c>
      <c r="C47">
        <f>$O$3*IF('Raw Data'!I28="Yes",1,0)</f>
        <v>0</v>
      </c>
      <c r="D47">
        <f>$O$4*IF('Raw Data'!H28="State",1,0)</f>
        <v>0</v>
      </c>
      <c r="E47">
        <f>$O$5*IF('Raw Data'!H28="County",1,0)</f>
        <v>0</v>
      </c>
      <c r="F47">
        <f>$O$6*(1-((IF(ISNUMBER('Raw Data'!L28), 'Raw Data'!L28, 'Raw Data'!$L$56) - MIN('Raw Data'!$L$3:$L$55))/(MAX('Raw Data'!$L$3:$L$55) - MIN('Raw Data'!$L$3:$L$55))))</f>
        <v>0.51019684341195282</v>
      </c>
      <c r="G47">
        <f>$O$7*(('Raw Data'!P28 - MIN('Raw Data'!$P$3:$P$55)) / (MAX('Raw Data'!$P$3:$P$55) - MIN('Raw Data'!$P$3:$P$55)))</f>
        <v>0</v>
      </c>
      <c r="H47">
        <f>$O$8*((IF(ISNUMBER('Raw Data'!M28), 'Raw Data'!M28, 'Raw Data'!$M$56) - MIN('Raw Data'!$M$3:$M$55))/(MAX('Raw Data'!$M$3:$M$55) - MIN('Raw Data'!$M$3:$M$55)))</f>
        <v>8.3609022556390952E-2</v>
      </c>
      <c r="I47">
        <f>$O$9*(1-((IF(ISNUMBER('Raw Data'!T28), 'Raw Data'!T28, 'Raw Data'!$T$56) - MIN('Raw Data'!T$3:T$55))/(MAX('Raw Data'!T$3:T$55) - MIN('Raw Data'!T$3:T$55))))</f>
        <v>0</v>
      </c>
      <c r="J47">
        <f>$O$10*(1-(('Raw Data'!E28 - MIN('Raw Data'!$E$3:$E$55)) / (MAX('Raw Data'!$E$3:$E$55) - MIN('Raw Data'!$E$3:$E$55))))</f>
        <v>0.50500116357667912</v>
      </c>
      <c r="K47">
        <f>SUM(B47:J47)</f>
        <v>1.2184674728855871</v>
      </c>
      <c r="L47">
        <f>100*((K47 - MIN($K$2:$K$54))/(MAX($K$2:$K$54) - MIN($K$2:$K$54)))</f>
        <v>13.041852047250693</v>
      </c>
    </row>
    <row r="48" spans="1:12">
      <c r="A48" t="str">
        <f>'Raw Data'!A34</f>
        <v>NH</v>
      </c>
      <c r="B48">
        <f>$O$2*(('Raw Data'!C34 - MIN('Raw Data'!$C$3:$C$55)) / (MAX('Raw Data'!$C$3:$C$55) - MIN('Raw Data'!$C$3:$C$55)))</f>
        <v>1.0614692982705079E-2</v>
      </c>
      <c r="C48">
        <f>$O$3*IF('Raw Data'!I34="Yes",1,0)</f>
        <v>0</v>
      </c>
      <c r="D48">
        <f>$O$4*IF('Raw Data'!H34="State",1,0)</f>
        <v>0</v>
      </c>
      <c r="E48">
        <f>$O$5*IF('Raw Data'!H34="County",1,0)</f>
        <v>0</v>
      </c>
      <c r="F48">
        <f>$O$6*(1-((IF(ISNUMBER('Raw Data'!L34), 'Raw Data'!L34, 'Raw Data'!$L$56) - MIN('Raw Data'!$L$3:$L$55))/(MAX('Raw Data'!$L$3:$L$55) - MIN('Raw Data'!$L$3:$L$55))))</f>
        <v>0.15853874800496581</v>
      </c>
      <c r="G48">
        <f>$O$7*(('Raw Data'!P34 - MIN('Raw Data'!$P$3:$P$55)) / (MAX('Raw Data'!$P$3:$P$55) - MIN('Raw Data'!$P$3:$P$55)))</f>
        <v>0</v>
      </c>
      <c r="H48">
        <f>$O$8*((IF(ISNUMBER('Raw Data'!M34), 'Raw Data'!M34, 'Raw Data'!$M$56) - MIN('Raw Data'!$M$3:$M$55))/(MAX('Raw Data'!$M$3:$M$55) - MIN('Raw Data'!$M$3:$M$55)))</f>
        <v>0.96721804511278187</v>
      </c>
      <c r="I48">
        <f>$O$9*(1-((IF(ISNUMBER('Raw Data'!T34), 'Raw Data'!T34, 'Raw Data'!$T$56) - MIN('Raw Data'!T$3:T$55))/(MAX('Raw Data'!T$3:T$55) - MIN('Raw Data'!T$3:T$55))))</f>
        <v>0</v>
      </c>
      <c r="J48">
        <f>$O$10*(1-(('Raw Data'!E34 - MIN('Raw Data'!$E$3:$E$55)) / (MAX('Raw Data'!$E$3:$E$55) - MIN('Raw Data'!$E$3:$E$55))))</f>
        <v>0</v>
      </c>
      <c r="K48">
        <f>SUM(B48:J48)</f>
        <v>1.1363714861004528</v>
      </c>
      <c r="L48">
        <f>100*((K48 - MIN($K$2:$K$54))/(MAX($K$2:$K$54) - MIN($K$2:$K$54)))</f>
        <v>11.3389923530756</v>
      </c>
    </row>
    <row r="49" spans="1:12">
      <c r="A49" t="str">
        <f>'Raw Data'!A9</f>
        <v>CT</v>
      </c>
      <c r="B49">
        <f>$O$2*(('Raw Data'!C9 - MIN('Raw Data'!$C$3:$C$55)) / (MAX('Raw Data'!$C$3:$C$55) - MIN('Raw Data'!$C$3:$C$55)))</f>
        <v>7.0387683664175749E-2</v>
      </c>
      <c r="C49">
        <f>$O$3*IF('Raw Data'!I9="Yes",1,0)</f>
        <v>0</v>
      </c>
      <c r="D49">
        <f>$O$4*IF('Raw Data'!H9="State",1,0)</f>
        <v>0</v>
      </c>
      <c r="E49">
        <f>$O$5*IF('Raw Data'!H9="County",1,0)</f>
        <v>0</v>
      </c>
      <c r="F49">
        <f>$O$6*(1-((IF(ISNUMBER('Raw Data'!L9), 'Raw Data'!L9, 'Raw Data'!$L$56) - MIN('Raw Data'!$L$3:$L$55))/(MAX('Raw Data'!$L$3:$L$55) - MIN('Raw Data'!$L$3:$L$55))))</f>
        <v>9.5761659868771276E-2</v>
      </c>
      <c r="G49">
        <f>$O$7*(('Raw Data'!P9 - MIN('Raw Data'!$P$3:$P$55)) / (MAX('Raw Data'!$P$3:$P$55) - MIN('Raw Data'!$P$3:$P$55)))</f>
        <v>0</v>
      </c>
      <c r="H49">
        <f>$O$8*((IF(ISNUMBER('Raw Data'!M9), 'Raw Data'!M9, 'Raw Data'!$M$56) - MIN('Raw Data'!$M$3:$M$55))/(MAX('Raw Data'!$M$3:$M$55) - MIN('Raw Data'!$M$3:$M$55)))</f>
        <v>0.61563909774436087</v>
      </c>
      <c r="I49">
        <f>$O$9*(1-((IF(ISNUMBER('Raw Data'!T9), 'Raw Data'!T9, 'Raw Data'!$T$56) - MIN('Raw Data'!T$3:T$55))/(MAX('Raw Data'!T$3:T$55) - MIN('Raw Data'!T$3:T$55))))</f>
        <v>0</v>
      </c>
      <c r="J49">
        <f>$O$10*(1-(('Raw Data'!E9 - MIN('Raw Data'!$E$3:$E$55)) / (MAX('Raw Data'!$E$3:$E$55) - MIN('Raw Data'!$E$3:$E$55))))</f>
        <v>0.3225703531952433</v>
      </c>
      <c r="K49">
        <f>SUM(B49:J49)</f>
        <v>1.1043587944725513</v>
      </c>
      <c r="L49">
        <f>100*((K49 - MIN($K$2:$K$54))/(MAX($K$2:$K$54) - MIN($K$2:$K$54)))</f>
        <v>10.674975457610483</v>
      </c>
    </row>
    <row r="50" spans="1:12">
      <c r="A50" t="str">
        <f>'Raw Data'!A40</f>
        <v>OK</v>
      </c>
      <c r="B50">
        <f>$O$2*(('Raw Data'!C40 - MIN('Raw Data'!$C$3:$C$55)) / (MAX('Raw Data'!$C$3:$C$55) - MIN('Raw Data'!$C$3:$C$55)))</f>
        <v>0.12590231039136915</v>
      </c>
      <c r="C50">
        <f>$O$3*IF('Raw Data'!I40="Yes",1,0)</f>
        <v>0</v>
      </c>
      <c r="D50">
        <f>$O$4*IF('Raw Data'!H40="State",1,0)</f>
        <v>0</v>
      </c>
      <c r="E50">
        <f>$O$5*IF('Raw Data'!H40="County",1,0)</f>
        <v>0</v>
      </c>
      <c r="F50">
        <f>$O$6*(1-((IF(ISNUMBER('Raw Data'!L40), 'Raw Data'!L40, 'Raw Data'!$L$56) - MIN('Raw Data'!$L$3:$L$55))/(MAX('Raw Data'!$L$3:$L$55) - MIN('Raw Data'!$L$3:$L$55))))</f>
        <v>0.21918779925518705</v>
      </c>
      <c r="G50">
        <f>$O$7*(('Raw Data'!P40 - MIN('Raw Data'!$P$3:$P$55)) / (MAX('Raw Data'!$P$3:$P$55) - MIN('Raw Data'!$P$3:$P$55)))</f>
        <v>0</v>
      </c>
      <c r="H50">
        <f>$O$8*((IF(ISNUMBER('Raw Data'!M40), 'Raw Data'!M40, 'Raw Data'!$M$56) - MIN('Raw Data'!$M$3:$M$55))/(MAX('Raw Data'!$M$3:$M$55) - MIN('Raw Data'!$M$3:$M$55)))</f>
        <v>0.37052631578947359</v>
      </c>
      <c r="I50">
        <f>$O$9*(1-((IF(ISNUMBER('Raw Data'!T40), 'Raw Data'!T40, 'Raw Data'!$T$56) - MIN('Raw Data'!T$3:T$55))/(MAX('Raw Data'!T$3:T$55) - MIN('Raw Data'!T$3:T$55))))</f>
        <v>0</v>
      </c>
      <c r="J50">
        <f>$O$10*(1-(('Raw Data'!E40 - MIN('Raw Data'!$E$3:$E$55)) / (MAX('Raw Data'!$E$3:$E$55) - MIN('Raw Data'!$E$3:$E$55))))</f>
        <v>0.37573330481819944</v>
      </c>
      <c r="K50">
        <f>SUM(B50:J50)</f>
        <v>1.0913497302542292</v>
      </c>
      <c r="L50">
        <f>100*((K50 - MIN($K$2:$K$54))/(MAX($K$2:$K$54) - MIN($K$2:$K$54)))</f>
        <v>10.40513752784304</v>
      </c>
    </row>
    <row r="51" spans="1:12">
      <c r="A51" t="str">
        <f>'Raw Data'!A23</f>
        <v>MA</v>
      </c>
      <c r="B51">
        <f>$O$2*(('Raw Data'!C23 - MIN('Raw Data'!$C$3:$C$55)) / (MAX('Raw Data'!$C$3:$C$55) - MIN('Raw Data'!$C$3:$C$55)))</f>
        <v>0.20413943701356024</v>
      </c>
      <c r="C51">
        <f>$O$3*IF('Raw Data'!I23="Yes",1,0)</f>
        <v>0</v>
      </c>
      <c r="D51">
        <f>$O$4*IF('Raw Data'!H23="State",1,0)</f>
        <v>0</v>
      </c>
      <c r="E51">
        <f>$O$5*IF('Raw Data'!H23="County",1,0)</f>
        <v>0</v>
      </c>
      <c r="F51">
        <f>$O$6*(1-((IF(ISNUMBER('Raw Data'!L23), 'Raw Data'!L23, 'Raw Data'!$L$56) - MIN('Raw Data'!$L$3:$L$55))/(MAX('Raw Data'!$L$3:$L$55) - MIN('Raw Data'!$L$3:$L$55))))</f>
        <v>0.22184784536265334</v>
      </c>
      <c r="G51">
        <f>$O$7*(('Raw Data'!P23 - MIN('Raw Data'!$P$3:$P$55)) / (MAX('Raw Data'!$P$3:$P$55) - MIN('Raw Data'!$P$3:$P$55)))</f>
        <v>0</v>
      </c>
      <c r="H51">
        <f>$O$8*((IF(ISNUMBER('Raw Data'!M23), 'Raw Data'!M23, 'Raw Data'!$M$56) - MIN('Raw Data'!$M$3:$M$55))/(MAX('Raw Data'!$M$3:$M$55) - MIN('Raw Data'!$M$3:$M$55)))</f>
        <v>0.28842105263157891</v>
      </c>
      <c r="I51">
        <f>$O$9*(1-((IF(ISNUMBER('Raw Data'!T23), 'Raw Data'!T23, 'Raw Data'!$T$56) - MIN('Raw Data'!T$3:T$55))/(MAX('Raw Data'!T$3:T$55) - MIN('Raw Data'!T$3:T$55))))</f>
        <v>0</v>
      </c>
      <c r="J51">
        <f>$O$10*(1-(('Raw Data'!E23 - MIN('Raw Data'!$E$3:$E$55)) / (MAX('Raw Data'!$E$3:$E$55) - MIN('Raw Data'!$E$3:$E$55))))</f>
        <v>0.23900738385263076</v>
      </c>
      <c r="K51">
        <f>SUM(B51:J51)</f>
        <v>0.95341571886042331</v>
      </c>
      <c r="L51">
        <f>100*((K51 - MIN($K$2:$K$54))/(MAX($K$2:$K$54) - MIN($K$2:$K$54)))</f>
        <v>7.5440687027231723</v>
      </c>
    </row>
    <row r="52" spans="1:12">
      <c r="A52" t="str">
        <f>'Raw Data'!A37</f>
        <v>NV</v>
      </c>
      <c r="B52">
        <f>$O$2*(('Raw Data'!C37 - MIN('Raw Data'!$C$3:$C$55)) / (MAX('Raw Data'!$C$3:$C$55) - MIN('Raw Data'!$C$3:$C$55)))</f>
        <v>9.1799452020376884E-2</v>
      </c>
      <c r="C52">
        <f>$O$3*IF('Raw Data'!I37="Yes",1,0)</f>
        <v>0</v>
      </c>
      <c r="D52">
        <f>$O$4*IF('Raw Data'!H37="State",1,0)</f>
        <v>0</v>
      </c>
      <c r="E52">
        <f>$O$5*IF('Raw Data'!H37="County",1,0)</f>
        <v>0</v>
      </c>
      <c r="F52">
        <f>$O$6*(1-((IF(ISNUMBER('Raw Data'!L37), 'Raw Data'!L37, 'Raw Data'!$L$56) - MIN('Raw Data'!$L$3:$L$55))/(MAX('Raw Data'!$L$3:$L$55) - MIN('Raw Data'!$L$3:$L$55))))</f>
        <v>0.20429154105337832</v>
      </c>
      <c r="G52">
        <f>$O$7*(('Raw Data'!P37 - MIN('Raw Data'!$P$3:$P$55)) / (MAX('Raw Data'!$P$3:$P$55) - MIN('Raw Data'!$P$3:$P$55)))</f>
        <v>0</v>
      </c>
      <c r="H52">
        <f>$O$8*((IF(ISNUMBER('Raw Data'!M37), 'Raw Data'!M37, 'Raw Data'!$M$56) - MIN('Raw Data'!$M$3:$M$55))/(MAX('Raw Data'!$M$3:$M$55) - MIN('Raw Data'!$M$3:$M$55)))</f>
        <v>0.44390977443609025</v>
      </c>
      <c r="I52">
        <f>$O$9*(1-((IF(ISNUMBER('Raw Data'!T37), 'Raw Data'!T37, 'Raw Data'!$T$56) - MIN('Raw Data'!T$3:T$55))/(MAX('Raw Data'!T$3:T$55) - MIN('Raw Data'!T$3:T$55))))</f>
        <v>0</v>
      </c>
      <c r="J52">
        <f>$O$10*(1-(('Raw Data'!E37 - MIN('Raw Data'!$E$3:$E$55)) / (MAX('Raw Data'!$E$3:$E$55) - MIN('Raw Data'!$E$3:$E$55))))</f>
        <v>0.12357092247369894</v>
      </c>
      <c r="K52">
        <f>SUM(B52:J52)</f>
        <v>0.86357168998354439</v>
      </c>
      <c r="L52">
        <f>100*((K52 - MIN($K$2:$K$54))/(MAX($K$2:$K$54) - MIN($K$2:$K$54)))</f>
        <v>5.680496784924582</v>
      </c>
    </row>
    <row r="53" spans="1:12">
      <c r="A53" t="str">
        <f>'Raw Data'!A33</f>
        <v>NE</v>
      </c>
      <c r="B53">
        <f>$O$2*(('Raw Data'!C33 - MIN('Raw Data'!$C$3:$C$55)) / (MAX('Raw Data'!$C$3:$C$55) - MIN('Raw Data'!$C$3:$C$55)))</f>
        <v>2.5040307643524915E-2</v>
      </c>
      <c r="C53">
        <f>$O$3*IF('Raw Data'!I33="Yes",1,0)</f>
        <v>0</v>
      </c>
      <c r="D53">
        <f>$O$4*IF('Raw Data'!H33="State",1,0)</f>
        <v>0</v>
      </c>
      <c r="E53">
        <f>$O$5*IF('Raw Data'!H33="County",1,0)</f>
        <v>0</v>
      </c>
      <c r="F53">
        <f>$O$6*(1-((IF(ISNUMBER('Raw Data'!L33), 'Raw Data'!L33, 'Raw Data'!$L$56) - MIN('Raw Data'!$L$3:$L$55))/(MAX('Raw Data'!$L$3:$L$55) - MIN('Raw Data'!$L$3:$L$55))))</f>
        <v>0.21705976236921476</v>
      </c>
      <c r="G53">
        <f>$O$7*(('Raw Data'!P33 - MIN('Raw Data'!$P$3:$P$55)) / (MAX('Raw Data'!$P$3:$P$55) - MIN('Raw Data'!$P$3:$P$55)))</f>
        <v>0</v>
      </c>
      <c r="H53">
        <f>$O$8*((IF(ISNUMBER('Raw Data'!M33), 'Raw Data'!M33, 'Raw Data'!$M$56) - MIN('Raw Data'!$M$3:$M$55))/(MAX('Raw Data'!$M$3:$M$55) - MIN('Raw Data'!$M$3:$M$55)))</f>
        <v>0</v>
      </c>
      <c r="I53">
        <f>$O$9*(1-((IF(ISNUMBER('Raw Data'!T33), 'Raw Data'!T33, 'Raw Data'!$T$56) - MIN('Raw Data'!T$3:T$55))/(MAX('Raw Data'!T$3:T$55) - MIN('Raw Data'!T$3:T$55))))</f>
        <v>0</v>
      </c>
      <c r="J53">
        <f>$O$10*(1-(('Raw Data'!E33 - MIN('Raw Data'!$E$3:$E$55)) / (MAX('Raw Data'!$E$3:$E$55) - MIN('Raw Data'!$E$3:$E$55))))</f>
        <v>0.44678278845456276</v>
      </c>
      <c r="K53">
        <f>SUM(B53:J53)</f>
        <v>0.68888285846730246</v>
      </c>
      <c r="L53">
        <f>100*((K53 - MIN($K$2:$K$54))/(MAX($K$2:$K$54) - MIN($K$2:$K$54)))</f>
        <v>2.057048406258922</v>
      </c>
    </row>
    <row r="54" spans="1:12">
      <c r="A54" t="str">
        <f>'Raw Data'!A49</f>
        <v>UT</v>
      </c>
      <c r="B54">
        <f>$O$2*(('Raw Data'!C49 - MIN('Raw Data'!$C$3:$C$55)) / (MAX('Raw Data'!$C$3:$C$55) - MIN('Raw Data'!$C$3:$C$55)))</f>
        <v>2.6467960673513195E-2</v>
      </c>
      <c r="C54">
        <f>$O$3*IF('Raw Data'!I49="Yes",1,0)</f>
        <v>0</v>
      </c>
      <c r="D54">
        <f>$O$4*IF('Raw Data'!H49="State",1,0)</f>
        <v>0</v>
      </c>
      <c r="E54">
        <f>$O$5*IF('Raw Data'!H49="County",1,0)</f>
        <v>0</v>
      </c>
      <c r="F54">
        <f>$O$6*(1-((IF(ISNUMBER('Raw Data'!L49), 'Raw Data'!L49, 'Raw Data'!$L$56) - MIN('Raw Data'!$L$3:$L$55))/(MAX('Raw Data'!$L$3:$L$55) - MIN('Raw Data'!$L$3:$L$55))))</f>
        <v>4.6284802269906167E-2</v>
      </c>
      <c r="G54">
        <f>$O$7*(('Raw Data'!P49 - MIN('Raw Data'!$P$3:$P$55)) / (MAX('Raw Data'!$P$3:$P$55) - MIN('Raw Data'!$P$3:$P$55)))</f>
        <v>0</v>
      </c>
      <c r="H54">
        <f>$O$8*((IF(ISNUMBER('Raw Data'!M49), 'Raw Data'!M49, 'Raw Data'!$M$56) - MIN('Raw Data'!$M$3:$M$55))/(MAX('Raw Data'!$M$3:$M$55) - MIN('Raw Data'!$M$3:$M$55)))</f>
        <v>0.31939849624060146</v>
      </c>
      <c r="I54">
        <f>$O$9*(1-((IF(ISNUMBER('Raw Data'!T49), 'Raw Data'!T49, 'Raw Data'!$T$56) - MIN('Raw Data'!T$3:T$55))/(MAX('Raw Data'!T$3:T$55) - MIN('Raw Data'!T$3:T$55))))</f>
        <v>0</v>
      </c>
      <c r="J54">
        <f>$O$10*(1-(('Raw Data'!E49 - MIN('Raw Data'!$E$3:$E$55)) / (MAX('Raw Data'!$E$3:$E$55) - MIN('Raw Data'!$E$3:$E$55))))</f>
        <v>0.19755994153938206</v>
      </c>
      <c r="K54">
        <f>SUM(B54:J54)</f>
        <v>0.58971120072340288</v>
      </c>
      <c r="L54">
        <f>100*((K54 - MIN($K$2:$K$54))/(MAX($K$2:$K$54) - MIN($K$2:$K$54)))</f>
        <v>0</v>
      </c>
    </row>
  </sheetData>
  <sortState ref="A2:L54">
    <sortCondition descending="1" ref="L2:L54"/>
  </sortState>
  <mergeCells count="1">
    <mergeCell ref="N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7590E-5CA2-4D7B-9094-00684EB7E470}">
  <dimension ref="A1:H56"/>
  <sheetViews>
    <sheetView topLeftCell="A30" workbookViewId="0" xr3:uid="{470B4DD3-738B-5EC2-A19E-A11349DA53CE}">
      <selection activeCell="H36" sqref="H36"/>
    </sheetView>
  </sheetViews>
  <sheetFormatPr defaultRowHeight="15"/>
  <cols>
    <col min="1" max="1" width="12.7109375" bestFit="1" customWidth="1"/>
    <col min="2" max="2" width="18.85546875" bestFit="1" customWidth="1"/>
    <col min="3" max="4" width="29.85546875" style="2" bestFit="1" customWidth="1"/>
    <col min="5" max="5" width="24" style="2" bestFit="1" customWidth="1"/>
    <col min="6" max="6" width="24.5703125" style="2" bestFit="1" customWidth="1"/>
    <col min="7" max="7" width="24" bestFit="1" customWidth="1"/>
    <col min="8" max="8" width="24.5703125" bestFit="1" customWidth="1"/>
  </cols>
  <sheetData>
    <row r="1" spans="1:8">
      <c r="C1" s="18" t="s">
        <v>0</v>
      </c>
      <c r="D1" s="18"/>
      <c r="E1" s="18"/>
      <c r="F1" s="18"/>
      <c r="G1" s="18"/>
    </row>
    <row r="2" spans="1:8">
      <c r="A2" s="4" t="s">
        <v>11</v>
      </c>
      <c r="B2" s="4" t="s">
        <v>12</v>
      </c>
      <c r="C2" s="4" t="s">
        <v>13</v>
      </c>
      <c r="D2" s="4" t="s">
        <v>212</v>
      </c>
      <c r="E2" s="4" t="s">
        <v>213</v>
      </c>
      <c r="F2" s="4" t="s">
        <v>214</v>
      </c>
      <c r="G2" s="4" t="s">
        <v>215</v>
      </c>
      <c r="H2" s="4" t="s">
        <v>216</v>
      </c>
    </row>
    <row r="3" spans="1:8">
      <c r="A3" t="s">
        <v>45</v>
      </c>
      <c r="B3" t="s">
        <v>46</v>
      </c>
      <c r="C3" s="5">
        <v>50774</v>
      </c>
      <c r="D3" s="5">
        <v>47640</v>
      </c>
      <c r="E3" s="14">
        <f>D3-C3</f>
        <v>-3134</v>
      </c>
      <c r="F3" s="1">
        <f>E3/C3</f>
        <v>-6.1724504667743332E-2</v>
      </c>
      <c r="G3" s="14">
        <f>D3 - 'Raw Data'!D3</f>
        <v>-11742</v>
      </c>
      <c r="H3" s="1">
        <f>G3/'Raw Data'!D3</f>
        <v>-0.19773668788521775</v>
      </c>
    </row>
    <row r="4" spans="1:8">
      <c r="A4" t="s">
        <v>53</v>
      </c>
      <c r="B4" t="s">
        <v>54</v>
      </c>
      <c r="C4" s="5">
        <v>756623</v>
      </c>
      <c r="D4" s="5">
        <v>753477</v>
      </c>
      <c r="E4" s="14">
        <f t="shared" ref="E4:E55" si="0">D4-C4</f>
        <v>-3146</v>
      </c>
      <c r="F4" s="1">
        <f t="shared" ref="F4:F55" si="1">E4/C4</f>
        <v>-4.1579492032359578E-3</v>
      </c>
      <c r="G4" s="14">
        <f>D4 - 'Raw Data'!D4</f>
        <v>-22402</v>
      </c>
      <c r="H4" s="1">
        <f>G4/'Raw Data'!D4</f>
        <v>-2.8873058814583203E-2</v>
      </c>
    </row>
    <row r="5" spans="1:8">
      <c r="A5" t="s">
        <v>57</v>
      </c>
      <c r="B5" t="s">
        <v>58</v>
      </c>
      <c r="C5" s="5">
        <v>246383</v>
      </c>
      <c r="D5" s="5">
        <v>247060</v>
      </c>
      <c r="E5" s="14">
        <f t="shared" si="0"/>
        <v>677</v>
      </c>
      <c r="F5" s="1">
        <f t="shared" si="1"/>
        <v>2.7477545122837209E-3</v>
      </c>
      <c r="G5" s="14">
        <f>D5 - 'Raw Data'!D5</f>
        <v>13867</v>
      </c>
      <c r="H5" s="1">
        <f>G5/'Raw Data'!D5</f>
        <v>5.9465764409737859E-2</v>
      </c>
    </row>
    <row r="6" spans="1:8">
      <c r="A6" t="s">
        <v>60</v>
      </c>
      <c r="B6" t="s">
        <v>61</v>
      </c>
      <c r="C6" s="5">
        <v>927411</v>
      </c>
      <c r="D6" s="5">
        <v>918161</v>
      </c>
      <c r="E6" s="14">
        <f t="shared" si="0"/>
        <v>-9250</v>
      </c>
      <c r="F6" s="1">
        <f t="shared" si="1"/>
        <v>-9.9740028962347869E-3</v>
      </c>
      <c r="G6" s="14">
        <f>D6 - 'Raw Data'!D6</f>
        <v>42782</v>
      </c>
      <c r="H6" s="1">
        <f>G6/'Raw Data'!D6</f>
        <v>4.8872545491724158E-2</v>
      </c>
    </row>
    <row r="7" spans="1:8">
      <c r="A7" t="s">
        <v>62</v>
      </c>
      <c r="B7" t="s">
        <v>63</v>
      </c>
      <c r="C7" s="5">
        <v>5307404</v>
      </c>
      <c r="D7" s="5">
        <v>5302750</v>
      </c>
      <c r="E7" s="14">
        <f t="shared" si="0"/>
        <v>-4654</v>
      </c>
      <c r="F7" s="1">
        <f t="shared" si="1"/>
        <v>-8.7688821126109861E-4</v>
      </c>
      <c r="G7" s="14">
        <f>D7 - 'Raw Data'!D7</f>
        <v>250019</v>
      </c>
      <c r="H7" s="1">
        <f>G7/'Raw Data'!D7</f>
        <v>4.9481953422812336E-2</v>
      </c>
    </row>
    <row r="8" spans="1:8">
      <c r="A8" t="s">
        <v>65</v>
      </c>
      <c r="B8" t="s">
        <v>66</v>
      </c>
      <c r="C8" s="5">
        <v>572223</v>
      </c>
      <c r="D8" s="5">
        <v>572131</v>
      </c>
      <c r="E8" s="14">
        <f t="shared" si="0"/>
        <v>-92</v>
      </c>
      <c r="F8" s="1">
        <f t="shared" si="1"/>
        <v>-1.6077648049798768E-4</v>
      </c>
      <c r="G8" s="14">
        <f>D8 - 'Raw Data'!D8</f>
        <v>19669</v>
      </c>
      <c r="H8" s="1">
        <f>G8/'Raw Data'!D8</f>
        <v>3.5602448675202999E-2</v>
      </c>
    </row>
    <row r="9" spans="1:8">
      <c r="A9" t="s">
        <v>69</v>
      </c>
      <c r="B9" t="s">
        <v>70</v>
      </c>
      <c r="C9" s="5">
        <v>393847</v>
      </c>
      <c r="D9" s="5">
        <v>392246</v>
      </c>
      <c r="E9" s="14">
        <f t="shared" si="0"/>
        <v>-1601</v>
      </c>
      <c r="F9" s="1">
        <f t="shared" si="1"/>
        <v>-4.0650303290364021E-3</v>
      </c>
      <c r="G9" s="14">
        <f>D9 - 'Raw Data'!D9</f>
        <v>4719</v>
      </c>
      <c r="H9" s="1">
        <f>G9/'Raw Data'!D9</f>
        <v>1.2177216039140499E-2</v>
      </c>
    </row>
    <row r="10" spans="1:8">
      <c r="A10" t="s">
        <v>72</v>
      </c>
      <c r="B10" t="s">
        <v>73</v>
      </c>
      <c r="C10" s="5">
        <v>138419</v>
      </c>
      <c r="D10" s="5">
        <v>136642</v>
      </c>
      <c r="E10" s="14">
        <f t="shared" si="0"/>
        <v>-1777</v>
      </c>
      <c r="F10" s="1">
        <f t="shared" si="1"/>
        <v>-1.283783295645829E-2</v>
      </c>
      <c r="G10" s="14">
        <f>D10 - 'Raw Data'!D10</f>
        <v>-1756</v>
      </c>
      <c r="H10" s="1">
        <f>G10/'Raw Data'!D10</f>
        <v>-1.2688044624922325E-2</v>
      </c>
    </row>
    <row r="11" spans="1:8">
      <c r="A11" t="s">
        <v>75</v>
      </c>
      <c r="B11" t="s">
        <v>76</v>
      </c>
      <c r="C11" s="5">
        <v>118512</v>
      </c>
      <c r="D11" s="5">
        <v>119855</v>
      </c>
      <c r="E11" s="14">
        <f t="shared" si="0"/>
        <v>1343</v>
      </c>
      <c r="F11" s="1">
        <f t="shared" si="1"/>
        <v>1.1332185770217362E-2</v>
      </c>
      <c r="G11" s="14">
        <f>D11 - 'Raw Data'!D11</f>
        <v>-1193</v>
      </c>
      <c r="H11" s="1">
        <f>G11/'Raw Data'!D11</f>
        <v>-9.8555944749190404E-3</v>
      </c>
    </row>
    <row r="12" spans="1:8">
      <c r="A12" t="s">
        <v>77</v>
      </c>
      <c r="B12" t="s">
        <v>78</v>
      </c>
      <c r="C12" s="5">
        <v>3112411</v>
      </c>
      <c r="D12" s="5">
        <v>3053347</v>
      </c>
      <c r="E12" s="14">
        <f t="shared" si="0"/>
        <v>-59064</v>
      </c>
      <c r="F12" s="1">
        <f t="shared" si="1"/>
        <v>-1.897692817561691E-2</v>
      </c>
      <c r="G12" s="14">
        <f>D12 - 'Raw Data'!D12</f>
        <v>-330825</v>
      </c>
      <c r="H12" s="1">
        <f>G12/'Raw Data'!D12</f>
        <v>-9.7756556108850257E-2</v>
      </c>
    </row>
    <row r="13" spans="1:8">
      <c r="A13" t="s">
        <v>79</v>
      </c>
      <c r="B13" t="s">
        <v>80</v>
      </c>
      <c r="C13" s="5">
        <v>1433957</v>
      </c>
      <c r="D13" s="5">
        <v>1395777</v>
      </c>
      <c r="E13" s="14">
        <f t="shared" si="0"/>
        <v>-38180</v>
      </c>
      <c r="F13" s="1">
        <f t="shared" si="1"/>
        <v>-2.6625624059856745E-2</v>
      </c>
      <c r="G13" s="14">
        <f>D13 - 'Raw Data'!D13</f>
        <v>-183296</v>
      </c>
      <c r="H13" s="1">
        <f>G13/'Raw Data'!D13</f>
        <v>-0.11607823070877661</v>
      </c>
    </row>
    <row r="14" spans="1:8">
      <c r="A14" t="s">
        <v>81</v>
      </c>
      <c r="B14" t="s">
        <v>82</v>
      </c>
      <c r="C14" s="5">
        <v>32131</v>
      </c>
      <c r="D14" s="5">
        <v>31745</v>
      </c>
      <c r="E14" s="14">
        <f t="shared" si="0"/>
        <v>-386</v>
      </c>
      <c r="F14" s="1">
        <f t="shared" si="1"/>
        <v>-1.2013320469328686E-2</v>
      </c>
      <c r="G14" s="14">
        <f>D14 - 'Raw Data'!D14</f>
        <v>-4086</v>
      </c>
      <c r="H14" s="1">
        <f>G14/'Raw Data'!D14</f>
        <v>-0.11403533253328124</v>
      </c>
    </row>
    <row r="15" spans="1:8">
      <c r="A15" t="s">
        <v>83</v>
      </c>
      <c r="B15" t="s">
        <v>84</v>
      </c>
      <c r="C15" s="5">
        <v>172031</v>
      </c>
      <c r="D15" s="5">
        <v>175060</v>
      </c>
      <c r="E15" s="14">
        <f t="shared" si="0"/>
        <v>3029</v>
      </c>
      <c r="F15" s="1">
        <f t="shared" si="1"/>
        <v>1.7607291709052439E-2</v>
      </c>
      <c r="G15" s="14">
        <f>D15 - 'Raw Data'!D15</f>
        <v>16568</v>
      </c>
      <c r="H15" s="1">
        <f>G15/'Raw Data'!D15</f>
        <v>0.10453524468111955</v>
      </c>
    </row>
    <row r="16" spans="1:8">
      <c r="A16" t="s">
        <v>85</v>
      </c>
      <c r="B16" t="s">
        <v>86</v>
      </c>
      <c r="C16" s="5">
        <v>259949</v>
      </c>
      <c r="D16" s="5">
        <v>259583</v>
      </c>
      <c r="E16" s="14">
        <f t="shared" si="0"/>
        <v>-366</v>
      </c>
      <c r="F16" s="1">
        <f t="shared" si="1"/>
        <v>-1.4079684861261247E-3</v>
      </c>
      <c r="G16" s="14">
        <f>D16 - 'Raw Data'!D16</f>
        <v>-8099</v>
      </c>
      <c r="H16" s="1">
        <f>G16/'Raw Data'!D16</f>
        <v>-3.0256050089285048E-2</v>
      </c>
    </row>
    <row r="17" spans="1:8">
      <c r="A17" t="s">
        <v>88</v>
      </c>
      <c r="B17" t="s">
        <v>89</v>
      </c>
      <c r="C17" s="5">
        <v>125435</v>
      </c>
      <c r="D17" s="5">
        <v>126574</v>
      </c>
      <c r="E17" s="14">
        <f t="shared" si="0"/>
        <v>1139</v>
      </c>
      <c r="F17" s="1">
        <f t="shared" si="1"/>
        <v>9.0804002072786705E-3</v>
      </c>
      <c r="G17" s="14">
        <f>D17 - 'Raw Data'!D17</f>
        <v>4402</v>
      </c>
      <c r="H17" s="1">
        <f>G17/'Raw Data'!D17</f>
        <v>3.6031169171332221E-2</v>
      </c>
    </row>
    <row r="18" spans="1:8">
      <c r="A18" t="s">
        <v>90</v>
      </c>
      <c r="B18" t="s">
        <v>91</v>
      </c>
      <c r="C18" s="5">
        <v>1939888</v>
      </c>
      <c r="D18" s="5">
        <v>1919522</v>
      </c>
      <c r="E18" s="14">
        <f t="shared" si="0"/>
        <v>-20366</v>
      </c>
      <c r="F18" s="1">
        <f t="shared" si="1"/>
        <v>-1.0498544245853369E-2</v>
      </c>
      <c r="G18" s="14">
        <f>D18 - 'Raw Data'!D18</f>
        <v>-113135</v>
      </c>
      <c r="H18" s="1">
        <f>G18/'Raw Data'!D18</f>
        <v>-5.5658677287904454E-2</v>
      </c>
    </row>
    <row r="19" spans="1:8">
      <c r="A19" t="s">
        <v>92</v>
      </c>
      <c r="B19" t="s">
        <v>93</v>
      </c>
      <c r="C19" s="5">
        <v>613137</v>
      </c>
      <c r="D19" s="5">
        <v>614140</v>
      </c>
      <c r="E19" s="14">
        <f t="shared" si="0"/>
        <v>1003</v>
      </c>
      <c r="F19" s="1">
        <f t="shared" si="1"/>
        <v>1.635849736682014E-3</v>
      </c>
      <c r="G19" s="14">
        <f>D19 - 'Raw Data'!D19</f>
        <v>14208</v>
      </c>
      <c r="H19" s="1">
        <f>G19/'Raw Data'!D19</f>
        <v>2.3682684037524254E-2</v>
      </c>
    </row>
    <row r="20" spans="1:8">
      <c r="A20" t="s">
        <v>94</v>
      </c>
      <c r="B20" t="s">
        <v>95</v>
      </c>
      <c r="C20" s="5">
        <v>186878</v>
      </c>
      <c r="D20" s="5">
        <v>186894</v>
      </c>
      <c r="E20" s="14">
        <f t="shared" si="0"/>
        <v>16</v>
      </c>
      <c r="F20" s="1">
        <f t="shared" si="1"/>
        <v>8.5617354637785084E-5</v>
      </c>
      <c r="G20" s="14">
        <f>D20 - 'Raw Data'!D20</f>
        <v>-4546</v>
      </c>
      <c r="H20" s="1">
        <f>G20/'Raw Data'!D20</f>
        <v>-2.3746343501880485E-2</v>
      </c>
    </row>
    <row r="21" spans="1:8">
      <c r="A21" t="s">
        <v>96</v>
      </c>
      <c r="B21" t="s">
        <v>97</v>
      </c>
      <c r="C21" s="5">
        <v>561185</v>
      </c>
      <c r="D21" s="5">
        <v>566054</v>
      </c>
      <c r="E21" s="14">
        <f t="shared" si="0"/>
        <v>4869</v>
      </c>
      <c r="F21" s="1">
        <f t="shared" si="1"/>
        <v>8.6762832221103561E-3</v>
      </c>
      <c r="G21" s="14">
        <f>D21 - 'Raw Data'!D21</f>
        <v>17053</v>
      </c>
      <c r="H21" s="1">
        <f>G21/'Raw Data'!D21</f>
        <v>3.1061874204236423E-2</v>
      </c>
    </row>
    <row r="22" spans="1:8">
      <c r="A22" t="s">
        <v>98</v>
      </c>
      <c r="B22" t="s">
        <v>99</v>
      </c>
      <c r="C22" s="5">
        <v>861619</v>
      </c>
      <c r="D22" s="5">
        <v>896570</v>
      </c>
      <c r="E22" s="14">
        <f t="shared" si="0"/>
        <v>34951</v>
      </c>
      <c r="F22" s="1">
        <f t="shared" si="1"/>
        <v>4.0564332959231397E-2</v>
      </c>
      <c r="G22" s="14">
        <f>D22 - 'Raw Data'!D22</f>
        <v>23887</v>
      </c>
      <c r="H22" s="1">
        <f>G22/'Raw Data'!D22</f>
        <v>2.7371909387486636E-2</v>
      </c>
    </row>
    <row r="23" spans="1:8">
      <c r="A23" t="s">
        <v>100</v>
      </c>
      <c r="B23" t="s">
        <v>101</v>
      </c>
      <c r="C23" s="5">
        <v>1100805</v>
      </c>
      <c r="D23" s="5">
        <v>1093974</v>
      </c>
      <c r="E23" s="14">
        <f t="shared" si="0"/>
        <v>-6831</v>
      </c>
      <c r="F23" s="1">
        <f t="shared" si="1"/>
        <v>-6.2054587324730541E-3</v>
      </c>
      <c r="G23" s="14">
        <f>D23 - 'Raw Data'!D23</f>
        <v>32159</v>
      </c>
      <c r="H23" s="1">
        <f>G23/'Raw Data'!D23</f>
        <v>3.0286820208793433E-2</v>
      </c>
    </row>
    <row r="24" spans="1:8">
      <c r="A24" t="s">
        <v>102</v>
      </c>
      <c r="B24" t="s">
        <v>103</v>
      </c>
      <c r="C24" s="5">
        <v>682038</v>
      </c>
      <c r="D24" s="5">
        <v>712697</v>
      </c>
      <c r="E24" s="14">
        <f t="shared" si="0"/>
        <v>30659</v>
      </c>
      <c r="F24" s="1">
        <f t="shared" si="1"/>
        <v>4.4952040795380906E-2</v>
      </c>
      <c r="G24" s="14">
        <f>D24 - 'Raw Data'!D24</f>
        <v>67230</v>
      </c>
      <c r="H24" s="1">
        <f>G24/'Raw Data'!D24</f>
        <v>0.10415714513677694</v>
      </c>
    </row>
    <row r="25" spans="1:8">
      <c r="A25" t="s">
        <v>104</v>
      </c>
      <c r="B25" t="s">
        <v>105</v>
      </c>
      <c r="C25" s="5">
        <v>168704</v>
      </c>
      <c r="D25" s="5">
        <v>169391</v>
      </c>
      <c r="E25" s="14">
        <f t="shared" si="0"/>
        <v>687</v>
      </c>
      <c r="F25" s="1">
        <f t="shared" si="1"/>
        <v>4.0722211684370256E-3</v>
      </c>
      <c r="G25" s="14">
        <f>D25 - 'Raw Data'!D25</f>
        <v>1598</v>
      </c>
      <c r="H25" s="1">
        <f>G25/'Raw Data'!D25</f>
        <v>9.5236392459756968E-3</v>
      </c>
    </row>
    <row r="26" spans="1:8">
      <c r="A26" t="s">
        <v>106</v>
      </c>
      <c r="B26" t="s">
        <v>107</v>
      </c>
      <c r="C26" s="5">
        <v>1478749</v>
      </c>
      <c r="D26" s="5">
        <v>1480217</v>
      </c>
      <c r="E26" s="14">
        <f t="shared" si="0"/>
        <v>1468</v>
      </c>
      <c r="F26" s="1">
        <f t="shared" si="1"/>
        <v>9.9273101790770435E-4</v>
      </c>
      <c r="G26" s="14">
        <f>D26 - 'Raw Data'!D26</f>
        <v>74182</v>
      </c>
      <c r="H26" s="1">
        <f>G26/'Raw Data'!D26</f>
        <v>5.2759710818009509E-2</v>
      </c>
    </row>
    <row r="27" spans="1:8">
      <c r="A27" t="s">
        <v>108</v>
      </c>
      <c r="B27" t="s">
        <v>109</v>
      </c>
      <c r="C27" s="5">
        <v>456032</v>
      </c>
      <c r="D27" s="5">
        <v>454998</v>
      </c>
      <c r="E27" s="14">
        <f t="shared" si="0"/>
        <v>-1034</v>
      </c>
      <c r="F27" s="1">
        <f t="shared" si="1"/>
        <v>-2.2673847449301804E-3</v>
      </c>
      <c r="G27" s="14">
        <f>D27 - 'Raw Data'!D27</f>
        <v>494</v>
      </c>
      <c r="H27" s="1">
        <f>G27/'Raw Data'!D27</f>
        <v>1.0868991252002184E-3</v>
      </c>
    </row>
    <row r="28" spans="1:8">
      <c r="A28" t="s">
        <v>110</v>
      </c>
      <c r="B28" t="s">
        <v>111</v>
      </c>
      <c r="C28" s="5">
        <v>654283</v>
      </c>
      <c r="D28" s="5">
        <v>650568</v>
      </c>
      <c r="E28" s="14">
        <f t="shared" si="0"/>
        <v>-3715</v>
      </c>
      <c r="F28" s="1">
        <f t="shared" si="1"/>
        <v>-5.6779711531554393E-3</v>
      </c>
      <c r="G28" s="14">
        <f>D28 - 'Raw Data'!D28</f>
        <v>-22738</v>
      </c>
      <c r="H28" s="1">
        <f>G28/'Raw Data'!D28</f>
        <v>-3.3770677819594655E-2</v>
      </c>
    </row>
    <row r="29" spans="1:8">
      <c r="A29" t="s">
        <v>112</v>
      </c>
      <c r="B29" t="s">
        <v>113</v>
      </c>
      <c r="C29" s="5">
        <v>401539</v>
      </c>
      <c r="D29" s="5">
        <v>401111</v>
      </c>
      <c r="E29" s="14">
        <f t="shared" si="0"/>
        <v>-428</v>
      </c>
      <c r="F29" s="1">
        <f t="shared" si="1"/>
        <v>-1.0658989537753493E-3</v>
      </c>
      <c r="G29" s="14">
        <f>D29 - 'Raw Data'!D29</f>
        <v>-39924</v>
      </c>
      <c r="H29" s="1">
        <f>G29/'Raw Data'!D29</f>
        <v>-9.0523427845862578E-2</v>
      </c>
    </row>
    <row r="30" spans="1:8">
      <c r="A30" t="s">
        <v>114</v>
      </c>
      <c r="B30" t="s">
        <v>115</v>
      </c>
      <c r="C30" s="5">
        <v>81182</v>
      </c>
      <c r="D30" s="5">
        <v>81260</v>
      </c>
      <c r="E30" s="14">
        <f t="shared" si="0"/>
        <v>78</v>
      </c>
      <c r="F30" s="1">
        <f t="shared" si="1"/>
        <v>9.6080411913971079E-4</v>
      </c>
      <c r="G30" s="14">
        <f>D30 - 'Raw Data'!D30</f>
        <v>-4148</v>
      </c>
      <c r="H30" s="1">
        <f>G30/'Raw Data'!D30</f>
        <v>-4.8566878980891723E-2</v>
      </c>
    </row>
    <row r="31" spans="1:8">
      <c r="A31" t="s">
        <v>116</v>
      </c>
      <c r="B31" t="s">
        <v>117</v>
      </c>
      <c r="C31" s="5">
        <v>1476280</v>
      </c>
      <c r="D31" s="5">
        <v>1460067</v>
      </c>
      <c r="E31" s="14">
        <f t="shared" si="0"/>
        <v>-16213</v>
      </c>
      <c r="F31" s="1">
        <f t="shared" si="1"/>
        <v>-1.0982333974584767E-2</v>
      </c>
      <c r="G31" s="14">
        <f>D31 - 'Raw Data'!D31</f>
        <v>-114361</v>
      </c>
      <c r="H31" s="1">
        <f>G31/'Raw Data'!D31</f>
        <v>-7.2636538476195806E-2</v>
      </c>
    </row>
    <row r="32" spans="1:8">
      <c r="A32" t="s">
        <v>118</v>
      </c>
      <c r="B32" t="s">
        <v>119</v>
      </c>
      <c r="C32" s="5">
        <v>45952</v>
      </c>
      <c r="D32" s="5">
        <v>45877</v>
      </c>
      <c r="E32" s="14">
        <f t="shared" si="0"/>
        <v>-75</v>
      </c>
      <c r="F32" s="1">
        <f t="shared" si="1"/>
        <v>-1.6321378830083566E-3</v>
      </c>
      <c r="G32" s="14">
        <f>D32 - 'Raw Data'!D32</f>
        <v>541</v>
      </c>
      <c r="H32" s="1">
        <f>G32/'Raw Data'!D32</f>
        <v>1.1933121581083466E-2</v>
      </c>
    </row>
    <row r="33" spans="1:8">
      <c r="A33" t="s">
        <v>120</v>
      </c>
      <c r="B33" t="s">
        <v>121</v>
      </c>
      <c r="C33" s="5">
        <v>154159</v>
      </c>
      <c r="D33" s="5">
        <v>154418</v>
      </c>
      <c r="E33" s="14">
        <f t="shared" si="0"/>
        <v>259</v>
      </c>
      <c r="F33" s="1">
        <f t="shared" si="1"/>
        <v>1.68008355010087E-3</v>
      </c>
      <c r="G33" s="14">
        <f>D33 - 'Raw Data'!D33</f>
        <v>-1935</v>
      </c>
      <c r="H33" s="1">
        <f>G33/'Raw Data'!D33</f>
        <v>-1.2375841845055739E-2</v>
      </c>
    </row>
    <row r="34" spans="1:8">
      <c r="A34" t="s">
        <v>122</v>
      </c>
      <c r="B34" t="s">
        <v>123</v>
      </c>
      <c r="C34" s="5">
        <v>77911</v>
      </c>
      <c r="D34" s="5">
        <v>77451</v>
      </c>
      <c r="E34" s="14">
        <f t="shared" si="0"/>
        <v>-460</v>
      </c>
      <c r="F34" s="1">
        <f t="shared" si="1"/>
        <v>-5.9041727098869219E-3</v>
      </c>
      <c r="G34" s="14">
        <f>D34 - 'Raw Data'!D34</f>
        <v>6306</v>
      </c>
      <c r="H34" s="1">
        <f>G34/'Raw Data'!D34</f>
        <v>8.8635884461311404E-2</v>
      </c>
    </row>
    <row r="35" spans="1:8">
      <c r="A35" t="s">
        <v>124</v>
      </c>
      <c r="B35" t="s">
        <v>125</v>
      </c>
      <c r="C35" s="5">
        <v>798380</v>
      </c>
      <c r="D35" s="5">
        <v>801868</v>
      </c>
      <c r="E35" s="14">
        <f t="shared" si="0"/>
        <v>3488</v>
      </c>
      <c r="F35" s="1">
        <f t="shared" si="1"/>
        <v>4.3688469150028808E-3</v>
      </c>
      <c r="G35" s="14">
        <f>D35 - 'Raw Data'!D35</f>
        <v>22985</v>
      </c>
      <c r="H35" s="1">
        <f>G35/'Raw Data'!D35</f>
        <v>2.9510208850366485E-2</v>
      </c>
    </row>
    <row r="36" spans="1:8">
      <c r="A36" t="s">
        <v>126</v>
      </c>
      <c r="B36" t="s">
        <v>127</v>
      </c>
      <c r="C36" s="5">
        <v>448453</v>
      </c>
      <c r="D36" s="5">
        <v>420955</v>
      </c>
      <c r="E36" s="14">
        <f t="shared" si="0"/>
        <v>-27498</v>
      </c>
      <c r="F36" s="1">
        <f t="shared" si="1"/>
        <v>-6.1317462476558303E-2</v>
      </c>
      <c r="G36" s="14">
        <f>D36 - 'Raw Data'!D36</f>
        <v>-92173</v>
      </c>
      <c r="H36" s="1">
        <f>G36/'Raw Data'!D36</f>
        <v>-0.17962964406541837</v>
      </c>
    </row>
    <row r="37" spans="1:8">
      <c r="A37" t="s">
        <v>128</v>
      </c>
      <c r="B37" t="s">
        <v>129</v>
      </c>
      <c r="C37" s="5">
        <v>507021</v>
      </c>
      <c r="D37" s="5">
        <v>504365</v>
      </c>
      <c r="E37" s="14">
        <f t="shared" si="0"/>
        <v>-2656</v>
      </c>
      <c r="F37" s="1">
        <f t="shared" si="1"/>
        <v>-5.2384418002410157E-3</v>
      </c>
      <c r="G37" s="14">
        <f>D37 - 'Raw Data'!D37</f>
        <v>28252</v>
      </c>
      <c r="H37" s="1">
        <f>G37/'Raw Data'!D37</f>
        <v>5.9338854431616024E-2</v>
      </c>
    </row>
    <row r="38" spans="1:8">
      <c r="A38" t="s">
        <v>130</v>
      </c>
      <c r="B38" t="s">
        <v>131</v>
      </c>
      <c r="C38" s="5">
        <v>2848939</v>
      </c>
      <c r="D38" s="5">
        <v>2837232</v>
      </c>
      <c r="E38" s="14">
        <f t="shared" si="0"/>
        <v>-11707</v>
      </c>
      <c r="F38" s="1">
        <f t="shared" si="1"/>
        <v>-4.1092490923814095E-3</v>
      </c>
      <c r="G38" s="14">
        <f>D38 - 'Raw Data'!D38</f>
        <v>7109</v>
      </c>
      <c r="H38" s="1">
        <f>G38/'Raw Data'!D38</f>
        <v>2.5119049596077627E-3</v>
      </c>
    </row>
    <row r="39" spans="1:8">
      <c r="A39" t="s">
        <v>133</v>
      </c>
      <c r="B39" t="s">
        <v>134</v>
      </c>
      <c r="C39" s="5">
        <v>1376833</v>
      </c>
      <c r="D39" s="5">
        <v>1374119</v>
      </c>
      <c r="E39" s="14">
        <f t="shared" si="0"/>
        <v>-2714</v>
      </c>
      <c r="F39" s="1">
        <f t="shared" si="1"/>
        <v>-1.9711904058081118E-3</v>
      </c>
      <c r="G39" s="14">
        <f>D39 - 'Raw Data'!D39</f>
        <v>-83750</v>
      </c>
      <c r="H39" s="1">
        <f>G39/'Raw Data'!D39</f>
        <v>-5.7446862509594486E-2</v>
      </c>
    </row>
    <row r="40" spans="1:8">
      <c r="A40" t="s">
        <v>135</v>
      </c>
      <c r="B40" t="s">
        <v>136</v>
      </c>
      <c r="C40" s="5">
        <v>687275</v>
      </c>
      <c r="D40" s="5">
        <v>682639</v>
      </c>
      <c r="E40" s="14">
        <f t="shared" si="0"/>
        <v>-4636</v>
      </c>
      <c r="F40" s="1">
        <f t="shared" si="1"/>
        <v>-6.7454803390200428E-3</v>
      </c>
      <c r="G40" s="14">
        <f>D40 - 'Raw Data'!D40</f>
        <v>-2360</v>
      </c>
      <c r="H40" s="1">
        <f>G40/'Raw Data'!D40</f>
        <v>-3.4452605040299327E-3</v>
      </c>
    </row>
    <row r="41" spans="1:8">
      <c r="A41" t="s">
        <v>137</v>
      </c>
      <c r="B41" t="s">
        <v>138</v>
      </c>
      <c r="C41" s="5">
        <v>742069</v>
      </c>
      <c r="D41" s="5">
        <v>731508</v>
      </c>
      <c r="E41" s="14">
        <f t="shared" si="0"/>
        <v>-10561</v>
      </c>
      <c r="F41" s="1">
        <f t="shared" si="1"/>
        <v>-1.4231830193688188E-2</v>
      </c>
      <c r="G41" s="14">
        <f>D41 - 'Raw Data'!D41</f>
        <v>1280</v>
      </c>
      <c r="H41" s="1">
        <f>G41/'Raw Data'!D41</f>
        <v>1.7528771835645853E-3</v>
      </c>
    </row>
    <row r="42" spans="1:8">
      <c r="A42" t="s">
        <v>139</v>
      </c>
      <c r="B42" t="s">
        <v>140</v>
      </c>
      <c r="C42" s="5">
        <v>1977626</v>
      </c>
      <c r="D42" s="5">
        <v>1979248</v>
      </c>
      <c r="E42" s="14">
        <f t="shared" si="0"/>
        <v>1622</v>
      </c>
      <c r="F42" s="1">
        <f t="shared" si="1"/>
        <v>8.2017530109333107E-4</v>
      </c>
      <c r="G42" s="14">
        <f>D42 - 'Raw Data'!D42</f>
        <v>101390</v>
      </c>
      <c r="H42" s="1">
        <f>G42/'Raw Data'!D42</f>
        <v>5.3992367900022258E-2</v>
      </c>
    </row>
    <row r="43" spans="1:8">
      <c r="A43" t="s">
        <v>141</v>
      </c>
      <c r="B43" t="s">
        <v>142</v>
      </c>
      <c r="C43" s="5">
        <v>143942</v>
      </c>
      <c r="D43" s="5">
        <v>143436</v>
      </c>
      <c r="E43" s="14">
        <f t="shared" si="0"/>
        <v>-506</v>
      </c>
      <c r="F43" s="1">
        <f t="shared" si="1"/>
        <v>-3.5153047755345905E-3</v>
      </c>
      <c r="G43" s="14">
        <f>D43 - 'Raw Data'!D43</f>
        <v>3561</v>
      </c>
      <c r="H43" s="1">
        <f>G43/'Raw Data'!D43</f>
        <v>2.5458445040214477E-2</v>
      </c>
    </row>
    <row r="44" spans="1:8">
      <c r="A44" t="s">
        <v>143</v>
      </c>
      <c r="B44" t="s">
        <v>144</v>
      </c>
      <c r="C44" s="5">
        <v>597036</v>
      </c>
      <c r="D44" s="5">
        <v>583799</v>
      </c>
      <c r="E44" s="14">
        <f t="shared" si="0"/>
        <v>-13237</v>
      </c>
      <c r="F44" s="1">
        <f t="shared" si="1"/>
        <v>-2.21711923569098E-2</v>
      </c>
      <c r="G44" s="14">
        <f>D44 - 'Raw Data'!D44</f>
        <v>-33549</v>
      </c>
      <c r="H44" s="1">
        <f>G44/'Raw Data'!D44</f>
        <v>-5.43437412934034E-2</v>
      </c>
    </row>
    <row r="45" spans="1:8">
      <c r="A45" t="s">
        <v>145</v>
      </c>
      <c r="B45" t="s">
        <v>146</v>
      </c>
      <c r="C45" s="5">
        <v>73313</v>
      </c>
      <c r="D45" s="5">
        <v>73625</v>
      </c>
      <c r="E45" s="14">
        <f t="shared" si="0"/>
        <v>312</v>
      </c>
      <c r="F45" s="1">
        <f t="shared" si="1"/>
        <v>4.255725451147818E-3</v>
      </c>
      <c r="G45" s="14">
        <f>D45 - 'Raw Data'!D45</f>
        <v>2643</v>
      </c>
      <c r="H45" s="1">
        <f>G45/'Raw Data'!D45</f>
        <v>3.7234791919078074E-2</v>
      </c>
    </row>
    <row r="46" spans="1:8">
      <c r="A46" t="s">
        <v>147</v>
      </c>
      <c r="B46" t="s">
        <v>148</v>
      </c>
      <c r="C46" s="5">
        <v>481559</v>
      </c>
      <c r="D46" s="5">
        <v>471620</v>
      </c>
      <c r="E46" s="14">
        <f t="shared" si="0"/>
        <v>-9939</v>
      </c>
      <c r="F46" s="1">
        <f t="shared" si="1"/>
        <v>-2.0639215547835259E-2</v>
      </c>
      <c r="G46" s="14">
        <f>D46 - 'Raw Data'!D46</f>
        <v>-322286</v>
      </c>
      <c r="H46" s="1">
        <f>G46/'Raw Data'!D46</f>
        <v>-0.40594982277498848</v>
      </c>
    </row>
    <row r="47" spans="1:8">
      <c r="A47" t="s">
        <v>149</v>
      </c>
      <c r="B47" t="s">
        <v>150</v>
      </c>
      <c r="C47" s="5">
        <v>3237133</v>
      </c>
      <c r="D47" s="5">
        <v>3196449</v>
      </c>
      <c r="E47" s="14">
        <f t="shared" si="0"/>
        <v>-40684</v>
      </c>
      <c r="F47" s="1">
        <f t="shared" si="1"/>
        <v>-1.2567911173251145E-2</v>
      </c>
      <c r="G47" s="14">
        <f>D47 - 'Raw Data'!D47</f>
        <v>-380717</v>
      </c>
      <c r="H47" s="1">
        <f>G47/'Raw Data'!D47</f>
        <v>-0.10642978268271587</v>
      </c>
    </row>
    <row r="48" spans="1:8">
      <c r="A48" t="s">
        <v>151</v>
      </c>
      <c r="B48" t="s">
        <v>152</v>
      </c>
      <c r="C48" s="5">
        <v>21806</v>
      </c>
      <c r="D48" s="5">
        <v>21831</v>
      </c>
      <c r="E48" s="14">
        <f t="shared" si="0"/>
        <v>25</v>
      </c>
      <c r="F48" s="1">
        <f t="shared" si="1"/>
        <v>1.1464734476749519E-3</v>
      </c>
      <c r="G48" s="14">
        <f>D48 - 'Raw Data'!D48</f>
        <v>421</v>
      </c>
      <c r="H48" s="1">
        <f>G48/'Raw Data'!D48</f>
        <v>1.9663708547407753E-2</v>
      </c>
    </row>
    <row r="49" spans="1:8">
      <c r="A49" t="s">
        <v>153</v>
      </c>
      <c r="B49" t="s">
        <v>154</v>
      </c>
      <c r="C49" s="5">
        <v>161705</v>
      </c>
      <c r="D49" s="5">
        <v>162389</v>
      </c>
      <c r="E49" s="14">
        <f t="shared" si="0"/>
        <v>684</v>
      </c>
      <c r="F49" s="1">
        <f t="shared" si="1"/>
        <v>4.2299248631767726E-3</v>
      </c>
      <c r="G49" s="14">
        <f>D49 - 'Raw Data'!D49</f>
        <v>7920</v>
      </c>
      <c r="H49" s="1">
        <f>G49/'Raw Data'!D49</f>
        <v>5.1272423593083399E-2</v>
      </c>
    </row>
    <row r="50" spans="1:8">
      <c r="A50" t="s">
        <v>155</v>
      </c>
      <c r="B50" t="s">
        <v>156</v>
      </c>
      <c r="C50" s="5">
        <v>831989</v>
      </c>
      <c r="D50" s="5">
        <v>828330</v>
      </c>
      <c r="E50" s="14">
        <f t="shared" si="0"/>
        <v>-3659</v>
      </c>
      <c r="F50" s="1">
        <f t="shared" si="1"/>
        <v>-4.397894683703751E-3</v>
      </c>
      <c r="G50" s="14">
        <f>D50 - 'Raw Data'!D50</f>
        <v>-224</v>
      </c>
      <c r="H50" s="1">
        <f>G50/'Raw Data'!D50</f>
        <v>-2.7035051426943805E-4</v>
      </c>
    </row>
    <row r="51" spans="1:8">
      <c r="A51" t="s">
        <v>157</v>
      </c>
      <c r="B51" t="s">
        <v>158</v>
      </c>
      <c r="C51" s="5">
        <v>67876</v>
      </c>
      <c r="D51" s="5">
        <v>67737</v>
      </c>
      <c r="E51" s="14">
        <f t="shared" si="0"/>
        <v>-139</v>
      </c>
      <c r="F51" s="1">
        <f t="shared" si="1"/>
        <v>-2.047851965348577E-3</v>
      </c>
      <c r="G51" s="14">
        <f>D51 - 'Raw Data'!D51</f>
        <v>-3791</v>
      </c>
      <c r="H51" s="1">
        <f>G51/'Raw Data'!D51</f>
        <v>-5.3000223688625434E-2</v>
      </c>
    </row>
    <row r="52" spans="1:8">
      <c r="A52" t="s">
        <v>159</v>
      </c>
      <c r="B52" t="s">
        <v>160</v>
      </c>
      <c r="C52" s="5">
        <v>873576</v>
      </c>
      <c r="D52" s="5">
        <v>871042</v>
      </c>
      <c r="E52" s="14">
        <f t="shared" si="0"/>
        <v>-2534</v>
      </c>
      <c r="F52" s="1">
        <f t="shared" si="1"/>
        <v>-2.9007207157705798E-3</v>
      </c>
      <c r="G52" s="14">
        <f>D52 - 'Raw Data'!D52</f>
        <v>-45759</v>
      </c>
      <c r="H52" s="1">
        <f>G52/'Raw Data'!D52</f>
        <v>-4.9911594773565909E-2</v>
      </c>
    </row>
    <row r="53" spans="1:8">
      <c r="A53" t="s">
        <v>161</v>
      </c>
      <c r="B53" t="s">
        <v>162</v>
      </c>
      <c r="C53" s="5">
        <v>710919</v>
      </c>
      <c r="D53" s="5">
        <v>708107</v>
      </c>
      <c r="E53" s="14">
        <f t="shared" si="0"/>
        <v>-2812</v>
      </c>
      <c r="F53" s="1">
        <f t="shared" si="1"/>
        <v>-3.955443587806768E-3</v>
      </c>
      <c r="G53" s="14">
        <f>D53 - 'Raw Data'!D53</f>
        <v>7769</v>
      </c>
      <c r="H53" s="1">
        <f>G53/'Raw Data'!D53</f>
        <v>1.1093214990476028E-2</v>
      </c>
    </row>
    <row r="54" spans="1:8">
      <c r="A54" t="s">
        <v>163</v>
      </c>
      <c r="B54" t="s">
        <v>164</v>
      </c>
      <c r="C54" s="5">
        <v>281008</v>
      </c>
      <c r="D54" s="5">
        <v>277949</v>
      </c>
      <c r="E54" s="14">
        <f t="shared" si="0"/>
        <v>-3059</v>
      </c>
      <c r="F54" s="1">
        <f t="shared" si="1"/>
        <v>-1.0885811080111598E-2</v>
      </c>
      <c r="G54" s="14">
        <f>D54 - 'Raw Data'!D54</f>
        <v>-45528</v>
      </c>
      <c r="H54" s="1">
        <f>G54/'Raw Data'!D54</f>
        <v>-0.14074570989591223</v>
      </c>
    </row>
    <row r="55" spans="1:8">
      <c r="A55" t="s">
        <v>165</v>
      </c>
      <c r="B55" t="s">
        <v>166</v>
      </c>
      <c r="C55" s="5">
        <v>28800</v>
      </c>
      <c r="D55" s="5">
        <v>28868</v>
      </c>
      <c r="E55" s="14">
        <f t="shared" si="0"/>
        <v>68</v>
      </c>
      <c r="F55" s="1">
        <f t="shared" si="1"/>
        <v>2.3611111111111111E-3</v>
      </c>
      <c r="G55" s="14">
        <f>D55 - 'Raw Data'!D55</f>
        <v>-910</v>
      </c>
      <c r="H55" s="1">
        <f>G55/'Raw Data'!D55</f>
        <v>-3.0559473436765398E-2</v>
      </c>
    </row>
    <row r="56" spans="1:8">
      <c r="A56" s="11"/>
      <c r="B56" s="11" t="s">
        <v>167</v>
      </c>
      <c r="C56" s="12"/>
      <c r="D56" s="12"/>
      <c r="E56" s="12"/>
      <c r="F56" s="13">
        <f>AVERAGE(F3:F55)</f>
        <v>-4.0033938738748311E-3</v>
      </c>
      <c r="G56" s="13"/>
      <c r="H56" s="13">
        <f t="shared" ref="G56:H56" si="2">AVERAGE(H3:H55)</f>
        <v>-1.9015010936294444E-2</v>
      </c>
    </row>
  </sheetData>
  <mergeCells count="1">
    <mergeCell ref="C1:G1"/>
  </mergeCells>
  <hyperlinks>
    <hyperlink ref="C1" r:id="rId1" xr:uid="{4C1E5E11-AB99-4C46-9149-6D107724003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82A3F-8FB5-488B-BD41-3670D971F1D6}">
  <dimension ref="A1:E55"/>
  <sheetViews>
    <sheetView tabSelected="1" topLeftCell="A45" workbookViewId="0" xr3:uid="{AF0954FE-1AAD-5DB3-8CC2-1C84BF666B3F}">
      <selection activeCell="C56" sqref="C56"/>
    </sheetView>
  </sheetViews>
  <sheetFormatPr defaultRowHeight="15"/>
  <cols>
    <col min="1" max="1" width="12.7109375" bestFit="1" customWidth="1"/>
    <col min="2" max="2" width="18.85546875" bestFit="1" customWidth="1"/>
    <col min="3" max="3" width="27.85546875" bestFit="1" customWidth="1"/>
    <col min="4" max="4" width="26.7109375" bestFit="1" customWidth="1"/>
    <col min="5" max="5" width="26.28515625" bestFit="1" customWidth="1"/>
  </cols>
  <sheetData>
    <row r="1" spans="1:5" s="16" customFormat="1">
      <c r="A1" s="9" t="s">
        <v>11</v>
      </c>
      <c r="B1" s="9" t="s">
        <v>12</v>
      </c>
      <c r="C1" s="15" t="s">
        <v>217</v>
      </c>
      <c r="D1" s="15" t="s">
        <v>218</v>
      </c>
      <c r="E1" s="9" t="s">
        <v>219</v>
      </c>
    </row>
    <row r="2" spans="1:5">
      <c r="A2" t="s">
        <v>45</v>
      </c>
      <c r="B2" t="s">
        <v>46</v>
      </c>
      <c r="C2" t="s">
        <v>51</v>
      </c>
      <c r="D2">
        <v>64768</v>
      </c>
      <c r="E2" t="str">
        <f>IFERROR(C2/(D2/1000), "N/A")</f>
        <v>N/A</v>
      </c>
    </row>
    <row r="3" spans="1:5">
      <c r="A3" t="s">
        <v>53</v>
      </c>
      <c r="B3" t="s">
        <v>54</v>
      </c>
      <c r="C3">
        <v>2490</v>
      </c>
      <c r="D3">
        <v>772813</v>
      </c>
      <c r="E3">
        <f>IFERROR(C3/(D3/1000), "N/A")</f>
        <v>3.2219954892063152</v>
      </c>
    </row>
    <row r="4" spans="1:5">
      <c r="A4" t="s">
        <v>57</v>
      </c>
      <c r="B4" t="s">
        <v>58</v>
      </c>
      <c r="C4">
        <v>720</v>
      </c>
      <c r="D4">
        <v>276432</v>
      </c>
      <c r="E4">
        <f>IFERROR(C4/(D4/1000), "N/A")</f>
        <v>2.6046188574405278</v>
      </c>
    </row>
    <row r="5" spans="1:5">
      <c r="A5" t="s">
        <v>60</v>
      </c>
      <c r="B5" t="s">
        <v>61</v>
      </c>
      <c r="C5">
        <v>4380</v>
      </c>
      <c r="D5">
        <v>900643</v>
      </c>
      <c r="E5">
        <f>IFERROR(C5/(D5/1000), "N/A")</f>
        <v>4.8631921860270939</v>
      </c>
    </row>
    <row r="6" spans="1:5">
      <c r="A6" t="s">
        <v>62</v>
      </c>
      <c r="B6" t="s">
        <v>63</v>
      </c>
      <c r="C6">
        <v>29040</v>
      </c>
      <c r="D6">
        <v>5215990</v>
      </c>
      <c r="E6">
        <f>IFERROR(C6/(D6/1000), "N/A")</f>
        <v>5.5674953364557833</v>
      </c>
    </row>
    <row r="7" spans="1:5">
      <c r="A7" t="s">
        <v>65</v>
      </c>
      <c r="B7" t="s">
        <v>66</v>
      </c>
      <c r="C7">
        <v>3050</v>
      </c>
      <c r="D7">
        <v>572261</v>
      </c>
      <c r="E7">
        <f>IFERROR(C7/(D7/1000), "N/A")</f>
        <v>5.3297359072171613</v>
      </c>
    </row>
    <row r="8" spans="1:5">
      <c r="A8" t="s">
        <v>69</v>
      </c>
      <c r="B8" t="s">
        <v>70</v>
      </c>
      <c r="C8">
        <v>1230</v>
      </c>
      <c r="D8">
        <v>398076</v>
      </c>
      <c r="E8">
        <f>IFERROR(C8/(D8/1000), "N/A")</f>
        <v>3.0898622373617095</v>
      </c>
    </row>
    <row r="9" spans="1:5">
      <c r="A9" t="s">
        <v>72</v>
      </c>
      <c r="B9" t="s">
        <v>73</v>
      </c>
      <c r="C9">
        <v>600</v>
      </c>
      <c r="D9">
        <v>137683</v>
      </c>
      <c r="E9">
        <f>IFERROR(C9/(D9/1000), "N/A")</f>
        <v>4.35783647944917</v>
      </c>
    </row>
    <row r="10" spans="1:5">
      <c r="A10" t="s">
        <v>75</v>
      </c>
      <c r="B10" t="s">
        <v>76</v>
      </c>
      <c r="C10">
        <v>130</v>
      </c>
      <c r="D10">
        <v>120178</v>
      </c>
      <c r="E10">
        <f>IFERROR(C10/(D10/1000), "N/A")</f>
        <v>1.0817287689926609</v>
      </c>
    </row>
    <row r="11" spans="1:5">
      <c r="A11" t="s">
        <v>77</v>
      </c>
      <c r="B11" t="s">
        <v>78</v>
      </c>
      <c r="C11">
        <v>5550</v>
      </c>
      <c r="D11">
        <v>3023426</v>
      </c>
      <c r="E11">
        <f>IFERROR(C11/(D11/1000), "N/A")</f>
        <v>1.8356658968997424</v>
      </c>
    </row>
    <row r="12" spans="1:5">
      <c r="A12" t="s">
        <v>79</v>
      </c>
      <c r="B12" t="s">
        <v>80</v>
      </c>
      <c r="C12">
        <v>5240</v>
      </c>
      <c r="D12">
        <v>1476749</v>
      </c>
      <c r="E12">
        <f>IFERROR(C12/(D12/1000), "N/A")</f>
        <v>3.5483348896799658</v>
      </c>
    </row>
    <row r="13" spans="1:5">
      <c r="A13" t="s">
        <v>81</v>
      </c>
      <c r="B13" t="s">
        <v>82</v>
      </c>
      <c r="C13">
        <v>40</v>
      </c>
      <c r="D13">
        <v>36694</v>
      </c>
      <c r="E13">
        <f>IFERROR(C13/(D13/1000), "N/A")</f>
        <v>1.090096473537908</v>
      </c>
    </row>
    <row r="14" spans="1:5">
      <c r="A14" t="s">
        <v>83</v>
      </c>
      <c r="B14" t="s">
        <v>84</v>
      </c>
      <c r="C14">
        <v>620</v>
      </c>
      <c r="D14">
        <v>156097</v>
      </c>
      <c r="E14">
        <f>IFERROR(C14/(D14/1000), "N/A")</f>
        <v>3.9718892739770784</v>
      </c>
    </row>
    <row r="15" spans="1:5">
      <c r="A15" t="s">
        <v>85</v>
      </c>
      <c r="B15" t="s">
        <v>86</v>
      </c>
      <c r="C15">
        <v>450</v>
      </c>
      <c r="D15">
        <v>262228</v>
      </c>
      <c r="E15">
        <f>IFERROR(C15/(D15/1000), "N/A")</f>
        <v>1.7160638833381636</v>
      </c>
    </row>
    <row r="16" spans="1:5">
      <c r="A16" t="s">
        <v>88</v>
      </c>
      <c r="B16" t="s">
        <v>89</v>
      </c>
      <c r="C16">
        <v>450</v>
      </c>
      <c r="D16">
        <v>125305</v>
      </c>
      <c r="E16">
        <f>IFERROR(C16/(D16/1000), "N/A")</f>
        <v>3.59123738079087</v>
      </c>
    </row>
    <row r="17" spans="1:5">
      <c r="A17" t="s">
        <v>90</v>
      </c>
      <c r="B17" t="s">
        <v>91</v>
      </c>
      <c r="C17">
        <v>1740</v>
      </c>
      <c r="D17">
        <v>2012448</v>
      </c>
      <c r="E17">
        <f>IFERROR(C17/(D17/1000), "N/A")</f>
        <v>0.86461861374803217</v>
      </c>
    </row>
    <row r="18" spans="1:5">
      <c r="A18" t="s">
        <v>92</v>
      </c>
      <c r="B18" t="s">
        <v>93</v>
      </c>
      <c r="C18">
        <v>3450</v>
      </c>
      <c r="D18">
        <v>593995</v>
      </c>
      <c r="E18">
        <f>IFERROR(C18/(D18/1000), "N/A")</f>
        <v>5.8081296980614319</v>
      </c>
    </row>
    <row r="19" spans="1:5">
      <c r="A19" t="s">
        <v>94</v>
      </c>
      <c r="B19" t="s">
        <v>95</v>
      </c>
      <c r="C19">
        <v>720</v>
      </c>
      <c r="D19">
        <v>187065</v>
      </c>
      <c r="E19">
        <f>IFERROR(C19/(D19/1000), "N/A")</f>
        <v>3.8489295164782296</v>
      </c>
    </row>
    <row r="20" spans="1:5">
      <c r="A20" t="s">
        <v>96</v>
      </c>
      <c r="B20" t="s">
        <v>97</v>
      </c>
      <c r="C20">
        <v>1510</v>
      </c>
      <c r="D20">
        <v>555992</v>
      </c>
      <c r="E20">
        <f>IFERROR(C20/(D20/1000), "N/A")</f>
        <v>2.7158664153441059</v>
      </c>
    </row>
    <row r="21" spans="1:5">
      <c r="A21" t="s">
        <v>98</v>
      </c>
      <c r="B21" t="s">
        <v>99</v>
      </c>
      <c r="C21">
        <v>1090</v>
      </c>
      <c r="D21">
        <v>891540</v>
      </c>
      <c r="E21">
        <f>IFERROR(C21/(D21/1000), "N/A")</f>
        <v>1.2226035848083092</v>
      </c>
    </row>
    <row r="22" spans="1:5">
      <c r="A22" t="s">
        <v>100</v>
      </c>
      <c r="B22" t="s">
        <v>101</v>
      </c>
      <c r="C22">
        <v>1800</v>
      </c>
      <c r="D22">
        <v>1091117</v>
      </c>
      <c r="E22">
        <f>IFERROR(C22/(D22/1000), "N/A")</f>
        <v>1.6496855974198918</v>
      </c>
    </row>
    <row r="23" spans="1:5">
      <c r="A23" t="s">
        <v>102</v>
      </c>
      <c r="B23" t="s">
        <v>103</v>
      </c>
      <c r="C23">
        <v>3030</v>
      </c>
      <c r="D23">
        <v>670867</v>
      </c>
      <c r="E23">
        <f>IFERROR(C23/(D23/1000), "N/A")</f>
        <v>4.5165435175675661</v>
      </c>
    </row>
    <row r="24" spans="1:5">
      <c r="A24" t="s">
        <v>104</v>
      </c>
      <c r="B24" t="s">
        <v>105</v>
      </c>
      <c r="C24">
        <v>680</v>
      </c>
      <c r="D24">
        <v>167002</v>
      </c>
      <c r="E24">
        <f>IFERROR(C24/(D24/1000), "N/A")</f>
        <v>4.0718075232631943</v>
      </c>
    </row>
    <row r="25" spans="1:5">
      <c r="A25" t="s">
        <v>106</v>
      </c>
      <c r="B25" t="s">
        <v>107</v>
      </c>
      <c r="C25">
        <v>5140</v>
      </c>
      <c r="D25">
        <v>1437588</v>
      </c>
      <c r="E25">
        <f>IFERROR(C25/(D25/1000), "N/A")</f>
        <v>3.5754332952139278</v>
      </c>
    </row>
    <row r="26" spans="1:5">
      <c r="A26" t="s">
        <v>108</v>
      </c>
      <c r="B26" t="s">
        <v>109</v>
      </c>
      <c r="C26">
        <v>3280</v>
      </c>
      <c r="D26">
        <v>459439</v>
      </c>
      <c r="E26">
        <f>IFERROR(C26/(D26/1000), "N/A")</f>
        <v>7.1391414311801995</v>
      </c>
    </row>
    <row r="27" spans="1:5">
      <c r="A27" t="s">
        <v>110</v>
      </c>
      <c r="B27" t="s">
        <v>111</v>
      </c>
      <c r="C27">
        <v>4770</v>
      </c>
      <c r="D27">
        <v>655699</v>
      </c>
      <c r="E27">
        <f>IFERROR(C27/(D27/1000), "N/A")</f>
        <v>7.274679387950874</v>
      </c>
    </row>
    <row r="28" spans="1:5">
      <c r="A28" t="s">
        <v>112</v>
      </c>
      <c r="B28" t="s">
        <v>113</v>
      </c>
      <c r="C28">
        <v>1700</v>
      </c>
      <c r="D28">
        <v>390471</v>
      </c>
      <c r="E28">
        <f>IFERROR(C28/(D28/1000), "N/A")</f>
        <v>4.3537164091571459</v>
      </c>
    </row>
    <row r="29" spans="1:5">
      <c r="A29" t="s">
        <v>114</v>
      </c>
      <c r="B29" t="s">
        <v>115</v>
      </c>
      <c r="C29">
        <v>500</v>
      </c>
      <c r="D29">
        <v>84819</v>
      </c>
      <c r="E29">
        <f>IFERROR(C29/(D29/1000), "N/A")</f>
        <v>5.8949056225609828</v>
      </c>
    </row>
    <row r="30" spans="1:5">
      <c r="A30" t="s">
        <v>116</v>
      </c>
      <c r="B30" t="s">
        <v>117</v>
      </c>
      <c r="C30">
        <v>6980</v>
      </c>
      <c r="D30">
        <v>1608992</v>
      </c>
      <c r="E30">
        <f>IFERROR(C30/(D30/1000), "N/A")</f>
        <v>4.3381197669099665</v>
      </c>
    </row>
    <row r="31" spans="1:5">
      <c r="A31" t="s">
        <v>118</v>
      </c>
      <c r="B31" t="s">
        <v>119</v>
      </c>
      <c r="C31">
        <v>460</v>
      </c>
      <c r="D31">
        <v>44911</v>
      </c>
      <c r="E31">
        <f>IFERROR(C31/(D31/1000), "N/A")</f>
        <v>10.242479570706507</v>
      </c>
    </row>
    <row r="32" spans="1:5">
      <c r="A32" t="s">
        <v>120</v>
      </c>
      <c r="B32" t="s">
        <v>121</v>
      </c>
      <c r="C32">
        <v>250</v>
      </c>
      <c r="D32">
        <v>156406</v>
      </c>
      <c r="E32">
        <f>IFERROR(C32/(D32/1000), "N/A")</f>
        <v>1.5984041532933519</v>
      </c>
    </row>
    <row r="33" spans="1:5">
      <c r="A33" t="s">
        <v>122</v>
      </c>
      <c r="B33" t="s">
        <v>123</v>
      </c>
      <c r="C33">
        <v>440</v>
      </c>
      <c r="D33">
        <v>76261</v>
      </c>
      <c r="E33">
        <f>IFERROR(C33/(D33/1000), "N/A")</f>
        <v>5.7696594589632975</v>
      </c>
    </row>
    <row r="34" spans="1:5">
      <c r="A34" t="s">
        <v>124</v>
      </c>
      <c r="B34" t="s">
        <v>125</v>
      </c>
      <c r="C34">
        <v>1050</v>
      </c>
      <c r="D34">
        <v>777217</v>
      </c>
      <c r="E34">
        <f>IFERROR(C34/(D34/1000), "N/A")</f>
        <v>1.3509740522917024</v>
      </c>
    </row>
    <row r="35" spans="1:5">
      <c r="A35" t="s">
        <v>126</v>
      </c>
      <c r="B35" t="s">
        <v>127</v>
      </c>
      <c r="C35">
        <v>950</v>
      </c>
      <c r="D35">
        <v>484576</v>
      </c>
      <c r="E35">
        <f>IFERROR(C35/(D35/1000), "N/A")</f>
        <v>1.9604767879548306</v>
      </c>
    </row>
    <row r="36" spans="1:5">
      <c r="A36" t="s">
        <v>128</v>
      </c>
      <c r="B36" t="s">
        <v>129</v>
      </c>
      <c r="C36">
        <v>400</v>
      </c>
      <c r="D36">
        <v>493254</v>
      </c>
      <c r="E36">
        <f>IFERROR(C36/(D36/1000), "N/A")</f>
        <v>0.81094121892574611</v>
      </c>
    </row>
    <row r="37" spans="1:5">
      <c r="A37" t="s">
        <v>130</v>
      </c>
      <c r="B37" t="s">
        <v>131</v>
      </c>
      <c r="C37">
        <v>7780</v>
      </c>
      <c r="D37">
        <v>2910493</v>
      </c>
      <c r="E37">
        <f>IFERROR(C37/(D37/1000), "N/A")</f>
        <v>2.673086655765879</v>
      </c>
    </row>
    <row r="38" spans="1:5">
      <c r="A38" t="s">
        <v>133</v>
      </c>
      <c r="B38" t="s">
        <v>134</v>
      </c>
      <c r="C38">
        <v>3990</v>
      </c>
      <c r="D38">
        <v>1397579</v>
      </c>
      <c r="E38">
        <f>IFERROR(C38/(D38/1000), "N/A")</f>
        <v>2.8549370017723508</v>
      </c>
    </row>
    <row r="39" spans="1:5">
      <c r="A39" t="s">
        <v>135</v>
      </c>
      <c r="B39" t="s">
        <v>136</v>
      </c>
      <c r="C39">
        <v>520</v>
      </c>
      <c r="D39">
        <v>675374</v>
      </c>
      <c r="E39">
        <f>IFERROR(C39/(D39/1000), "N/A")</f>
        <v>0.76994376449197033</v>
      </c>
    </row>
    <row r="40" spans="1:5">
      <c r="A40" t="s">
        <v>137</v>
      </c>
      <c r="B40" t="s">
        <v>138</v>
      </c>
      <c r="C40">
        <v>2000</v>
      </c>
      <c r="D40">
        <v>737901</v>
      </c>
      <c r="E40">
        <f>IFERROR(C40/(D40/1000), "N/A")</f>
        <v>2.7103906892659042</v>
      </c>
    </row>
    <row r="41" spans="1:5">
      <c r="A41" t="s">
        <v>139</v>
      </c>
      <c r="B41" t="s">
        <v>140</v>
      </c>
      <c r="C41">
        <v>10600</v>
      </c>
      <c r="D41">
        <v>1936773</v>
      </c>
      <c r="E41">
        <f>IFERROR(C41/(D41/1000), "N/A")</f>
        <v>5.4730213607893132</v>
      </c>
    </row>
    <row r="42" spans="1:5">
      <c r="A42" t="s">
        <v>141</v>
      </c>
      <c r="B42" t="s">
        <v>142</v>
      </c>
      <c r="C42">
        <v>760</v>
      </c>
      <c r="D42">
        <v>143942</v>
      </c>
      <c r="E42">
        <f>IFERROR(C42/(D42/1000), "N/A")</f>
        <v>5.2799044059412816</v>
      </c>
    </row>
    <row r="43" spans="1:5">
      <c r="A43" t="s">
        <v>143</v>
      </c>
      <c r="B43" t="s">
        <v>144</v>
      </c>
      <c r="C43">
        <v>1550</v>
      </c>
      <c r="D43">
        <v>638649</v>
      </c>
      <c r="E43">
        <f>IFERROR(C43/(D43/1000), "N/A")</f>
        <v>2.4269982416006286</v>
      </c>
    </row>
    <row r="44" spans="1:5">
      <c r="A44" t="s">
        <v>145</v>
      </c>
      <c r="B44" t="s">
        <v>146</v>
      </c>
      <c r="C44">
        <v>540</v>
      </c>
      <c r="D44">
        <v>71387</v>
      </c>
      <c r="E44">
        <f>IFERROR(C44/(D44/1000), "N/A")</f>
        <v>7.5644024822446667</v>
      </c>
    </row>
    <row r="45" spans="1:5">
      <c r="A45" t="s">
        <v>147</v>
      </c>
      <c r="B45" t="s">
        <v>148</v>
      </c>
      <c r="C45">
        <v>3980</v>
      </c>
      <c r="D45">
        <v>779035</v>
      </c>
      <c r="E45">
        <f>IFERROR(C45/(D45/1000), "N/A")</f>
        <v>5.1088847099295922</v>
      </c>
    </row>
    <row r="46" spans="1:5">
      <c r="A46" t="s">
        <v>149</v>
      </c>
      <c r="B46" t="s">
        <v>150</v>
      </c>
      <c r="C46">
        <v>10390</v>
      </c>
      <c r="D46">
        <v>3291584</v>
      </c>
      <c r="E46">
        <f>IFERROR(C46/(D46/1000), "N/A")</f>
        <v>3.1565349691820108</v>
      </c>
    </row>
    <row r="47" spans="1:5">
      <c r="A47" t="s">
        <v>151</v>
      </c>
      <c r="B47" t="s">
        <v>152</v>
      </c>
      <c r="C47" t="s">
        <v>51</v>
      </c>
      <c r="D47">
        <v>20845</v>
      </c>
      <c r="E47" t="str">
        <f>IFERROR(C47/(D47/1000), "N/A")</f>
        <v>N/A</v>
      </c>
    </row>
    <row r="48" spans="1:5">
      <c r="A48" t="s">
        <v>153</v>
      </c>
      <c r="B48" t="s">
        <v>154</v>
      </c>
      <c r="C48">
        <v>2330</v>
      </c>
      <c r="D48">
        <v>158599</v>
      </c>
      <c r="E48">
        <f>IFERROR(C48/(D48/1000), "N/A")</f>
        <v>14.691139288394002</v>
      </c>
    </row>
    <row r="49" spans="1:5">
      <c r="A49" t="s">
        <v>155</v>
      </c>
      <c r="B49" t="s">
        <v>156</v>
      </c>
      <c r="C49">
        <v>4040</v>
      </c>
      <c r="D49">
        <v>855287</v>
      </c>
      <c r="E49">
        <f>IFERROR(C49/(D49/1000), "N/A")</f>
        <v>4.723560629355994</v>
      </c>
    </row>
    <row r="50" spans="1:5">
      <c r="A50" t="s">
        <v>157</v>
      </c>
      <c r="B50" t="s">
        <v>158</v>
      </c>
      <c r="C50">
        <v>420</v>
      </c>
      <c r="D50">
        <v>70451</v>
      </c>
      <c r="E50">
        <f>IFERROR(C50/(D50/1000), "N/A")</f>
        <v>5.9615903251905582</v>
      </c>
    </row>
    <row r="51" spans="1:5">
      <c r="A51" t="s">
        <v>159</v>
      </c>
      <c r="B51" t="s">
        <v>160</v>
      </c>
      <c r="C51">
        <v>3950</v>
      </c>
      <c r="D51">
        <v>891573</v>
      </c>
      <c r="E51">
        <f>IFERROR(C51/(D51/1000), "N/A")</f>
        <v>4.4303719381363056</v>
      </c>
    </row>
    <row r="52" spans="1:5">
      <c r="A52" t="s">
        <v>161</v>
      </c>
      <c r="B52" t="s">
        <v>162</v>
      </c>
      <c r="C52">
        <v>1770</v>
      </c>
      <c r="D52">
        <v>706545</v>
      </c>
      <c r="E52">
        <f>IFERROR(C52/(D52/1000), "N/A")</f>
        <v>2.5051482920408468</v>
      </c>
    </row>
    <row r="53" spans="1:5">
      <c r="A53" t="s">
        <v>163</v>
      </c>
      <c r="B53" t="s">
        <v>164</v>
      </c>
      <c r="C53">
        <v>360</v>
      </c>
      <c r="D53">
        <v>300706</v>
      </c>
      <c r="E53">
        <f>IFERROR(C53/(D53/1000), "N/A")</f>
        <v>1.1971826302102384</v>
      </c>
    </row>
    <row r="54" spans="1:5">
      <c r="A54" t="s">
        <v>165</v>
      </c>
      <c r="B54" t="s">
        <v>166</v>
      </c>
      <c r="C54">
        <v>350</v>
      </c>
      <c r="D54">
        <v>29643</v>
      </c>
      <c r="E54">
        <f>IFERROR(C54/(D54/1000), "N/A")</f>
        <v>11.80717201362885</v>
      </c>
    </row>
    <row r="55" spans="1:5">
      <c r="A55" s="11"/>
      <c r="B55" s="11" t="s">
        <v>167</v>
      </c>
      <c r="C55">
        <f xml:space="preserve"> AVERAGE(C2:C54)</f>
        <v>2926.6666666666665</v>
      </c>
      <c r="E55">
        <f>AVERAGE(E2:E54)</f>
        <v>4.0825713349041948</v>
      </c>
    </row>
  </sheetData>
  <hyperlinks>
    <hyperlink ref="C1" r:id="rId1" xr:uid="{2DC90B7A-716E-47D1-AA97-E55C036DA5BF}"/>
    <hyperlink ref="D1" r:id="rId2" xr:uid="{A3D9527D-9E35-40DB-A830-30FCA3D7ED37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9ED85125FC8F41BFB9B14060E80BE9" ma:contentTypeVersion="9" ma:contentTypeDescription="Create a new document." ma:contentTypeScope="" ma:versionID="abe481d6119d962dfd754e9a88520564">
  <xsd:schema xmlns:xsd="http://www.w3.org/2001/XMLSchema" xmlns:xs="http://www.w3.org/2001/XMLSchema" xmlns:p="http://schemas.microsoft.com/office/2006/metadata/properties" xmlns:ns2="3ac54ba9-5c51-459d-bf3f-3ffbfdd3f684" xmlns:ns3="7ffdcb53-f619-4365-a236-822383b46c0c" targetNamespace="http://schemas.microsoft.com/office/2006/metadata/properties" ma:root="true" ma:fieldsID="5270b5adc0bfcccfc508759bd15e3220" ns2:_="" ns3:_="">
    <xsd:import namespace="3ac54ba9-5c51-459d-bf3f-3ffbfdd3f684"/>
    <xsd:import namespace="7ffdcb53-f619-4365-a236-822383b46c0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Description0" minOccurs="0"/>
                <xsd:element ref="ns3:Group_x0020_number" minOccurs="0"/>
                <xsd:element ref="ns3:dz5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c54ba9-5c51-459d-bf3f-3ffbfdd3f68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fdcb53-f619-4365-a236-822383b46c0c" elementFormDefault="qualified">
    <xsd:import namespace="http://schemas.microsoft.com/office/2006/documentManagement/types"/>
    <xsd:import namespace="http://schemas.microsoft.com/office/infopath/2007/PartnerControls"/>
    <xsd:element name="Description0" ma:index="10" nillable="true" ma:displayName="Description" ma:internalName="Description0">
      <xsd:simpleType>
        <xsd:restriction base="dms:Text">
          <xsd:maxLength value="255"/>
        </xsd:restriction>
      </xsd:simpleType>
    </xsd:element>
    <xsd:element name="Group_x0020_number" ma:index="11" nillable="true" ma:displayName="Group number" ma:internalName="Group_x0020_number">
      <xsd:simpleType>
        <xsd:restriction base="dms:Number"/>
      </xsd:simpleType>
    </xsd:element>
    <xsd:element name="dz5l" ma:index="12" nillable="true" ma:displayName="Notes" ma:internalName="dz5l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z5l xmlns="7ffdcb53-f619-4365-a236-822383b46c0c" xsi:nil="true"/>
    <Description0 xmlns="7ffdcb53-f619-4365-a236-822383b46c0c" xsi:nil="true"/>
    <Group_x0020_number xmlns="7ffdcb53-f619-4365-a236-822383b46c0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1CD953-50F1-4766-B77E-6518629E50D6}"/>
</file>

<file path=customXml/itemProps2.xml><?xml version="1.0" encoding="utf-8"?>
<ds:datastoreItem xmlns:ds="http://schemas.openxmlformats.org/officeDocument/2006/customXml" ds:itemID="{E5420FA5-0263-4A90-B065-C3115894AA68}"/>
</file>

<file path=customXml/itemProps3.xml><?xml version="1.0" encoding="utf-8"?>
<ds:datastoreItem xmlns:ds="http://schemas.openxmlformats.org/officeDocument/2006/customXml" ds:itemID="{8A272442-5A36-4F2A-A3D6-9E22F1EA659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Mazzocchi, Maxwell R. EOP/OMB</cp:lastModifiedBy>
  <cp:revision/>
  <dcterms:created xsi:type="dcterms:W3CDTF">2024-04-22T14:36:15Z</dcterms:created>
  <dcterms:modified xsi:type="dcterms:W3CDTF">2024-09-19T14:58:33Z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0x010100FF9ED85125FC8F41BFB9B14060E80BE9</vt:lpwstr>
  </property>
</Properties>
</file>