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4200" tabRatio="500" activeTab="4"/>
  </bookViews>
  <sheets>
    <sheet name="Q4" sheetId="1" r:id="rId1"/>
    <sheet name="Q6" sheetId="2" r:id="rId2"/>
    <sheet name="Q7" sheetId="5" r:id="rId3"/>
    <sheet name="Q8" sheetId="4" r:id="rId4"/>
    <sheet name="Q9" sheetId="6" r:id="rId5"/>
  </sheets>
  <externalReferences>
    <externalReference r:id="rId6"/>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D4" i="6" l="1"/>
  <c r="AI4" i="6"/>
  <c r="AJ4" i="6"/>
  <c r="AK4" i="6"/>
  <c r="AD5" i="6"/>
  <c r="AI5" i="6"/>
  <c r="AJ5" i="6"/>
  <c r="AK5" i="6"/>
  <c r="AD7" i="6"/>
  <c r="AI7" i="6"/>
  <c r="AJ7" i="6"/>
  <c r="AK7" i="6"/>
  <c r="AD6" i="6"/>
  <c r="AI6" i="6"/>
  <c r="AJ6" i="6"/>
  <c r="AK6" i="6"/>
  <c r="AD8" i="6"/>
  <c r="AI8" i="6"/>
  <c r="AJ8" i="6"/>
  <c r="AK8" i="6"/>
  <c r="AD9" i="6"/>
  <c r="AI9" i="6"/>
  <c r="AJ9" i="6"/>
  <c r="AK9" i="6"/>
  <c r="AD10" i="6"/>
  <c r="AI10" i="6"/>
  <c r="AJ10" i="6"/>
  <c r="AK10" i="6"/>
  <c r="AD11" i="6"/>
  <c r="AI11" i="6"/>
  <c r="AJ11" i="6"/>
  <c r="AK11" i="6"/>
  <c r="AD12" i="6"/>
  <c r="AI12" i="6"/>
  <c r="AJ12" i="6"/>
  <c r="AK12" i="6"/>
  <c r="AK13" i="6"/>
  <c r="E4" i="6"/>
  <c r="H4" i="6"/>
  <c r="I4" i="6"/>
  <c r="J4" i="6"/>
  <c r="E5" i="6"/>
  <c r="H5" i="6"/>
  <c r="I5" i="6"/>
  <c r="J5" i="6"/>
  <c r="E6" i="6"/>
  <c r="H6" i="6"/>
  <c r="I6" i="6"/>
  <c r="J6" i="6"/>
  <c r="E7" i="6"/>
  <c r="H7" i="6"/>
  <c r="I7" i="6"/>
  <c r="J7" i="6"/>
  <c r="E8" i="6"/>
  <c r="H8" i="6"/>
  <c r="I8" i="6"/>
  <c r="J8" i="6"/>
  <c r="E9" i="6"/>
  <c r="H9" i="6"/>
  <c r="I9" i="6"/>
  <c r="J9" i="6"/>
  <c r="E10" i="6"/>
  <c r="H10" i="6"/>
  <c r="I10" i="6"/>
  <c r="J10" i="6"/>
  <c r="E11" i="6"/>
  <c r="H11" i="6"/>
  <c r="I11" i="6"/>
  <c r="J11" i="6"/>
  <c r="E12" i="6"/>
  <c r="H12" i="6"/>
  <c r="I12" i="6"/>
  <c r="J12" i="6"/>
  <c r="J13" i="6"/>
  <c r="L8" i="6"/>
  <c r="P8" i="6"/>
  <c r="Q8" i="6"/>
  <c r="R8" i="6"/>
  <c r="L9" i="6"/>
  <c r="P9" i="6"/>
  <c r="Q9" i="6"/>
  <c r="R9" i="6"/>
  <c r="L10" i="6"/>
  <c r="P10" i="6"/>
  <c r="Q10" i="6"/>
  <c r="R10" i="6"/>
  <c r="L11" i="6"/>
  <c r="P11" i="6"/>
  <c r="Q11" i="6"/>
  <c r="R11" i="6"/>
  <c r="L12" i="6"/>
  <c r="P12" i="6"/>
  <c r="Q12" i="6"/>
  <c r="R12" i="6"/>
  <c r="L5" i="6"/>
  <c r="P5" i="6"/>
  <c r="Q5" i="6"/>
  <c r="R5" i="6"/>
  <c r="L6" i="6"/>
  <c r="P6" i="6"/>
  <c r="Q6" i="6"/>
  <c r="R6" i="6"/>
  <c r="L7" i="6"/>
  <c r="P7" i="6"/>
  <c r="Q7" i="6"/>
  <c r="R7" i="6"/>
  <c r="L4" i="6"/>
  <c r="P4" i="6"/>
  <c r="Q4" i="6"/>
  <c r="R4" i="6"/>
  <c r="U5" i="6"/>
  <c r="Y5" i="6"/>
  <c r="Z5" i="6"/>
  <c r="AA5" i="6"/>
  <c r="U6" i="6"/>
  <c r="Y6" i="6"/>
  <c r="Z6" i="6"/>
  <c r="AA6" i="6"/>
  <c r="U7" i="6"/>
  <c r="Y7" i="6"/>
  <c r="Z7" i="6"/>
  <c r="AA7" i="6"/>
  <c r="U8" i="6"/>
  <c r="Y8" i="6"/>
  <c r="Z8" i="6"/>
  <c r="AA8" i="6"/>
  <c r="U9" i="6"/>
  <c r="Y9" i="6"/>
  <c r="Z9" i="6"/>
  <c r="AA9" i="6"/>
  <c r="U10" i="6"/>
  <c r="Y10" i="6"/>
  <c r="Z10" i="6"/>
  <c r="AA10" i="6"/>
  <c r="U11" i="6"/>
  <c r="Y11" i="6"/>
  <c r="Z11" i="6"/>
  <c r="AA11" i="6"/>
  <c r="U12" i="6"/>
  <c r="Y12" i="6"/>
  <c r="Z12" i="6"/>
  <c r="AA12" i="6"/>
  <c r="U4" i="6"/>
  <c r="Y4" i="6"/>
  <c r="Z4" i="6"/>
  <c r="AA4" i="6"/>
  <c r="AE10" i="6"/>
  <c r="AE11" i="6"/>
  <c r="AE12" i="6"/>
  <c r="AE5" i="6"/>
  <c r="AE6" i="6"/>
  <c r="AE7" i="6"/>
  <c r="AE8" i="6"/>
  <c r="AE9" i="6"/>
  <c r="AE4" i="6"/>
  <c r="V12" i="6"/>
  <c r="V10" i="6"/>
  <c r="V11" i="6"/>
  <c r="V5" i="6"/>
  <c r="V6" i="6"/>
  <c r="V7" i="6"/>
  <c r="V8" i="6"/>
  <c r="V9" i="6"/>
  <c r="V4" i="6"/>
  <c r="M5" i="6"/>
  <c r="M6" i="6"/>
  <c r="M7" i="6"/>
  <c r="M8" i="6"/>
  <c r="M9" i="6"/>
  <c r="M10" i="6"/>
  <c r="M11" i="6"/>
  <c r="M12" i="6"/>
  <c r="M4" i="6"/>
  <c r="F5" i="6"/>
  <c r="F6" i="6"/>
  <c r="F7" i="6"/>
  <c r="F8" i="6"/>
  <c r="F9" i="6"/>
  <c r="F10" i="6"/>
  <c r="F11" i="6"/>
  <c r="F12" i="6"/>
  <c r="F4" i="6"/>
  <c r="D11" i="5"/>
  <c r="H11" i="5"/>
  <c r="I11" i="5"/>
  <c r="C11" i="5"/>
  <c r="D10" i="5"/>
  <c r="H10" i="5"/>
  <c r="I10" i="5"/>
  <c r="C10" i="5"/>
  <c r="D9" i="5"/>
  <c r="H9" i="5"/>
  <c r="I9" i="5"/>
  <c r="C9" i="5"/>
  <c r="D8" i="5"/>
  <c r="H8" i="5"/>
  <c r="I8" i="5"/>
  <c r="C8" i="5"/>
  <c r="D7" i="5"/>
  <c r="H7" i="5"/>
  <c r="I7" i="5"/>
  <c r="C7" i="5"/>
  <c r="D6" i="5"/>
  <c r="H6" i="5"/>
  <c r="I6" i="5"/>
  <c r="C6" i="5"/>
  <c r="D5" i="5"/>
  <c r="H5" i="5"/>
  <c r="I5" i="5"/>
  <c r="C5" i="5"/>
  <c r="D4" i="5"/>
  <c r="H4" i="5"/>
  <c r="I4" i="5"/>
  <c r="C4" i="5"/>
  <c r="D3" i="5"/>
  <c r="H3" i="5"/>
  <c r="I3" i="5"/>
  <c r="C3" i="5"/>
  <c r="L11" i="2"/>
  <c r="M11" i="2"/>
  <c r="N11" i="2"/>
  <c r="G11" i="2"/>
  <c r="H11" i="2"/>
  <c r="I11" i="2"/>
  <c r="A11" i="2"/>
  <c r="L10" i="2"/>
  <c r="M10" i="2"/>
  <c r="N10" i="2"/>
  <c r="G10" i="2"/>
  <c r="H10" i="2"/>
  <c r="I10" i="2"/>
  <c r="A10" i="2"/>
  <c r="L9" i="2"/>
  <c r="M9" i="2"/>
  <c r="N9" i="2"/>
  <c r="G9" i="2"/>
  <c r="H9" i="2"/>
  <c r="I9" i="2"/>
  <c r="A9" i="2"/>
  <c r="L8" i="2"/>
  <c r="M8" i="2"/>
  <c r="N8" i="2"/>
  <c r="G8" i="2"/>
  <c r="H8" i="2"/>
  <c r="I8" i="2"/>
  <c r="A8" i="2"/>
  <c r="L7" i="2"/>
  <c r="M7" i="2"/>
  <c r="N7" i="2"/>
  <c r="G7" i="2"/>
  <c r="H7" i="2"/>
  <c r="I7" i="2"/>
  <c r="A7" i="2"/>
  <c r="L6" i="2"/>
  <c r="M6" i="2"/>
  <c r="N6" i="2"/>
  <c r="G6" i="2"/>
  <c r="H6" i="2"/>
  <c r="I6" i="2"/>
  <c r="A6" i="2"/>
  <c r="L5" i="2"/>
  <c r="M5" i="2"/>
  <c r="N5" i="2"/>
  <c r="G5" i="2"/>
  <c r="H5" i="2"/>
  <c r="I5" i="2"/>
  <c r="L4" i="2"/>
  <c r="M4" i="2"/>
  <c r="N4" i="2"/>
  <c r="G4" i="2"/>
  <c r="H4" i="2"/>
  <c r="I4" i="2"/>
  <c r="L3" i="2"/>
  <c r="M3" i="2"/>
  <c r="N3" i="2"/>
  <c r="G3" i="2"/>
  <c r="H3" i="2"/>
  <c r="I3" i="2"/>
  <c r="AE3" i="4"/>
  <c r="AE4" i="4"/>
  <c r="AE5" i="4"/>
  <c r="AE6" i="4"/>
  <c r="AE7" i="4"/>
  <c r="AE8" i="4"/>
  <c r="AE9" i="4"/>
  <c r="AE10" i="4"/>
  <c r="AE2" i="4"/>
  <c r="AB3" i="4"/>
  <c r="AB4" i="4"/>
  <c r="AB5" i="4"/>
  <c r="AB6" i="4"/>
  <c r="AB7" i="4"/>
  <c r="AB8" i="4"/>
  <c r="AB9" i="4"/>
  <c r="AB10" i="4"/>
  <c r="AB2" i="4"/>
  <c r="V3" i="4"/>
  <c r="V4" i="4"/>
  <c r="V5" i="4"/>
  <c r="V6" i="4"/>
  <c r="V7" i="4"/>
  <c r="V8" i="4"/>
  <c r="V9" i="4"/>
  <c r="V10" i="4"/>
  <c r="V2" i="4"/>
  <c r="T3" i="4"/>
  <c r="T4" i="4"/>
  <c r="T5" i="4"/>
  <c r="T6" i="4"/>
  <c r="T7" i="4"/>
  <c r="T8" i="4"/>
  <c r="T9" i="4"/>
  <c r="T10" i="4"/>
  <c r="T2" i="4"/>
  <c r="D3" i="4"/>
  <c r="E3" i="4"/>
  <c r="D4" i="4"/>
  <c r="E4" i="4"/>
  <c r="D5" i="4"/>
  <c r="E5" i="4"/>
  <c r="D6" i="4"/>
  <c r="E6" i="4"/>
  <c r="D7" i="4"/>
  <c r="E7" i="4"/>
  <c r="D8" i="4"/>
  <c r="E8" i="4"/>
  <c r="D9" i="4"/>
  <c r="E9" i="4"/>
  <c r="D10" i="4"/>
  <c r="E10" i="4"/>
  <c r="K2" i="4"/>
  <c r="L2" i="4"/>
  <c r="K3" i="4"/>
  <c r="L3" i="4"/>
  <c r="K4" i="4"/>
  <c r="L4" i="4"/>
  <c r="K5" i="4"/>
  <c r="L5" i="4"/>
  <c r="K6" i="4"/>
  <c r="L6" i="4"/>
  <c r="K7" i="4"/>
  <c r="L7" i="4"/>
  <c r="K8" i="4"/>
  <c r="L8" i="4"/>
  <c r="K9" i="4"/>
  <c r="L9" i="4"/>
  <c r="K10" i="4"/>
  <c r="L10" i="4"/>
  <c r="D2" i="4"/>
  <c r="E2" i="4"/>
  <c r="D6" i="1"/>
  <c r="I6" i="1"/>
  <c r="D7" i="1"/>
  <c r="I7" i="1"/>
  <c r="J31" i="1"/>
  <c r="H6" i="1"/>
  <c r="H7" i="1"/>
  <c r="I31" i="1"/>
  <c r="G6" i="1"/>
  <c r="G7" i="1"/>
  <c r="H31" i="1"/>
  <c r="D3" i="1"/>
  <c r="I3" i="1"/>
  <c r="D4" i="1"/>
  <c r="I4" i="1"/>
  <c r="D5" i="1"/>
  <c r="I5" i="1"/>
  <c r="D8" i="1"/>
  <c r="I8" i="1"/>
  <c r="D9" i="1"/>
  <c r="I9" i="1"/>
  <c r="D10" i="1"/>
  <c r="I10" i="1"/>
  <c r="H3" i="1"/>
  <c r="H4" i="1"/>
  <c r="H5" i="1"/>
  <c r="H8" i="1"/>
  <c r="H9" i="1"/>
  <c r="H10" i="1"/>
  <c r="D2" i="1"/>
  <c r="I2" i="1"/>
  <c r="H2" i="1"/>
  <c r="G3" i="1"/>
  <c r="G4" i="1"/>
  <c r="G5" i="1"/>
  <c r="G8" i="1"/>
  <c r="G9" i="1"/>
  <c r="G10" i="1"/>
  <c r="G2" i="1"/>
  <c r="C6" i="1"/>
  <c r="C7" i="1"/>
  <c r="D22" i="1"/>
  <c r="C3" i="1"/>
  <c r="C4" i="1"/>
  <c r="C5" i="1"/>
  <c r="C8" i="1"/>
  <c r="C9" i="1"/>
  <c r="C10" i="1"/>
  <c r="C2" i="1"/>
</calcChain>
</file>

<file path=xl/sharedStrings.xml><?xml version="1.0" encoding="utf-8"?>
<sst xmlns="http://schemas.openxmlformats.org/spreadsheetml/2006/main" count="188" uniqueCount="99">
  <si>
    <t>X - Log of cache size</t>
  </si>
  <si>
    <t>Cache Size (byte)</t>
  </si>
  <si>
    <t>Y - cache miss rate (%)</t>
  </si>
  <si>
    <t>32 * 1024 = 32kb</t>
  </si>
  <si>
    <t>64 * 1024 = 64 kb</t>
  </si>
  <si>
    <t>1024 * 1024 = 1 MB</t>
  </si>
  <si>
    <t>2* 1024 * 1024 = 2 MB</t>
  </si>
  <si>
    <t>4* 1024 * 1024 = 4 MB</t>
  </si>
  <si>
    <t>16 * 1024</t>
  </si>
  <si>
    <t>total memory accesses</t>
  </si>
  <si>
    <t>hit</t>
  </si>
  <si>
    <t>miss</t>
  </si>
  <si>
    <t>Comments</t>
  </si>
  <si>
    <t>The cache size should be more than 8Kb for the miss rate to be less than 10%</t>
  </si>
  <si>
    <t>The cache size should be 64Kb or more for the miss rate to be less than 5%</t>
  </si>
  <si>
    <t>Question 4 - Part 1:</t>
  </si>
  <si>
    <t>Question 4 - Part 2:</t>
  </si>
  <si>
    <t xml:space="preserve">The miss rate would be reduced by the following ratio: </t>
  </si>
  <si>
    <t>CPI Latency 10</t>
  </si>
  <si>
    <t>CPI Latency 25</t>
  </si>
  <si>
    <t>CPI Latency 100</t>
  </si>
  <si>
    <t xml:space="preserve">CPI = </t>
  </si>
  <si>
    <t>Q 5:</t>
  </si>
  <si>
    <t xml:space="preserve">Part 2: </t>
  </si>
  <si>
    <t>Latency 10</t>
  </si>
  <si>
    <t>Latency 25</t>
  </si>
  <si>
    <t>Latency 100</t>
  </si>
  <si>
    <t>Speed up from 32 KB to 64 KB</t>
  </si>
  <si>
    <t>Cache Size</t>
  </si>
  <si>
    <t>Num Misses</t>
  </si>
  <si>
    <t>Write Through</t>
  </si>
  <si>
    <t>Num of Store Instructions</t>
  </si>
  <si>
    <t>Total memory operations</t>
  </si>
  <si>
    <t>No. of Dirty Evictions</t>
  </si>
  <si>
    <t xml:space="preserve"> into cache(numMiss*64)</t>
  </si>
  <si>
    <t>out of cache(numStores*4)</t>
  </si>
  <si>
    <t>into cache(numMiss*64)</t>
  </si>
  <si>
    <t>out of cache(numDirtyEvictions * 64)</t>
  </si>
  <si>
    <t>Write Back</t>
  </si>
  <si>
    <t>Hit</t>
  </si>
  <si>
    <t>Miss</t>
  </si>
  <si>
    <t>Block Size</t>
  </si>
  <si>
    <t>8KB</t>
  </si>
  <si>
    <t>32KB</t>
  </si>
  <si>
    <t>Total Accesses</t>
  </si>
  <si>
    <t>Log cache blokc size</t>
  </si>
  <si>
    <t>Miss Rate 8KB</t>
  </si>
  <si>
    <t>Miss Rate 32 KB</t>
  </si>
  <si>
    <t>NumStores</t>
  </si>
  <si>
    <t>NumMisses</t>
  </si>
  <si>
    <t>Dirty Evictions</t>
  </si>
  <si>
    <t>Q1: Blck Size is 256B</t>
  </si>
  <si>
    <t>Q2: Block Size is 256B</t>
  </si>
  <si>
    <t>2-way cache</t>
  </si>
  <si>
    <t>Write through Traffic</t>
  </si>
  <si>
    <t>Write back Traffic</t>
  </si>
  <si>
    <t>Q:1 At 32 kb, the two write policies generate approx same amount of traffice</t>
  </si>
  <si>
    <t>Q:2 Number of dirty evictions decrease with greater cache sizes, thus decreasing the traffic for write back policy</t>
  </si>
  <si>
    <t>Q:3 At smaller cache size, there are a large number of dirtly evictions, each eviction increases the traffic by a factor of 64(block size), therefore write back generates more traffic than write through at smaller cache sizes</t>
  </si>
  <si>
    <t>1- Way Miss Rate</t>
  </si>
  <si>
    <t>Hit - 2Way</t>
  </si>
  <si>
    <t>Miss2-way</t>
  </si>
  <si>
    <t xml:space="preserve">2- Way Miss Rate </t>
  </si>
  <si>
    <t xml:space="preserve">Q:1  for lesser than 10%, the cache should be 16 Kb. For lesser than 5%, cache should be 64 Kb </t>
  </si>
  <si>
    <t>Q:2 4 MB</t>
  </si>
  <si>
    <t>Q:3 As the cache size increases, the no. of blocks increases. This causes an improvement in hit rate in direct mapped cache. We see its not different from set assosciative, because at large cache sizes, …..</t>
  </si>
  <si>
    <t>Log block</t>
  </si>
  <si>
    <t>numHit</t>
  </si>
  <si>
    <t>numMisses</t>
  </si>
  <si>
    <t>numDirtyEvictions</t>
  </si>
  <si>
    <t>N=0</t>
  </si>
  <si>
    <t>N=1</t>
  </si>
  <si>
    <t>Total Memory accesses</t>
  </si>
  <si>
    <t>N=2</t>
  </si>
  <si>
    <t>N=3</t>
  </si>
  <si>
    <t>numPrefMisses</t>
  </si>
  <si>
    <t>miss rate (N=0)</t>
  </si>
  <si>
    <t>miss rate(N=1)</t>
  </si>
  <si>
    <t>miss rate (N=2)</t>
  </si>
  <si>
    <t>numPrefHits</t>
  </si>
  <si>
    <t>miss rate(N=3)</t>
  </si>
  <si>
    <t>Write-Back traffic</t>
  </si>
  <si>
    <t>into cache ((numPrefMisses+numMisses)*64)</t>
  </si>
  <si>
    <t>out of cache (numDirtyEvictions *64)</t>
  </si>
  <si>
    <t>Total Traffic per memory op</t>
  </si>
  <si>
    <t>Write-Back Traffic</t>
  </si>
  <si>
    <t>Traffic (N=3)</t>
  </si>
  <si>
    <t>Traffic (N=2)</t>
  </si>
  <si>
    <t>Traffic (N=1)</t>
  </si>
  <si>
    <t>into cache (numMisses)*64)</t>
  </si>
  <si>
    <t>Traffic (N=0)</t>
  </si>
  <si>
    <t>Q: 3 64 b block size gives the lowest miss rate for each N</t>
  </si>
  <si>
    <t>Q: 1 N=2 has the lowest miss rate , 1.28</t>
  </si>
  <si>
    <t>Q:4  N=2 at b = 128 , this is smaller than lowest miss rate without prefetching , which is B = 256 B</t>
  </si>
  <si>
    <t>Q: 5 If prefectched blocks are marked as MRU , then it would be less effective as we are replacing the block is proven to be most recently used with a block we suppose could be used next. Setting the prefetched block as LRU, brings the block into cache and also gives us the freedom to evict it in case a new block needs to take its place. We cannot ignore temporal locality in order to accomodate for spatial locality.</t>
  </si>
  <si>
    <t>traffic, write back, 32KB</t>
  </si>
  <si>
    <t>traffic, write through,  32KB</t>
  </si>
  <si>
    <t>traffic, write through,  8KB</t>
  </si>
  <si>
    <t>traffic, write back,  8KB</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</si>
</sst>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s>
  <fills count="12">
    <fill>
      <patternFill patternType="none"/>
    </fill>
    <fill>
      <patternFill patternType="gray125"/>
    </fill>
    <fill>
      <patternFill patternType="solid">
        <fgColor theme="9" tint="0.59999389629810485"/>
        <bgColor indexed="64"/>
      </patternFill>
    </fill>
    <fill>
      <patternFill patternType="solid">
        <fgColor theme="6"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theme="0"/>
        <bgColor rgb="FF000000"/>
      </patternFill>
    </fill>
    <fill>
      <patternFill patternType="solid">
        <fgColor theme="6" tint="-0.249977111117893"/>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ABF8F"/>
        <bgColor rgb="FF000000"/>
      </patternFill>
    </fill>
  </fills>
  <borders count="1">
    <border>
      <left/>
      <right/>
      <top/>
      <bottom/>
      <diagonal/>
    </border>
  </borders>
  <cellStyleXfs count="10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3">
    <xf numFmtId="0" fontId="0" fillId="0" borderId="0" xfId="0"/>
    <xf numFmtId="49" fontId="0" fillId="0" borderId="0" xfId="0" applyNumberFormat="1"/>
    <xf numFmtId="49" fontId="0" fillId="0" borderId="0" xfId="0" applyNumberFormat="1" applyAlignment="1"/>
    <xf numFmtId="0" fontId="0" fillId="0" borderId="0" xfId="0" applyAlignment="1">
      <alignment wrapText="1"/>
    </xf>
    <xf numFmtId="49" fontId="0" fillId="2" borderId="0" xfId="0" applyNumberFormat="1" applyFill="1"/>
    <xf numFmtId="0" fontId="0" fillId="2" borderId="0" xfId="0" applyFill="1"/>
    <xf numFmtId="0" fontId="0" fillId="3" borderId="0" xfId="0" applyFill="1"/>
    <xf numFmtId="0" fontId="0" fillId="4" borderId="0" xfId="0" applyFill="1"/>
    <xf numFmtId="49" fontId="0" fillId="5" borderId="0" xfId="0" applyNumberFormat="1" applyFill="1" applyAlignment="1">
      <alignment horizontal="center"/>
    </xf>
    <xf numFmtId="49" fontId="0" fillId="5" borderId="0" xfId="0" applyNumberFormat="1" applyFill="1" applyAlignment="1"/>
    <xf numFmtId="0" fontId="0" fillId="5" borderId="0" xfId="0" applyFill="1"/>
    <xf numFmtId="0" fontId="4" fillId="0" borderId="0" xfId="0" applyFont="1"/>
    <xf numFmtId="0" fontId="3" fillId="0" borderId="0" xfId="0" applyFont="1" applyAlignment="1">
      <alignment horizontal="center" vertical="center"/>
    </xf>
    <xf numFmtId="0" fontId="4" fillId="6" borderId="0" xfId="0" applyFont="1" applyFill="1"/>
    <xf numFmtId="0" fontId="3" fillId="0" borderId="0" xfId="0" applyFont="1"/>
    <xf numFmtId="0" fontId="3" fillId="7" borderId="0" xfId="0" applyFont="1" applyFill="1" applyAlignment="1">
      <alignment horizontal="center"/>
    </xf>
    <xf numFmtId="0" fontId="3" fillId="8" borderId="0" xfId="0" applyFont="1" applyFill="1" applyAlignment="1">
      <alignment horizontal="center"/>
    </xf>
    <xf numFmtId="0" fontId="3" fillId="8" borderId="0" xfId="0" applyFont="1" applyFill="1" applyAlignment="1">
      <alignment horizontal="center"/>
    </xf>
    <xf numFmtId="0" fontId="3" fillId="9" borderId="0" xfId="0" applyFont="1" applyFill="1" applyAlignment="1">
      <alignment horizontal="center"/>
    </xf>
    <xf numFmtId="0" fontId="0" fillId="10" borderId="0" xfId="0" applyFill="1"/>
    <xf numFmtId="0" fontId="3" fillId="10" borderId="0" xfId="0" applyFont="1" applyFill="1" applyAlignment="1">
      <alignment horizontal="center"/>
    </xf>
    <xf numFmtId="0" fontId="4" fillId="11" borderId="0" xfId="0" applyFont="1" applyFill="1"/>
    <xf numFmtId="49" fontId="0" fillId="2" borderId="0" xfId="0" applyNumberFormat="1" applyFill="1" applyAlignment="1">
      <alignment horizontal="center"/>
    </xf>
    <xf numFmtId="49" fontId="0" fillId="5" borderId="0" xfId="0" applyNumberFormat="1" applyFill="1" applyAlignment="1">
      <alignment horizontal="left"/>
    </xf>
    <xf numFmtId="0" fontId="3" fillId="0" borderId="0" xfId="0" applyFont="1" applyAlignment="1">
      <alignment horizontal="center" vertical="center"/>
    </xf>
    <xf numFmtId="0" fontId="3" fillId="0" borderId="0" xfId="0" applyFont="1" applyAlignment="1">
      <alignment horizontal="center"/>
    </xf>
    <xf numFmtId="0" fontId="0" fillId="0" borderId="0" xfId="0" applyAlignment="1">
      <alignment horizontal="center"/>
    </xf>
    <xf numFmtId="49" fontId="3" fillId="10" borderId="0" xfId="0" applyNumberFormat="1" applyFont="1" applyFill="1" applyAlignment="1">
      <alignment horizontal="center"/>
    </xf>
    <xf numFmtId="49" fontId="3" fillId="0" borderId="0" xfId="0" applyNumberFormat="1" applyFont="1" applyAlignment="1">
      <alignment horizontal="center"/>
    </xf>
    <xf numFmtId="0" fontId="3" fillId="8" borderId="0" xfId="0" applyFont="1" applyFill="1" applyAlignment="1">
      <alignment horizontal="center"/>
    </xf>
    <xf numFmtId="0" fontId="3" fillId="9" borderId="0" xfId="0" applyFont="1" applyFill="1" applyAlignment="1">
      <alignment horizontal="center"/>
    </xf>
    <xf numFmtId="0" fontId="3" fillId="7" borderId="0" xfId="0" applyFont="1" applyFill="1" applyAlignment="1">
      <alignment horizontal="center"/>
    </xf>
    <xf numFmtId="0" fontId="3" fillId="10" borderId="0" xfId="0" applyFont="1" applyFill="1" applyAlignment="1">
      <alignment horizontal="center"/>
    </xf>
  </cellXfs>
  <cellStyles count="1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smoothMarker"/>
        <c:varyColors val="0"/>
        <c:ser>
          <c:idx val="0"/>
          <c:order val="0"/>
          <c:tx>
            <c:strRef>
              <c:f>'Q4'!$C$1</c:f>
              <c:strCache>
                <c:ptCount val="1"/>
                <c:pt idx="0">
                  <c:v>Y - cache miss rate (%)</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'Q4'!$C$2:$C$10</c:f>
              <c:numCache>
                <c:formatCode>General</c:formatCode>
                <c:ptCount val="9"/>
                <c:pt idx="0">
                  <c:v>27.4989944024962</c:v>
                </c:pt>
                <c:pt idx="1">
                  <c:v>22.50601948409625</c:v>
                </c:pt>
                <c:pt idx="2">
                  <c:v>18.45224282085571</c:v>
                </c:pt>
                <c:pt idx="3">
                  <c:v>8.551404162206745</c:v>
                </c:pt>
                <c:pt idx="4">
                  <c:v>6.352133010897518</c:v>
                </c:pt>
                <c:pt idx="5">
                  <c:v>4.502721962281714</c:v>
                </c:pt>
                <c:pt idx="6">
                  <c:v>1.625133797648642</c:v>
                </c:pt>
                <c:pt idx="7">
                  <c:v>1.199763233356959</c:v>
                </c:pt>
                <c:pt idx="8">
                  <c:v>0.827613594646869</c:v>
                </c:pt>
              </c:numCache>
            </c:numRef>
          </c:yVal>
          <c:smooth val="1"/>
        </c:ser>
        <c:dLbls>
          <c:showLegendKey val="0"/>
          <c:showVal val="0"/>
          <c:showCatName val="0"/>
          <c:showSerName val="0"/>
          <c:showPercent val="0"/>
          <c:showBubbleSize val="0"/>
        </c:dLbls>
        <c:axId val="-2116079592"/>
        <c:axId val="-2113857928"/>
      </c:scatterChart>
      <c:valAx>
        <c:axId val="-2116079592"/>
        <c:scaling>
          <c:orientation val="minMax"/>
        </c:scaling>
        <c:delete val="0"/>
        <c:axPos val="b"/>
        <c:numFmt formatCode="General" sourceLinked="1"/>
        <c:majorTickMark val="out"/>
        <c:minorTickMark val="none"/>
        <c:tickLblPos val="nextTo"/>
        <c:crossAx val="-2113857928"/>
        <c:crosses val="autoZero"/>
        <c:crossBetween val="midCat"/>
      </c:valAx>
      <c:valAx>
        <c:axId val="-2113857928"/>
        <c:scaling>
          <c:orientation val="minMax"/>
        </c:scaling>
        <c:delete val="0"/>
        <c:axPos val="l"/>
        <c:majorGridlines/>
        <c:numFmt formatCode="General" sourceLinked="1"/>
        <c:majorTickMark val="out"/>
        <c:minorTickMark val="none"/>
        <c:tickLblPos val="nextTo"/>
        <c:crossAx val="-2116079592"/>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1"/>
          <c:order val="0"/>
          <c:tx>
            <c:strRef>
              <c:f>'Q4'!$G$1</c:f>
              <c:strCache>
                <c:ptCount val="1"/>
                <c:pt idx="0">
                  <c:v>CPI Latency 10</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'Q4'!$G$2:$G$10</c:f>
              <c:numCache>
                <c:formatCode>General</c:formatCode>
                <c:ptCount val="9"/>
                <c:pt idx="0">
                  <c:v>4.474909496224658</c:v>
                </c:pt>
                <c:pt idx="1">
                  <c:v>4.025541753568662</c:v>
                </c:pt>
                <c:pt idx="2">
                  <c:v>3.660701853877013</c:v>
                </c:pt>
                <c:pt idx="3">
                  <c:v>2.769626374598607</c:v>
                </c:pt>
                <c:pt idx="4">
                  <c:v>2.571691970980777</c:v>
                </c:pt>
                <c:pt idx="5">
                  <c:v>2.405244976605354</c:v>
                </c:pt>
                <c:pt idx="6">
                  <c:v>2.146262041788378</c:v>
                </c:pt>
                <c:pt idx="7">
                  <c:v>2.107978691002126</c:v>
                </c:pt>
                <c:pt idx="8">
                  <c:v>2.074485223518218</c:v>
                </c:pt>
              </c:numCache>
            </c:numRef>
          </c:yVal>
          <c:smooth val="1"/>
        </c:ser>
        <c:ser>
          <c:idx val="0"/>
          <c:order val="1"/>
          <c:tx>
            <c:strRef>
              <c:f>'Q4'!$H$1</c:f>
              <c:strCache>
                <c:ptCount val="1"/>
                <c:pt idx="0">
                  <c:v>CPI Latency 25</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'Q4'!$H$2:$H$10</c:f>
              <c:numCache>
                <c:formatCode>General</c:formatCode>
                <c:ptCount val="9"/>
                <c:pt idx="0">
                  <c:v>8.59975865659909</c:v>
                </c:pt>
                <c:pt idx="1">
                  <c:v>7.4014446761831</c:v>
                </c:pt>
                <c:pt idx="2">
                  <c:v>6.428538277005369</c:v>
                </c:pt>
                <c:pt idx="3">
                  <c:v>4.052336998929619</c:v>
                </c:pt>
                <c:pt idx="4">
                  <c:v>3.524511922615404</c:v>
                </c:pt>
                <c:pt idx="5">
                  <c:v>3.080653270947612</c:v>
                </c:pt>
                <c:pt idx="6">
                  <c:v>2.390032111435674</c:v>
                </c:pt>
                <c:pt idx="7">
                  <c:v>2.28794317600567</c:v>
                </c:pt>
                <c:pt idx="8">
                  <c:v>2.198627262715249</c:v>
                </c:pt>
              </c:numCache>
            </c:numRef>
          </c:yVal>
          <c:smooth val="1"/>
        </c:ser>
        <c:ser>
          <c:idx val="2"/>
          <c:order val="2"/>
          <c:tx>
            <c:strRef>
              <c:f>'Q4'!$I$1</c:f>
              <c:strCache>
                <c:ptCount val="1"/>
                <c:pt idx="0">
                  <c:v>CPI Latency 100</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'Q4'!$I$2:$I$10</c:f>
              <c:numCache>
                <c:formatCode>General</c:formatCode>
                <c:ptCount val="9"/>
                <c:pt idx="0">
                  <c:v>29.22400445847124</c:v>
                </c:pt>
                <c:pt idx="1">
                  <c:v>24.28095928925529</c:v>
                </c:pt>
                <c:pt idx="2">
                  <c:v>20.26772039264715</c:v>
                </c:pt>
                <c:pt idx="3">
                  <c:v>10.46589012058468</c:v>
                </c:pt>
                <c:pt idx="4">
                  <c:v>8.288611680788543</c:v>
                </c:pt>
                <c:pt idx="5">
                  <c:v>6.457694742658897</c:v>
                </c:pt>
                <c:pt idx="6">
                  <c:v>3.608882459672156</c:v>
                </c:pt>
                <c:pt idx="7">
                  <c:v>3.187765601023389</c:v>
                </c:pt>
                <c:pt idx="8">
                  <c:v>2.8193374587004</c:v>
                </c:pt>
              </c:numCache>
            </c:numRef>
          </c:yVal>
          <c:smooth val="1"/>
        </c:ser>
        <c:dLbls>
          <c:showLegendKey val="0"/>
          <c:showVal val="0"/>
          <c:showCatName val="0"/>
          <c:showSerName val="0"/>
          <c:showPercent val="0"/>
          <c:showBubbleSize val="0"/>
        </c:dLbls>
        <c:axId val="2127292216"/>
        <c:axId val="-2113547432"/>
      </c:scatterChart>
      <c:valAx>
        <c:axId val="2127292216"/>
        <c:scaling>
          <c:orientation val="minMax"/>
        </c:scaling>
        <c:delete val="0"/>
        <c:axPos val="b"/>
        <c:numFmt formatCode="General" sourceLinked="1"/>
        <c:majorTickMark val="out"/>
        <c:minorTickMark val="none"/>
        <c:tickLblPos val="nextTo"/>
        <c:crossAx val="-2113547432"/>
        <c:crosses val="autoZero"/>
        <c:crossBetween val="midCat"/>
      </c:valAx>
      <c:valAx>
        <c:axId val="-2113547432"/>
        <c:scaling>
          <c:orientation val="minMax"/>
        </c:scaling>
        <c:delete val="0"/>
        <c:axPos val="l"/>
        <c:majorGridlines/>
        <c:numFmt formatCode="General" sourceLinked="1"/>
        <c:majorTickMark val="out"/>
        <c:minorTickMark val="none"/>
        <c:tickLblPos val="nextTo"/>
        <c:crossAx val="2127292216"/>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[1]Q6!$N$1</c:f>
              <c:strCache>
                <c:ptCount val="1"/>
                <c:pt idx="0">
                  <c:v>Write back Traffic</c:v>
                </c:pt>
              </c:strCache>
            </c:strRef>
          </c:tx>
          <c:xVal>
            <c:numRef>
              <c:f>[1]Q6!$C$3:$C$11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[1]Q6!$N$3:$N$11</c:f>
              <c:numCache>
                <c:formatCode>General</c:formatCode>
                <c:ptCount val="9"/>
                <c:pt idx="0">
                  <c:v>23.628846853624</c:v>
                </c:pt>
                <c:pt idx="1">
                  <c:v>19.28939065625873</c:v>
                </c:pt>
                <c:pt idx="2">
                  <c:v>15.8687076428311</c:v>
                </c:pt>
                <c:pt idx="3">
                  <c:v>7.649631780490957</c:v>
                </c:pt>
                <c:pt idx="4">
                  <c:v>5.665710382117382</c:v>
                </c:pt>
                <c:pt idx="5">
                  <c:v>4.027098274272207</c:v>
                </c:pt>
                <c:pt idx="6">
                  <c:v>1.523021253238781</c:v>
                </c:pt>
                <c:pt idx="7">
                  <c:v>1.18481947429812</c:v>
                </c:pt>
                <c:pt idx="8">
                  <c:v>0.864955668298506</c:v>
                </c:pt>
              </c:numCache>
            </c:numRef>
          </c:yVal>
          <c:smooth val="1"/>
        </c:ser>
        <c:ser>
          <c:idx val="1"/>
          <c:order val="1"/>
          <c:tx>
            <c:strRef>
              <c:f>[1]Q6!$I$1</c:f>
              <c:strCache>
                <c:ptCount val="1"/>
                <c:pt idx="0">
                  <c:v>Write through Traffic</c:v>
                </c:pt>
              </c:strCache>
            </c:strRef>
          </c:tx>
          <c:xVal>
            <c:numRef>
              <c:f>[1]Q6!$C$3:$C$11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[1]Q6!$I$3:$I$11</c:f>
              <c:numCache>
                <c:formatCode>General</c:formatCode>
                <c:ptCount val="9"/>
                <c:pt idx="0">
                  <c:v>19.34077749447002</c:v>
                </c:pt>
                <c:pt idx="1">
                  <c:v>16.14527354669405</c:v>
                </c:pt>
                <c:pt idx="2">
                  <c:v>13.5508564822201</c:v>
                </c:pt>
                <c:pt idx="3">
                  <c:v>7.214319740684766</c:v>
                </c:pt>
                <c:pt idx="4">
                  <c:v>5.806786203846862</c:v>
                </c:pt>
                <c:pt idx="5">
                  <c:v>4.623163132732746</c:v>
                </c:pt>
                <c:pt idx="6">
                  <c:v>2.781506707367581</c:v>
                </c:pt>
                <c:pt idx="7">
                  <c:v>2.509269546220903</c:v>
                </c:pt>
                <c:pt idx="8">
                  <c:v>2.271093777446446</c:v>
                </c:pt>
              </c:numCache>
            </c:numRef>
          </c:yVal>
          <c:smooth val="1"/>
        </c:ser>
        <c:dLbls>
          <c:showLegendKey val="0"/>
          <c:showVal val="0"/>
          <c:showCatName val="0"/>
          <c:showSerName val="0"/>
          <c:showPercent val="0"/>
          <c:showBubbleSize val="0"/>
        </c:dLbls>
        <c:axId val="-2116752664"/>
        <c:axId val="-2111557720"/>
      </c:scatterChart>
      <c:valAx>
        <c:axId val="-2116752664"/>
        <c:scaling>
          <c:orientation val="minMax"/>
        </c:scaling>
        <c:delete val="0"/>
        <c:axPos val="b"/>
        <c:numFmt formatCode="General" sourceLinked="1"/>
        <c:majorTickMark val="out"/>
        <c:minorTickMark val="none"/>
        <c:tickLblPos val="nextTo"/>
        <c:crossAx val="-2111557720"/>
        <c:crosses val="autoZero"/>
        <c:crossBetween val="midCat"/>
      </c:valAx>
      <c:valAx>
        <c:axId val="-2111557720"/>
        <c:scaling>
          <c:orientation val="minMax"/>
        </c:scaling>
        <c:delete val="0"/>
        <c:axPos val="l"/>
        <c:majorGridlines/>
        <c:numFmt formatCode="General" sourceLinked="1"/>
        <c:majorTickMark val="out"/>
        <c:minorTickMark val="none"/>
        <c:tickLblPos val="nextTo"/>
        <c:crossAx val="-211675266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[1]Q7!$C$2</c:f>
              <c:strCache>
                <c:ptCount val="1"/>
                <c:pt idx="0">
                  <c:v>1- Way Miss Rate</c:v>
                </c:pt>
              </c:strCache>
            </c:strRef>
          </c:tx>
          <c:xVal>
            <c:numRef>
              <c:f>[1]Q7!$B$3:$B$11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[1]Q7!$C$3:$C$11</c:f>
              <c:numCache>
                <c:formatCode>General</c:formatCode>
                <c:ptCount val="9"/>
                <c:pt idx="0">
                  <c:v>27.4989944024962</c:v>
                </c:pt>
                <c:pt idx="1">
                  <c:v>22.50601948409625</c:v>
                </c:pt>
                <c:pt idx="2">
                  <c:v>18.45224282085571</c:v>
                </c:pt>
                <c:pt idx="3">
                  <c:v>8.551404162206745</c:v>
                </c:pt>
                <c:pt idx="4">
                  <c:v>6.352133010897518</c:v>
                </c:pt>
                <c:pt idx="5">
                  <c:v>4.502721962281714</c:v>
                </c:pt>
                <c:pt idx="6">
                  <c:v>1.625133797648642</c:v>
                </c:pt>
                <c:pt idx="7">
                  <c:v>1.199763233356959</c:v>
                </c:pt>
                <c:pt idx="8">
                  <c:v>0.827613594646869</c:v>
                </c:pt>
              </c:numCache>
            </c:numRef>
          </c:yVal>
          <c:smooth val="1"/>
        </c:ser>
        <c:ser>
          <c:idx val="1"/>
          <c:order val="1"/>
          <c:tx>
            <c:strRef>
              <c:f>[1]Q7!$I$2</c:f>
              <c:strCache>
                <c:ptCount val="1"/>
                <c:pt idx="0">
                  <c:v>2- Way Miss Rate </c:v>
                </c:pt>
              </c:strCache>
            </c:strRef>
          </c:tx>
          <c:xVal>
            <c:numRef>
              <c:f>[1]Q7!$B$3:$B$11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[1]Q7!$I$3:$I$11</c:f>
              <c:numCache>
                <c:formatCode>General</c:formatCode>
                <c:ptCount val="9"/>
                <c:pt idx="0">
                  <c:v>26.33874196529206</c:v>
                </c:pt>
                <c:pt idx="1">
                  <c:v>21.5354365953047</c:v>
                </c:pt>
                <c:pt idx="2">
                  <c:v>17.32646110577693</c:v>
                </c:pt>
                <c:pt idx="3">
                  <c:v>7.839792846914218</c:v>
                </c:pt>
                <c:pt idx="4">
                  <c:v>5.671259701034572</c:v>
                </c:pt>
                <c:pt idx="5">
                  <c:v>3.928365037050789</c:v>
                </c:pt>
                <c:pt idx="6">
                  <c:v>1.250216348501418</c:v>
                </c:pt>
                <c:pt idx="7">
                  <c:v>0.936486848428415</c:v>
                </c:pt>
                <c:pt idx="8">
                  <c:v>0.589928376962406</c:v>
                </c:pt>
              </c:numCache>
            </c:numRef>
          </c:yVal>
          <c:smooth val="1"/>
        </c:ser>
        <c:dLbls>
          <c:showLegendKey val="0"/>
          <c:showVal val="0"/>
          <c:showCatName val="0"/>
          <c:showSerName val="0"/>
          <c:showPercent val="0"/>
          <c:showBubbleSize val="0"/>
        </c:dLbls>
        <c:axId val="-2113776264"/>
        <c:axId val="-2110918056"/>
      </c:scatterChart>
      <c:valAx>
        <c:axId val="-2113776264"/>
        <c:scaling>
          <c:orientation val="minMax"/>
        </c:scaling>
        <c:delete val="0"/>
        <c:axPos val="b"/>
        <c:numFmt formatCode="General" sourceLinked="1"/>
        <c:majorTickMark val="out"/>
        <c:minorTickMark val="none"/>
        <c:tickLblPos val="nextTo"/>
        <c:crossAx val="-2110918056"/>
        <c:crosses val="autoZero"/>
        <c:crossBetween val="midCat"/>
      </c:valAx>
      <c:valAx>
        <c:axId val="-2110918056"/>
        <c:scaling>
          <c:orientation val="minMax"/>
        </c:scaling>
        <c:delete val="0"/>
        <c:axPos val="l"/>
        <c:majorGridlines/>
        <c:numFmt formatCode="General" sourceLinked="1"/>
        <c:majorTickMark val="out"/>
        <c:minorTickMark val="none"/>
        <c:tickLblPos val="nextTo"/>
        <c:crossAx val="-211377626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'Q8'!$E$1</c:f>
              <c:strCache>
                <c:ptCount val="1"/>
                <c:pt idx="0">
                  <c:v>Miss Rate 8KB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'Q8'!$E$2:$E$10</c:f>
              <c:numCache>
                <c:formatCode>General</c:formatCode>
                <c:ptCount val="9"/>
                <c:pt idx="0">
                  <c:v>43.41334440779815</c:v>
                </c:pt>
                <c:pt idx="1">
                  <c:v>22.57276521264358</c:v>
                </c:pt>
                <c:pt idx="2">
                  <c:v>12.14515219814912</c:v>
                </c:pt>
                <c:pt idx="3">
                  <c:v>6.961877218478627</c:v>
                </c:pt>
                <c:pt idx="4">
                  <c:v>4.501823531819586</c:v>
                </c:pt>
                <c:pt idx="5">
                  <c:v>3.660378942659348</c:v>
                </c:pt>
                <c:pt idx="6">
                  <c:v>3.491341064186451</c:v>
                </c:pt>
                <c:pt idx="7">
                  <c:v>4.328285443363749</c:v>
                </c:pt>
                <c:pt idx="8">
                  <c:v>6.052822715416228</c:v>
                </c:pt>
              </c:numCache>
            </c:numRef>
          </c:yVal>
          <c:smooth val="1"/>
        </c:ser>
        <c:ser>
          <c:idx val="1"/>
          <c:order val="1"/>
          <c:tx>
            <c:strRef>
              <c:f>'Q8'!$L$1</c:f>
              <c:strCache>
                <c:ptCount val="1"/>
                <c:pt idx="0">
                  <c:v>Miss Rate 32 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'Q8'!$L$2:$L$10</c:f>
              <c:numCache>
                <c:formatCode>General</c:formatCode>
                <c:ptCount val="9"/>
                <c:pt idx="0">
                  <c:v>20.01411784764747</c:v>
                </c:pt>
                <c:pt idx="1">
                  <c:v>10.55695275593343</c:v>
                </c:pt>
                <c:pt idx="2">
                  <c:v>5.712899737094268</c:v>
                </c:pt>
                <c:pt idx="3">
                  <c:v>3.203881590249314</c:v>
                </c:pt>
                <c:pt idx="4">
                  <c:v>1.947047878366536</c:v>
                </c:pt>
                <c:pt idx="5">
                  <c:v>1.354829108051129</c:v>
                </c:pt>
                <c:pt idx="6">
                  <c:v>1.150315312832681</c:v>
                </c:pt>
                <c:pt idx="7">
                  <c:v>1.349249169979176</c:v>
                </c:pt>
                <c:pt idx="8">
                  <c:v>1.940102164838703</c:v>
                </c:pt>
              </c:numCache>
            </c:numRef>
          </c:yVal>
          <c:smooth val="1"/>
        </c:ser>
        <c:dLbls>
          <c:showLegendKey val="0"/>
          <c:showVal val="0"/>
          <c:showCatName val="0"/>
          <c:showSerName val="0"/>
          <c:showPercent val="0"/>
          <c:showBubbleSize val="0"/>
        </c:dLbls>
        <c:axId val="-2119304904"/>
        <c:axId val="-2116744312"/>
      </c:scatterChart>
      <c:valAx>
        <c:axId val="-2119304904"/>
        <c:scaling>
          <c:orientation val="minMax"/>
        </c:scaling>
        <c:delete val="0"/>
        <c:axPos val="b"/>
        <c:numFmt formatCode="General" sourceLinked="1"/>
        <c:majorTickMark val="out"/>
        <c:minorTickMark val="none"/>
        <c:tickLblPos val="nextTo"/>
        <c:crossAx val="-2116744312"/>
        <c:crosses val="autoZero"/>
        <c:crossBetween val="midCat"/>
      </c:valAx>
      <c:valAx>
        <c:axId val="-2116744312"/>
        <c:scaling>
          <c:orientation val="minMax"/>
        </c:scaling>
        <c:delete val="0"/>
        <c:axPos val="l"/>
        <c:majorGridlines/>
        <c:numFmt formatCode="General" sourceLinked="1"/>
        <c:majorTickMark val="out"/>
        <c:minorTickMark val="none"/>
        <c:tickLblPos val="nextTo"/>
        <c:crossAx val="-211930490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'Q8'!$V$1</c:f>
              <c:strCache>
                <c:ptCount val="1"/>
                <c:pt idx="0">
                  <c:v>traffic, write back,  8KB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'Q8'!$V$2:$V$10</c:f>
              <c:numCache>
                <c:formatCode>General</c:formatCode>
                <c:ptCount val="9"/>
                <c:pt idx="0">
                  <c:v>43.36844222310534</c:v>
                </c:pt>
                <c:pt idx="1">
                  <c:v>22.37769533167474</c:v>
                </c:pt>
                <c:pt idx="2">
                  <c:v>11.88116673805764</c:v>
                </c:pt>
                <c:pt idx="3">
                  <c:v>6.670745782694892</c:v>
                </c:pt>
                <c:pt idx="4">
                  <c:v>4.18836904010239</c:v>
                </c:pt>
                <c:pt idx="5">
                  <c:v>3.303955060105401</c:v>
                </c:pt>
                <c:pt idx="6">
                  <c:v>3.077631160372496</c:v>
                </c:pt>
                <c:pt idx="7">
                  <c:v>3.764316308116364</c:v>
                </c:pt>
                <c:pt idx="8">
                  <c:v>5.167568320197716</c:v>
                </c:pt>
              </c:numCache>
            </c:numRef>
          </c:yVal>
          <c:smooth val="1"/>
        </c:ser>
        <c:ser>
          <c:idx val="1"/>
          <c:order val="1"/>
          <c:tx>
            <c:strRef>
              <c:f>'Q8'!$AE$1</c:f>
              <c:strCache>
                <c:ptCount val="1"/>
                <c:pt idx="0">
                  <c:v>traffic, write back, 32KB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'Q8'!$AE$2:$AE$10</c:f>
              <c:numCache>
                <c:formatCode>General</c:formatCode>
                <c:ptCount val="9"/>
                <c:pt idx="0">
                  <c:v>20.17534010629037</c:v>
                </c:pt>
                <c:pt idx="1">
                  <c:v>10.56267241404317</c:v>
                </c:pt>
                <c:pt idx="2">
                  <c:v>5.657057086674447</c:v>
                </c:pt>
                <c:pt idx="3">
                  <c:v>3.125233309901622</c:v>
                </c:pt>
                <c:pt idx="4">
                  <c:v>1.851899338400642</c:v>
                </c:pt>
                <c:pt idx="5">
                  <c:v>1.244246419089851</c:v>
                </c:pt>
                <c:pt idx="6">
                  <c:v>1.02184048193905</c:v>
                </c:pt>
                <c:pt idx="7">
                  <c:v>1.182335132772713</c:v>
                </c:pt>
                <c:pt idx="8">
                  <c:v>1.663385904810527</c:v>
                </c:pt>
              </c:numCache>
            </c:numRef>
          </c:yVal>
          <c:smooth val="1"/>
        </c:ser>
        <c:dLbls>
          <c:showLegendKey val="0"/>
          <c:showVal val="0"/>
          <c:showCatName val="0"/>
          <c:showSerName val="0"/>
          <c:showPercent val="0"/>
          <c:showBubbleSize val="0"/>
        </c:dLbls>
        <c:axId val="-2116327928"/>
        <c:axId val="-2111404744"/>
      </c:scatterChart>
      <c:valAx>
        <c:axId val="-2116327928"/>
        <c:scaling>
          <c:orientation val="minMax"/>
        </c:scaling>
        <c:delete val="0"/>
        <c:axPos val="b"/>
        <c:numFmt formatCode="General" sourceLinked="1"/>
        <c:majorTickMark val="out"/>
        <c:minorTickMark val="none"/>
        <c:tickLblPos val="nextTo"/>
        <c:crossAx val="-2111404744"/>
        <c:crosses val="autoZero"/>
        <c:crossBetween val="midCat"/>
      </c:valAx>
      <c:valAx>
        <c:axId val="-2111404744"/>
        <c:scaling>
          <c:orientation val="minMax"/>
        </c:scaling>
        <c:delete val="0"/>
        <c:axPos val="l"/>
        <c:majorGridlines/>
        <c:numFmt formatCode="General" sourceLinked="1"/>
        <c:majorTickMark val="out"/>
        <c:minorTickMark val="none"/>
        <c:tickLblPos val="nextTo"/>
        <c:crossAx val="-2116327928"/>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'Q8'!$T$1</c:f>
              <c:strCache>
                <c:ptCount val="1"/>
                <c:pt idx="0">
                  <c:v>traffic, write through,  8KB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'Q8'!$T$2:$T$10</c:f>
              <c:numCache>
                <c:formatCode>General</c:formatCode>
                <c:ptCount val="9"/>
                <c:pt idx="0">
                  <c:v>29.52596149786327</c:v>
                </c:pt>
                <c:pt idx="1">
                  <c:v>16.18799081296434</c:v>
                </c:pt>
                <c:pt idx="2">
                  <c:v>9.514318483687887</c:v>
                </c:pt>
                <c:pt idx="3">
                  <c:v>6.197022496698771</c:v>
                </c:pt>
                <c:pt idx="4">
                  <c:v>4.622588137236986</c:v>
                </c:pt>
                <c:pt idx="5">
                  <c:v>4.084063600174432</c:v>
                </c:pt>
                <c:pt idx="6">
                  <c:v>3.975879357951778</c:v>
                </c:pt>
                <c:pt idx="7">
                  <c:v>4.511523760625249</c:v>
                </c:pt>
                <c:pt idx="8">
                  <c:v>5.615227614738836</c:v>
                </c:pt>
              </c:numCache>
            </c:numRef>
          </c:yVal>
          <c:smooth val="1"/>
        </c:ser>
        <c:ser>
          <c:idx val="1"/>
          <c:order val="1"/>
          <c:tx>
            <c:strRef>
              <c:f>'Q8'!$AB$1</c:f>
              <c:strCache>
                <c:ptCount val="1"/>
                <c:pt idx="0">
                  <c:v>traffic, write through,  32KB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'Q8'!$AB$2:$AB$10</c:f>
              <c:numCache>
                <c:formatCode>General</c:formatCode>
                <c:ptCount val="9"/>
                <c:pt idx="0">
                  <c:v>14.55045649936683</c:v>
                </c:pt>
                <c:pt idx="1">
                  <c:v>8.497870840669843</c:v>
                </c:pt>
                <c:pt idx="2">
                  <c:v>5.397676908612781</c:v>
                </c:pt>
                <c:pt idx="3">
                  <c:v>3.791905294632011</c:v>
                </c:pt>
                <c:pt idx="4">
                  <c:v>2.987531719027032</c:v>
                </c:pt>
                <c:pt idx="5">
                  <c:v>2.608511706025172</c:v>
                </c:pt>
                <c:pt idx="6">
                  <c:v>2.477622877085366</c:v>
                </c:pt>
                <c:pt idx="7">
                  <c:v>2.604940545659122</c:v>
                </c:pt>
                <c:pt idx="8">
                  <c:v>2.98308646236922</c:v>
                </c:pt>
              </c:numCache>
            </c:numRef>
          </c:yVal>
          <c:smooth val="1"/>
        </c:ser>
        <c:dLbls>
          <c:showLegendKey val="0"/>
          <c:showVal val="0"/>
          <c:showCatName val="0"/>
          <c:showSerName val="0"/>
          <c:showPercent val="0"/>
          <c:showBubbleSize val="0"/>
        </c:dLbls>
        <c:axId val="-2116429432"/>
        <c:axId val="-2113185176"/>
      </c:scatterChart>
      <c:valAx>
        <c:axId val="-2116429432"/>
        <c:scaling>
          <c:orientation val="minMax"/>
        </c:scaling>
        <c:delete val="0"/>
        <c:axPos val="b"/>
        <c:numFmt formatCode="General" sourceLinked="1"/>
        <c:majorTickMark val="out"/>
        <c:minorTickMark val="none"/>
        <c:tickLblPos val="nextTo"/>
        <c:crossAx val="-2113185176"/>
        <c:crosses val="autoZero"/>
        <c:crossBetween val="midCat"/>
      </c:valAx>
      <c:valAx>
        <c:axId val="-2113185176"/>
        <c:scaling>
          <c:orientation val="minMax"/>
        </c:scaling>
        <c:delete val="0"/>
        <c:axPos val="l"/>
        <c:majorGridlines/>
        <c:numFmt formatCode="General" sourceLinked="1"/>
        <c:majorTickMark val="out"/>
        <c:minorTickMark val="none"/>
        <c:tickLblPos val="nextTo"/>
        <c:crossAx val="-2116429432"/>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255836519229309"/>
          <c:y val="0.0376249858719813"/>
          <c:w val="0.833746507493015"/>
          <c:h val="0.894361944426368"/>
        </c:manualLayout>
      </c:layout>
      <c:scatterChart>
        <c:scatterStyle val="smoothMarker"/>
        <c:varyColors val="0"/>
        <c:ser>
          <c:idx val="0"/>
          <c:order val="0"/>
          <c:tx>
            <c:strRef>
              <c:f>'Q9'!$F$3</c:f>
              <c:strCache>
                <c:ptCount val="1"/>
                <c:pt idx="0">
                  <c:v>miss rate (N=0)</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'Q9'!$F$4:$F$12</c:f>
              <c:numCache>
                <c:formatCode>General</c:formatCode>
                <c:ptCount val="9"/>
                <c:pt idx="0">
                  <c:v>34.80926724172662</c:v>
                </c:pt>
                <c:pt idx="1">
                  <c:v>18.10276344317874</c:v>
                </c:pt>
                <c:pt idx="2">
                  <c:v>10.57583993981886</c:v>
                </c:pt>
                <c:pt idx="3">
                  <c:v>5.538910418989291</c:v>
                </c:pt>
                <c:pt idx="4">
                  <c:v>3.630400372844613</c:v>
                </c:pt>
                <c:pt idx="5">
                  <c:v>3.009327078001168</c:v>
                </c:pt>
                <c:pt idx="6">
                  <c:v>2.971995882207145</c:v>
                </c:pt>
                <c:pt idx="7">
                  <c:v>4.121412764577699</c:v>
                </c:pt>
                <c:pt idx="8">
                  <c:v>5.259955818171211</c:v>
                </c:pt>
              </c:numCache>
            </c:numRef>
          </c:yVal>
          <c:smooth val="1"/>
        </c:ser>
        <c:ser>
          <c:idx val="1"/>
          <c:order val="1"/>
          <c:tx>
            <c:strRef>
              <c:f>'Q9'!$M$3</c:f>
              <c:strCache>
                <c:ptCount val="1"/>
                <c:pt idx="0">
                  <c:v>miss rate(N=1)</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'Q9'!$M$4:$M$12</c:f>
              <c:numCache>
                <c:formatCode>General</c:formatCode>
                <c:ptCount val="9"/>
                <c:pt idx="0">
                  <c:v>12.24069806193643</c:v>
                </c:pt>
                <c:pt idx="1">
                  <c:v>6.50475741088295</c:v>
                </c:pt>
                <c:pt idx="2">
                  <c:v>3.69107061647317</c:v>
                </c:pt>
                <c:pt idx="3">
                  <c:v>2.259780241491662</c:v>
                </c:pt>
                <c:pt idx="4">
                  <c:v>1.60111186208617</c:v>
                </c:pt>
                <c:pt idx="5">
                  <c:v>1.32864771631063</c:v>
                </c:pt>
                <c:pt idx="6">
                  <c:v>1.418075792399552</c:v>
                </c:pt>
                <c:pt idx="7">
                  <c:v>1.977665018711527</c:v>
                </c:pt>
                <c:pt idx="8">
                  <c:v>2.732469486400744</c:v>
                </c:pt>
              </c:numCache>
            </c:numRef>
          </c:yVal>
          <c:smooth val="1"/>
        </c:ser>
        <c:ser>
          <c:idx val="2"/>
          <c:order val="2"/>
          <c:tx>
            <c:strRef>
              <c:f>'Q9'!$V$3</c:f>
              <c:strCache>
                <c:ptCount val="1"/>
                <c:pt idx="0">
                  <c:v>miss rate (N=2)</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'Q9'!$V$4:$V$12</c:f>
              <c:numCache>
                <c:formatCode>General</c:formatCode>
                <c:ptCount val="9"/>
                <c:pt idx="0">
                  <c:v>9.748476133013476</c:v>
                </c:pt>
                <c:pt idx="1">
                  <c:v>5.253453276620212</c:v>
                </c:pt>
                <c:pt idx="2">
                  <c:v>3.029932560505867</c:v>
                </c:pt>
                <c:pt idx="3">
                  <c:v>1.903282631236115</c:v>
                </c:pt>
                <c:pt idx="4">
                  <c:v>1.384614293730519</c:v>
                </c:pt>
                <c:pt idx="5">
                  <c:v>1.277958914251218</c:v>
                </c:pt>
                <c:pt idx="6">
                  <c:v>1.449772660833557</c:v>
                </c:pt>
                <c:pt idx="7">
                  <c:v>2.029479880475712</c:v>
                </c:pt>
                <c:pt idx="8">
                  <c:v>3.062658796576972</c:v>
                </c:pt>
              </c:numCache>
            </c:numRef>
          </c:yVal>
          <c:smooth val="1"/>
        </c:ser>
        <c:ser>
          <c:idx val="3"/>
          <c:order val="3"/>
          <c:tx>
            <c:strRef>
              <c:f>'Q9'!$AE$3</c:f>
              <c:strCache>
                <c:ptCount val="1"/>
                <c:pt idx="0">
                  <c:v>miss rate(N=3)</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'Q9'!$AE$4:$AE$12</c:f>
              <c:numCache>
                <c:formatCode>General</c:formatCode>
                <c:ptCount val="9"/>
                <c:pt idx="0">
                  <c:v>7.703406671043594</c:v>
                </c:pt>
                <c:pt idx="1">
                  <c:v>4.25832067473014</c:v>
                </c:pt>
                <c:pt idx="2">
                  <c:v>2.497670929819931</c:v>
                </c:pt>
                <c:pt idx="3">
                  <c:v>1.6389144317101</c:v>
                </c:pt>
                <c:pt idx="4">
                  <c:v>1.282408763782246</c:v>
                </c:pt>
                <c:pt idx="5">
                  <c:v>1.292019552425311</c:v>
                </c:pt>
                <c:pt idx="6">
                  <c:v>1.53012376906969</c:v>
                </c:pt>
                <c:pt idx="7">
                  <c:v>2.276693295662104</c:v>
                </c:pt>
                <c:pt idx="8">
                  <c:v>3.488166341297859</c:v>
                </c:pt>
              </c:numCache>
            </c:numRef>
          </c:yVal>
          <c:smooth val="1"/>
        </c:ser>
        <c:dLbls>
          <c:showLegendKey val="0"/>
          <c:showVal val="0"/>
          <c:showCatName val="0"/>
          <c:showSerName val="0"/>
          <c:showPercent val="0"/>
          <c:showBubbleSize val="0"/>
        </c:dLbls>
        <c:axId val="-2112777784"/>
        <c:axId val="-2112839016"/>
      </c:scatterChart>
      <c:valAx>
        <c:axId val="-2112777784"/>
        <c:scaling>
          <c:orientation val="minMax"/>
        </c:scaling>
        <c:delete val="0"/>
        <c:axPos val="b"/>
        <c:numFmt formatCode="General" sourceLinked="1"/>
        <c:majorTickMark val="out"/>
        <c:minorTickMark val="none"/>
        <c:tickLblPos val="nextTo"/>
        <c:crossAx val="-2112839016"/>
        <c:crosses val="autoZero"/>
        <c:crossBetween val="midCat"/>
      </c:valAx>
      <c:valAx>
        <c:axId val="-2112839016"/>
        <c:scaling>
          <c:orientation val="minMax"/>
        </c:scaling>
        <c:delete val="0"/>
        <c:axPos val="l"/>
        <c:majorGridlines/>
        <c:numFmt formatCode="General" sourceLinked="1"/>
        <c:majorTickMark val="out"/>
        <c:minorTickMark val="none"/>
        <c:tickLblPos val="nextTo"/>
        <c:crossAx val="-2112777784"/>
        <c:crosses val="autoZero"/>
        <c:crossBetween val="midCat"/>
      </c:valAx>
    </c:plotArea>
    <c:legend>
      <c:legendPos val="r"/>
      <c:layout>
        <c:manualLayout>
          <c:xMode val="edge"/>
          <c:yMode val="edge"/>
          <c:x val="0.850160577611365"/>
          <c:y val="0.200525566834266"/>
          <c:w val="0.149839374916845"/>
          <c:h val="0.192180989338055"/>
        </c:manualLayout>
      </c:layout>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'Q9'!$J$3</c:f>
              <c:strCache>
                <c:ptCount val="1"/>
                <c:pt idx="0">
                  <c:v>Traffic (N=0)</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'Q9'!$J$4:$J$12</c:f>
              <c:numCache>
                <c:formatCode>General</c:formatCode>
                <c:ptCount val="9"/>
                <c:pt idx="0">
                  <c:v>36.25180419340605</c:v>
                </c:pt>
                <c:pt idx="1">
                  <c:v>18.65633092924622</c:v>
                </c:pt>
                <c:pt idx="2">
                  <c:v>10.66286731302091</c:v>
                </c:pt>
                <c:pt idx="3">
                  <c:v>5.446693824245406</c:v>
                </c:pt>
                <c:pt idx="4">
                  <c:v>3.426380110054911</c:v>
                </c:pt>
                <c:pt idx="5">
                  <c:v>2.704067158442522</c:v>
                </c:pt>
                <c:pt idx="6">
                  <c:v>2.575758073868228</c:v>
                </c:pt>
                <c:pt idx="7">
                  <c:v>3.519350177736136</c:v>
                </c:pt>
                <c:pt idx="8">
                  <c:v>4.36066141241971</c:v>
                </c:pt>
              </c:numCache>
            </c:numRef>
          </c:yVal>
          <c:smooth val="1"/>
        </c:ser>
        <c:ser>
          <c:idx val="1"/>
          <c:order val="1"/>
          <c:tx>
            <c:strRef>
              <c:f>'Q9'!$R$3</c:f>
              <c:strCache>
                <c:ptCount val="1"/>
                <c:pt idx="0">
                  <c:v>Traffic (N=1)</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'Q9'!$R$4:$R$12</c:f>
              <c:numCache>
                <c:formatCode>General</c:formatCode>
                <c:ptCount val="9"/>
                <c:pt idx="0">
                  <c:v>22.70866067627077</c:v>
                </c:pt>
                <c:pt idx="1">
                  <c:v>11.94053695683634</c:v>
                </c:pt>
                <c:pt idx="2">
                  <c:v>6.465806300648514</c:v>
                </c:pt>
                <c:pt idx="3">
                  <c:v>3.746844696101666</c:v>
                </c:pt>
                <c:pt idx="4">
                  <c:v>2.471035407668261</c:v>
                </c:pt>
                <c:pt idx="5">
                  <c:v>1.850910500855241</c:v>
                </c:pt>
                <c:pt idx="6">
                  <c:v>1.829955395949182</c:v>
                </c:pt>
                <c:pt idx="7">
                  <c:v>2.479028618595883</c:v>
                </c:pt>
                <c:pt idx="8">
                  <c:v>3.313339347579942</c:v>
                </c:pt>
              </c:numCache>
            </c:numRef>
          </c:yVal>
          <c:smooth val="1"/>
        </c:ser>
        <c:ser>
          <c:idx val="2"/>
          <c:order val="2"/>
          <c:tx>
            <c:strRef>
              <c:f>'Q9'!$AA$3</c:f>
              <c:strCache>
                <c:ptCount val="1"/>
                <c:pt idx="0">
                  <c:v>Traffic (N=2)</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'Q9'!$AA$4:$AA$12</c:f>
              <c:numCache>
                <c:formatCode>General</c:formatCode>
                <c:ptCount val="9"/>
                <c:pt idx="0">
                  <c:v>22.7086387594021</c:v>
                </c:pt>
                <c:pt idx="1">
                  <c:v>12.00961248075425</c:v>
                </c:pt>
                <c:pt idx="2">
                  <c:v>6.68930679200537</c:v>
                </c:pt>
                <c:pt idx="3">
                  <c:v>4.01263314094835</c:v>
                </c:pt>
                <c:pt idx="4">
                  <c:v>2.709997605259791</c:v>
                </c:pt>
                <c:pt idx="5">
                  <c:v>2.273218907940449</c:v>
                </c:pt>
                <c:pt idx="6">
                  <c:v>2.452082473176814</c:v>
                </c:pt>
                <c:pt idx="7">
                  <c:v>3.431004569344811</c:v>
                </c:pt>
                <c:pt idx="8">
                  <c:v>5.085033260459745</c:v>
                </c:pt>
              </c:numCache>
            </c:numRef>
          </c:yVal>
          <c:smooth val="1"/>
        </c:ser>
        <c:ser>
          <c:idx val="3"/>
          <c:order val="3"/>
          <c:tx>
            <c:strRef>
              <c:f>'Q9'!$AK$3</c:f>
              <c:strCache>
                <c:ptCount val="1"/>
                <c:pt idx="0">
                  <c:v>Traffic (N=3)</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'Q9'!$AK$4:$AK$12</c:f>
              <c:numCache>
                <c:formatCode>General</c:formatCode>
                <c:ptCount val="9"/>
                <c:pt idx="0">
                  <c:v>22.7211532914141</c:v>
                </c:pt>
                <c:pt idx="1">
                  <c:v>12.22294870195734</c:v>
                </c:pt>
                <c:pt idx="2">
                  <c:v>6.90543676935042</c:v>
                </c:pt>
                <c:pt idx="3">
                  <c:v>4.258789228374739</c:v>
                </c:pt>
                <c:pt idx="4">
                  <c:v>3.082967273280468</c:v>
                </c:pt>
                <c:pt idx="5">
                  <c:v>2.805289571792732</c:v>
                </c:pt>
                <c:pt idx="6">
                  <c:v>3.231830512986873</c:v>
                </c:pt>
                <c:pt idx="7">
                  <c:v>4.836223942696413</c:v>
                </c:pt>
                <c:pt idx="8">
                  <c:v>7.471122752836058</c:v>
                </c:pt>
              </c:numCache>
            </c:numRef>
          </c:yVal>
          <c:smooth val="1"/>
        </c:ser>
        <c:dLbls>
          <c:showLegendKey val="0"/>
          <c:showVal val="0"/>
          <c:showCatName val="0"/>
          <c:showSerName val="0"/>
          <c:showPercent val="0"/>
          <c:showBubbleSize val="0"/>
        </c:dLbls>
        <c:axId val="-2110320136"/>
        <c:axId val="-2112221240"/>
      </c:scatterChart>
      <c:valAx>
        <c:axId val="-2110320136"/>
        <c:scaling>
          <c:orientation val="minMax"/>
        </c:scaling>
        <c:delete val="0"/>
        <c:axPos val="b"/>
        <c:numFmt formatCode="General" sourceLinked="1"/>
        <c:majorTickMark val="out"/>
        <c:minorTickMark val="none"/>
        <c:tickLblPos val="nextTo"/>
        <c:crossAx val="-2112221240"/>
        <c:crosses val="autoZero"/>
        <c:crossBetween val="midCat"/>
      </c:valAx>
      <c:valAx>
        <c:axId val="-2112221240"/>
        <c:scaling>
          <c:orientation val="minMax"/>
        </c:scaling>
        <c:delete val="0"/>
        <c:axPos val="l"/>
        <c:majorGridlines/>
        <c:numFmt formatCode="General" sourceLinked="1"/>
        <c:majorTickMark val="out"/>
        <c:minorTickMark val="none"/>
        <c:tickLblPos val="nextTo"/>
        <c:crossAx val="-211032013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76200</xdr:colOff>
      <xdr:row>23</xdr:row>
      <xdr:rowOff>31750</xdr:rowOff>
    </xdr:from>
    <xdr:to>
      <xdr:col>3</xdr:col>
      <xdr:colOff>1435100</xdr:colOff>
      <xdr:row>37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31750</xdr:rowOff>
    </xdr:from>
    <xdr:to>
      <xdr:col>11</xdr:col>
      <xdr:colOff>12700</xdr:colOff>
      <xdr:row>27</xdr:row>
      <xdr:rowOff>107950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317500</xdr:colOff>
      <xdr:row>21</xdr:row>
      <xdr:rowOff>19050</xdr:rowOff>
    </xdr:from>
    <xdr:to>
      <xdr:col>8</xdr:col>
      <xdr:colOff>190500</xdr:colOff>
      <xdr:row>52</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88900</xdr:colOff>
      <xdr:row>19</xdr:row>
      <xdr:rowOff>12700</xdr:rowOff>
    </xdr:from>
    <xdr:to>
      <xdr:col>8</xdr:col>
      <xdr:colOff>1079500</xdr:colOff>
      <xdr:row>40</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292100</xdr:colOff>
      <xdr:row>11</xdr:row>
      <xdr:rowOff>107950</xdr:rowOff>
    </xdr:from>
    <xdr:to>
      <xdr:col>8</xdr:col>
      <xdr:colOff>152400</xdr:colOff>
      <xdr:row>30</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1828800</xdr:colOff>
      <xdr:row>13</xdr:row>
      <xdr:rowOff>95250</xdr:rowOff>
    </xdr:from>
    <xdr:to>
      <xdr:col>28</xdr:col>
      <xdr:colOff>762000</xdr:colOff>
      <xdr:row>31</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13</xdr:row>
      <xdr:rowOff>82550</xdr:rowOff>
    </xdr:from>
    <xdr:to>
      <xdr:col>19</xdr:col>
      <xdr:colOff>190500</xdr:colOff>
      <xdr:row>32</xdr:row>
      <xdr:rowOff>12700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203200</xdr:colOff>
      <xdr:row>17</xdr:row>
      <xdr:rowOff>101600</xdr:rowOff>
    </xdr:from>
    <xdr:to>
      <xdr:col>7</xdr:col>
      <xdr:colOff>1790700</xdr:colOff>
      <xdr:row>40</xdr:row>
      <xdr:rowOff>63500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50</xdr:row>
      <xdr:rowOff>101600</xdr:rowOff>
    </xdr:from>
    <xdr:to>
      <xdr:col>7</xdr:col>
      <xdr:colOff>1270000</xdr:colOff>
      <xdr:row>72</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_Assignment2/stat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Q4"/>
      <sheetName val="Q6"/>
      <sheetName val="Q7"/>
    </sheetNames>
    <sheetDataSet>
      <sheetData sheetId="0"/>
      <sheetData sheetId="1">
        <row r="1">
          <cell r="I1" t="str">
            <v>Write through Traffic</v>
          </cell>
          <cell r="N1" t="str">
            <v>Write back Traffic</v>
          </cell>
        </row>
        <row r="3">
          <cell r="C3">
            <v>8</v>
          </cell>
          <cell r="I3">
            <v>19.340777494470018</v>
          </cell>
          <cell r="N3">
            <v>23.628846853624001</v>
          </cell>
        </row>
        <row r="4">
          <cell r="C4">
            <v>9</v>
          </cell>
          <cell r="I4">
            <v>16.14527354669405</v>
          </cell>
          <cell r="N4">
            <v>19.289390656258732</v>
          </cell>
        </row>
        <row r="5">
          <cell r="C5">
            <v>10</v>
          </cell>
          <cell r="I5">
            <v>13.550856482220102</v>
          </cell>
          <cell r="N5">
            <v>15.868707642831104</v>
          </cell>
        </row>
        <row r="6">
          <cell r="C6">
            <v>14</v>
          </cell>
          <cell r="I6">
            <v>7.2143197406847666</v>
          </cell>
          <cell r="N6">
            <v>7.6496317804909575</v>
          </cell>
        </row>
        <row r="7">
          <cell r="C7">
            <v>15</v>
          </cell>
          <cell r="I7">
            <v>5.8067862038468618</v>
          </cell>
          <cell r="N7">
            <v>5.665710382117382</v>
          </cell>
        </row>
        <row r="8">
          <cell r="C8">
            <v>16</v>
          </cell>
          <cell r="I8">
            <v>4.6231631327327465</v>
          </cell>
          <cell r="N8">
            <v>4.0270982742722072</v>
          </cell>
        </row>
        <row r="9">
          <cell r="C9">
            <v>20</v>
          </cell>
          <cell r="I9">
            <v>2.7815067073675812</v>
          </cell>
          <cell r="N9">
            <v>1.5230212532387815</v>
          </cell>
        </row>
        <row r="10">
          <cell r="C10">
            <v>21</v>
          </cell>
          <cell r="I10">
            <v>2.5092695462209034</v>
          </cell>
          <cell r="N10">
            <v>1.1848194742981204</v>
          </cell>
        </row>
        <row r="11">
          <cell r="C11">
            <v>22</v>
          </cell>
          <cell r="I11">
            <v>2.2710937774464464</v>
          </cell>
          <cell r="N11">
            <v>0.86495566829850645</v>
          </cell>
        </row>
      </sheetData>
      <sheetData sheetId="2">
        <row r="2">
          <cell r="C2" t="str">
            <v>1- Way Miss Rate</v>
          </cell>
          <cell r="I2" t="str">
            <v xml:space="preserve">2- Way Miss Rate </v>
          </cell>
        </row>
        <row r="3">
          <cell r="B3">
            <v>8</v>
          </cell>
          <cell r="C3">
            <v>27.498994402496201</v>
          </cell>
          <cell r="I3">
            <v>26.338741965292062</v>
          </cell>
        </row>
        <row r="4">
          <cell r="B4">
            <v>9</v>
          </cell>
          <cell r="C4">
            <v>22.50601948409625</v>
          </cell>
          <cell r="I4">
            <v>21.535436595304695</v>
          </cell>
        </row>
        <row r="5">
          <cell r="B5">
            <v>10</v>
          </cell>
          <cell r="C5">
            <v>18.452242820855705</v>
          </cell>
          <cell r="I5">
            <v>17.326461105776932</v>
          </cell>
        </row>
        <row r="6">
          <cell r="B6">
            <v>14</v>
          </cell>
          <cell r="C6">
            <v>8.5514041622067456</v>
          </cell>
          <cell r="I6">
            <v>7.839792846914218</v>
          </cell>
        </row>
        <row r="7">
          <cell r="B7">
            <v>15</v>
          </cell>
          <cell r="C7">
            <v>6.3521330108975178</v>
          </cell>
          <cell r="I7">
            <v>5.6712597010345727</v>
          </cell>
        </row>
        <row r="8">
          <cell r="B8">
            <v>16</v>
          </cell>
          <cell r="C8">
            <v>4.5027219622817141</v>
          </cell>
          <cell r="I8">
            <v>3.9283650370507885</v>
          </cell>
        </row>
        <row r="9">
          <cell r="B9">
            <v>20</v>
          </cell>
          <cell r="C9">
            <v>1.6251337976486424</v>
          </cell>
          <cell r="I9">
            <v>1.2502163485014179</v>
          </cell>
        </row>
        <row r="10">
          <cell r="B10">
            <v>21</v>
          </cell>
          <cell r="C10">
            <v>1.1997632333569586</v>
          </cell>
          <cell r="I10">
            <v>0.93648684842841545</v>
          </cell>
        </row>
        <row r="11">
          <cell r="B11">
            <v>22</v>
          </cell>
          <cell r="C11">
            <v>0.82761359464686923</v>
          </cell>
          <cell r="I11">
            <v>0.58992837696240585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Ruler="0" workbookViewId="0">
      <selection activeCell="C5" sqref="C5"/>
    </sheetView>
  </sheetViews>
  <sheetFormatPr baseColWidth="10" defaultRowHeight="15" x14ac:dyDescent="0"/>
  <cols>
    <col min="1" max="1" width="22.33203125" style="1" customWidth="1"/>
    <col min="2" max="2" width="20.33203125" customWidth="1"/>
    <col min="3" max="3" width="26.5" customWidth="1"/>
    <col min="4" max="4" width="20.33203125" customWidth="1"/>
    <col min="7" max="7" width="21" customWidth="1"/>
    <col min="8" max="9" width="21.33203125" customWidth="1"/>
    <col min="10" max="10" width="16.6640625" customWidth="1"/>
  </cols>
  <sheetData>
    <row r="1" spans="1:9">
      <c r="A1" s="4" t="s">
        <v>1</v>
      </c>
      <c r="B1" s="5" t="s">
        <v>0</v>
      </c>
      <c r="C1" s="5" t="s">
        <v>2</v>
      </c>
      <c r="D1" s="5" t="s">
        <v>9</v>
      </c>
      <c r="E1" s="5" t="s">
        <v>10</v>
      </c>
      <c r="F1" s="5" t="s">
        <v>11</v>
      </c>
      <c r="G1" s="6" t="s">
        <v>18</v>
      </c>
      <c r="H1" s="6" t="s">
        <v>19</v>
      </c>
      <c r="I1" s="6" t="s">
        <v>20</v>
      </c>
    </row>
    <row r="2" spans="1:9">
      <c r="A2" s="1">
        <v>256</v>
      </c>
      <c r="B2">
        <v>8</v>
      </c>
      <c r="C2">
        <f>F2/D2 * 100</f>
        <v>27.498994402496201</v>
      </c>
      <c r="D2">
        <f>SUM(E2:F2)</f>
        <v>49642128</v>
      </c>
      <c r="E2">
        <v>35991042</v>
      </c>
      <c r="F2">
        <v>13651086</v>
      </c>
      <c r="G2">
        <f>(G$12+(E2/D2)+(F2/D2)*10)</f>
        <v>4.4749094962246581</v>
      </c>
      <c r="H2">
        <f>(G$12+(E2/D2)+(F2/D2)*25)</f>
        <v>8.5997586565990893</v>
      </c>
      <c r="I2">
        <f>(G$12+(E2/D2)+(F2/D2)*100)</f>
        <v>29.224004458471239</v>
      </c>
    </row>
    <row r="3" spans="1:9">
      <c r="A3" s="1">
        <v>512</v>
      </c>
      <c r="B3">
        <v>9</v>
      </c>
      <c r="C3">
        <f t="shared" ref="C3:C10" si="0">F3/D3 * 100</f>
        <v>22.50601948409625</v>
      </c>
      <c r="D3">
        <f t="shared" ref="D3:D10" si="1">SUM(E3:F3)</f>
        <v>49642128</v>
      </c>
      <c r="E3">
        <v>38469661</v>
      </c>
      <c r="F3">
        <v>11172467</v>
      </c>
      <c r="G3">
        <f t="shared" ref="G3:G10" si="2">(G$12+(E3/D3)+(F3/D3)*10)</f>
        <v>4.0255417535686622</v>
      </c>
      <c r="H3">
        <f t="shared" ref="H3:H10" si="3">(G$12+(E3/D3)+(F3/D3)*25)</f>
        <v>7.4014446761831003</v>
      </c>
      <c r="I3">
        <f t="shared" ref="I3:I10" si="4">(G$12+(E3/D3)+(F3/D3)*100)</f>
        <v>24.280959289255286</v>
      </c>
    </row>
    <row r="4" spans="1:9">
      <c r="A4" s="1">
        <v>1024</v>
      </c>
      <c r="B4">
        <v>10</v>
      </c>
      <c r="C4">
        <f t="shared" si="0"/>
        <v>18.452242820855705</v>
      </c>
      <c r="D4">
        <f t="shared" si="1"/>
        <v>49642128</v>
      </c>
      <c r="E4">
        <v>40482042</v>
      </c>
      <c r="F4">
        <v>9160086</v>
      </c>
      <c r="G4">
        <f t="shared" si="2"/>
        <v>3.6607018538770135</v>
      </c>
      <c r="H4">
        <f t="shared" si="3"/>
        <v>6.4285382770053694</v>
      </c>
      <c r="I4">
        <f t="shared" si="4"/>
        <v>20.267720392647149</v>
      </c>
    </row>
    <row r="5" spans="1:9">
      <c r="A5" s="1" t="s">
        <v>8</v>
      </c>
      <c r="B5">
        <v>14</v>
      </c>
      <c r="C5">
        <f t="shared" si="0"/>
        <v>8.5514041622067456</v>
      </c>
      <c r="D5">
        <f t="shared" si="1"/>
        <v>49642128</v>
      </c>
      <c r="E5">
        <v>45397029</v>
      </c>
      <c r="F5">
        <v>4245099</v>
      </c>
      <c r="G5">
        <f t="shared" si="2"/>
        <v>2.7696263745986069</v>
      </c>
      <c r="H5">
        <f t="shared" si="3"/>
        <v>4.0523369989296185</v>
      </c>
      <c r="I5">
        <f t="shared" si="4"/>
        <v>10.465890120584678</v>
      </c>
    </row>
    <row r="6" spans="1:9">
      <c r="A6" s="1" t="s">
        <v>3</v>
      </c>
      <c r="B6">
        <v>15</v>
      </c>
      <c r="C6">
        <f t="shared" si="0"/>
        <v>6.3521330108975178</v>
      </c>
      <c r="D6">
        <f t="shared" si="1"/>
        <v>49642128</v>
      </c>
      <c r="E6">
        <v>46488794</v>
      </c>
      <c r="F6">
        <v>3153334</v>
      </c>
      <c r="G6">
        <f t="shared" si="2"/>
        <v>2.5716919709807766</v>
      </c>
      <c r="H6">
        <f t="shared" si="3"/>
        <v>3.524511922615404</v>
      </c>
      <c r="I6">
        <f t="shared" si="4"/>
        <v>8.2886116807885433</v>
      </c>
    </row>
    <row r="7" spans="1:9">
      <c r="A7" s="1" t="s">
        <v>4</v>
      </c>
      <c r="B7">
        <v>16</v>
      </c>
      <c r="C7">
        <f t="shared" si="0"/>
        <v>4.5027219622817141</v>
      </c>
      <c r="D7">
        <f t="shared" si="1"/>
        <v>49642128</v>
      </c>
      <c r="E7">
        <v>47406881</v>
      </c>
      <c r="F7">
        <v>2235247</v>
      </c>
      <c r="G7">
        <f t="shared" si="2"/>
        <v>2.4052449766053545</v>
      </c>
      <c r="H7">
        <f t="shared" si="3"/>
        <v>3.0806532709476118</v>
      </c>
      <c r="I7">
        <f t="shared" si="4"/>
        <v>6.4576947426588971</v>
      </c>
    </row>
    <row r="8" spans="1:9">
      <c r="A8" s="1" t="s">
        <v>5</v>
      </c>
      <c r="B8">
        <v>20</v>
      </c>
      <c r="C8">
        <f t="shared" si="0"/>
        <v>1.6251337976486424</v>
      </c>
      <c r="D8">
        <f t="shared" si="1"/>
        <v>49642128</v>
      </c>
      <c r="E8">
        <v>48835377</v>
      </c>
      <c r="F8">
        <v>806751</v>
      </c>
      <c r="G8">
        <f t="shared" si="2"/>
        <v>2.1462620417883778</v>
      </c>
      <c r="H8">
        <f t="shared" si="3"/>
        <v>2.3900321114356742</v>
      </c>
      <c r="I8">
        <f t="shared" si="4"/>
        <v>3.6088824596721558</v>
      </c>
    </row>
    <row r="9" spans="1:9">
      <c r="A9" s="1" t="s">
        <v>6</v>
      </c>
      <c r="B9">
        <v>21</v>
      </c>
      <c r="C9">
        <f t="shared" si="0"/>
        <v>1.1997632333569586</v>
      </c>
      <c r="D9">
        <f t="shared" si="1"/>
        <v>49642128</v>
      </c>
      <c r="E9">
        <v>49046540</v>
      </c>
      <c r="F9">
        <v>595588</v>
      </c>
      <c r="G9">
        <f t="shared" si="2"/>
        <v>2.1079786910021263</v>
      </c>
      <c r="H9">
        <f t="shared" si="3"/>
        <v>2.2879431760056699</v>
      </c>
      <c r="I9">
        <f t="shared" si="4"/>
        <v>3.187765601023389</v>
      </c>
    </row>
    <row r="10" spans="1:9">
      <c r="A10" s="1" t="s">
        <v>7</v>
      </c>
      <c r="B10">
        <v>22</v>
      </c>
      <c r="C10">
        <f t="shared" si="0"/>
        <v>0.82761359464686923</v>
      </c>
      <c r="D10">
        <f t="shared" si="1"/>
        <v>49642128</v>
      </c>
      <c r="E10">
        <v>49231283</v>
      </c>
      <c r="F10">
        <v>410845</v>
      </c>
      <c r="G10">
        <f t="shared" si="2"/>
        <v>2.0744852235182183</v>
      </c>
      <c r="H10">
        <f t="shared" si="3"/>
        <v>2.1986272627152488</v>
      </c>
      <c r="I10">
        <f t="shared" si="4"/>
        <v>2.8193374587004003</v>
      </c>
    </row>
    <row r="12" spans="1:9">
      <c r="F12" s="7" t="s">
        <v>21</v>
      </c>
      <c r="G12" s="7">
        <v>1</v>
      </c>
    </row>
    <row r="17" spans="1:10">
      <c r="A17" s="22" t="s">
        <v>12</v>
      </c>
      <c r="B17" s="22"/>
      <c r="C17" s="22"/>
      <c r="D17" s="22"/>
    </row>
    <row r="18" spans="1:10">
      <c r="A18" s="8" t="s">
        <v>15</v>
      </c>
      <c r="B18" s="8"/>
      <c r="C18" s="8"/>
      <c r="D18" s="8"/>
    </row>
    <row r="19" spans="1:10">
      <c r="A19" s="23" t="s">
        <v>13</v>
      </c>
      <c r="B19" s="23"/>
      <c r="C19" s="23"/>
      <c r="D19" s="23"/>
    </row>
    <row r="20" spans="1:10">
      <c r="A20" s="23" t="s">
        <v>14</v>
      </c>
      <c r="B20" s="23"/>
      <c r="C20" s="23"/>
      <c r="D20" s="23"/>
    </row>
    <row r="21" spans="1:10">
      <c r="A21" s="9" t="s">
        <v>16</v>
      </c>
      <c r="B21" s="9"/>
      <c r="C21" s="9"/>
      <c r="D21" s="9"/>
    </row>
    <row r="22" spans="1:10">
      <c r="A22" s="23" t="s">
        <v>17</v>
      </c>
      <c r="B22" s="23"/>
      <c r="C22" s="23"/>
      <c r="D22" s="10">
        <f>C6/C7</f>
        <v>1.4107317893727178</v>
      </c>
    </row>
    <row r="23" spans="1:10">
      <c r="A23" s="2"/>
      <c r="B23" s="2"/>
      <c r="C23" s="2"/>
      <c r="D23" s="2"/>
    </row>
    <row r="30" spans="1:10">
      <c r="F30" s="6" t="s">
        <v>22</v>
      </c>
      <c r="G30" s="6"/>
      <c r="H30" s="6" t="s">
        <v>24</v>
      </c>
      <c r="I30" s="6" t="s">
        <v>25</v>
      </c>
      <c r="J30" s="6" t="s">
        <v>26</v>
      </c>
    </row>
    <row r="31" spans="1:10" ht="30">
      <c r="F31" t="s">
        <v>23</v>
      </c>
      <c r="G31" s="3" t="s">
        <v>27</v>
      </c>
      <c r="H31">
        <f>(G6/G7)</f>
        <v>1.0692016804917466</v>
      </c>
      <c r="I31">
        <f>(H6/H7)</f>
        <v>1.1440793924631645</v>
      </c>
      <c r="J31">
        <f>(I6/I7)</f>
        <v>1.2835248507543704</v>
      </c>
    </row>
  </sheetData>
  <mergeCells count="4">
    <mergeCell ref="A17:D17"/>
    <mergeCell ref="A19:D19"/>
    <mergeCell ref="A20:D20"/>
    <mergeCell ref="A22:C2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Ruler="0" topLeftCell="H1" workbookViewId="0">
      <selection activeCell="E3" sqref="E3"/>
    </sheetView>
  </sheetViews>
  <sheetFormatPr baseColWidth="10" defaultRowHeight="15" x14ac:dyDescent="0"/>
  <cols>
    <col min="2" max="2" width="20.5" customWidth="1"/>
    <col min="3" max="3" width="18" customWidth="1"/>
    <col min="4" max="4" width="14.1640625" customWidth="1"/>
    <col min="5" max="5" width="22.6640625" customWidth="1"/>
    <col min="6" max="6" width="23.1640625" customWidth="1"/>
    <col min="7" max="7" width="25.33203125" customWidth="1"/>
    <col min="8" max="8" width="23.83203125" customWidth="1"/>
    <col min="9" max="10" width="27.6640625" customWidth="1"/>
    <col min="11" max="11" width="23.1640625" customWidth="1"/>
    <col min="12" max="12" width="23" customWidth="1"/>
    <col min="13" max="13" width="34.6640625" customWidth="1"/>
    <col min="14" max="14" width="26.6640625" customWidth="1"/>
  </cols>
  <sheetData>
    <row r="1" spans="1:14">
      <c r="A1" t="s">
        <v>28</v>
      </c>
      <c r="B1" t="s">
        <v>28</v>
      </c>
      <c r="C1" s="13" t="s">
        <v>0</v>
      </c>
      <c r="D1" t="s">
        <v>29</v>
      </c>
      <c r="E1" t="s">
        <v>32</v>
      </c>
      <c r="F1" t="s">
        <v>31</v>
      </c>
      <c r="G1" s="24" t="s">
        <v>30</v>
      </c>
      <c r="H1" s="24"/>
      <c r="I1" s="14" t="s">
        <v>54</v>
      </c>
      <c r="J1" s="12"/>
      <c r="K1" t="s">
        <v>33</v>
      </c>
      <c r="L1" s="25" t="s">
        <v>38</v>
      </c>
      <c r="M1" s="26"/>
      <c r="N1" s="12" t="s">
        <v>55</v>
      </c>
    </row>
    <row r="2" spans="1:14">
      <c r="G2" t="s">
        <v>34</v>
      </c>
      <c r="H2" t="s">
        <v>35</v>
      </c>
      <c r="L2" t="s">
        <v>36</v>
      </c>
      <c r="M2" t="s">
        <v>37</v>
      </c>
    </row>
    <row r="3" spans="1:14">
      <c r="A3" s="1">
        <v>256</v>
      </c>
      <c r="B3" s="1">
        <v>256</v>
      </c>
      <c r="C3" s="11">
        <v>8</v>
      </c>
      <c r="D3">
        <v>13651086</v>
      </c>
      <c r="E3" s="11">
        <v>49642128</v>
      </c>
      <c r="F3">
        <v>21611962</v>
      </c>
      <c r="G3">
        <f t="shared" ref="G3:G11" si="0">D3*64</f>
        <v>873669504</v>
      </c>
      <c r="H3">
        <f>F3*4</f>
        <v>86447848</v>
      </c>
      <c r="I3">
        <f>(G3+H3)/E3</f>
        <v>19.340777494470018</v>
      </c>
      <c r="K3">
        <v>4676824</v>
      </c>
      <c r="L3">
        <f>D3*64</f>
        <v>873669504</v>
      </c>
      <c r="M3">
        <f>K3*64</f>
        <v>299316736</v>
      </c>
      <c r="N3">
        <f>(L3+M3)/E3</f>
        <v>23.628846853624001</v>
      </c>
    </row>
    <row r="4" spans="1:14">
      <c r="A4" s="1">
        <v>512</v>
      </c>
      <c r="B4" s="1">
        <v>512</v>
      </c>
      <c r="C4" s="11">
        <v>9</v>
      </c>
      <c r="D4">
        <v>11172467</v>
      </c>
      <c r="E4" s="11">
        <v>49642128</v>
      </c>
      <c r="F4">
        <v>21611962</v>
      </c>
      <c r="G4">
        <f t="shared" si="0"/>
        <v>715037888</v>
      </c>
      <c r="H4">
        <f t="shared" ref="H4:H11" si="1">F4*4</f>
        <v>86447848</v>
      </c>
      <c r="I4">
        <f t="shared" ref="I4:I11" si="2">(G4+H4)/E4</f>
        <v>16.14527354669405</v>
      </c>
      <c r="K4">
        <v>3789508</v>
      </c>
      <c r="L4">
        <f t="shared" ref="L4:L11" si="3">D4*64</f>
        <v>715037888</v>
      </c>
      <c r="M4">
        <f t="shared" ref="M4:M11" si="4">K4*64</f>
        <v>242528512</v>
      </c>
      <c r="N4">
        <f t="shared" ref="N4:N11" si="5">(L4+M4)/E4</f>
        <v>19.289390656258732</v>
      </c>
    </row>
    <row r="5" spans="1:14">
      <c r="A5" s="1">
        <v>1024</v>
      </c>
      <c r="B5" s="1">
        <v>1024</v>
      </c>
      <c r="C5" s="11">
        <v>10</v>
      </c>
      <c r="D5">
        <v>9160086</v>
      </c>
      <c r="E5" s="11">
        <v>49642128</v>
      </c>
      <c r="F5">
        <v>21611962</v>
      </c>
      <c r="G5">
        <f t="shared" si="0"/>
        <v>586245504</v>
      </c>
      <c r="H5">
        <f t="shared" si="1"/>
        <v>86447848</v>
      </c>
      <c r="I5">
        <f t="shared" si="2"/>
        <v>13.550856482220102</v>
      </c>
      <c r="K5">
        <v>3148608</v>
      </c>
      <c r="L5">
        <f t="shared" si="3"/>
        <v>586245504</v>
      </c>
      <c r="M5">
        <f t="shared" si="4"/>
        <v>201510912</v>
      </c>
      <c r="N5">
        <f t="shared" si="5"/>
        <v>15.868707642831104</v>
      </c>
    </row>
    <row r="6" spans="1:14">
      <c r="A6">
        <f>16*1024</f>
        <v>16384</v>
      </c>
      <c r="B6" s="1" t="s">
        <v>8</v>
      </c>
      <c r="C6" s="11">
        <v>14</v>
      </c>
      <c r="D6">
        <v>4245099</v>
      </c>
      <c r="E6" s="11">
        <v>49642128</v>
      </c>
      <c r="F6">
        <v>21611962</v>
      </c>
      <c r="G6">
        <f t="shared" si="0"/>
        <v>271686336</v>
      </c>
      <c r="H6">
        <f t="shared" si="1"/>
        <v>86447848</v>
      </c>
      <c r="I6">
        <f t="shared" si="2"/>
        <v>7.2143197406847666</v>
      </c>
      <c r="K6">
        <v>1688401</v>
      </c>
      <c r="L6">
        <f t="shared" si="3"/>
        <v>271686336</v>
      </c>
      <c r="M6">
        <f t="shared" si="4"/>
        <v>108057664</v>
      </c>
      <c r="N6">
        <f t="shared" si="5"/>
        <v>7.6496317804909575</v>
      </c>
    </row>
    <row r="7" spans="1:14">
      <c r="A7">
        <f>32*1024</f>
        <v>32768</v>
      </c>
      <c r="B7" s="1" t="s">
        <v>3</v>
      </c>
      <c r="C7" s="11">
        <v>15</v>
      </c>
      <c r="D7">
        <v>3153334</v>
      </c>
      <c r="E7" s="11">
        <v>49642128</v>
      </c>
      <c r="F7">
        <v>21611962</v>
      </c>
      <c r="G7">
        <f t="shared" si="0"/>
        <v>201813376</v>
      </c>
      <c r="H7">
        <f t="shared" si="1"/>
        <v>86447848</v>
      </c>
      <c r="I7">
        <f t="shared" si="2"/>
        <v>5.8067862038468618</v>
      </c>
      <c r="K7">
        <v>1241321</v>
      </c>
      <c r="L7">
        <f t="shared" si="3"/>
        <v>201813376</v>
      </c>
      <c r="M7">
        <f t="shared" si="4"/>
        <v>79444544</v>
      </c>
      <c r="N7">
        <f t="shared" si="5"/>
        <v>5.665710382117382</v>
      </c>
    </row>
    <row r="8" spans="1:14">
      <c r="A8">
        <f>64*1024</f>
        <v>65536</v>
      </c>
      <c r="B8" s="1" t="s">
        <v>4</v>
      </c>
      <c r="C8" s="11">
        <v>16</v>
      </c>
      <c r="D8">
        <v>2235247</v>
      </c>
      <c r="E8" s="11">
        <v>49642128</v>
      </c>
      <c r="F8">
        <v>21611962</v>
      </c>
      <c r="G8">
        <f t="shared" si="0"/>
        <v>143055808</v>
      </c>
      <c r="H8">
        <f t="shared" si="1"/>
        <v>86447848</v>
      </c>
      <c r="I8">
        <f t="shared" si="2"/>
        <v>4.6231631327327465</v>
      </c>
      <c r="K8">
        <v>888405</v>
      </c>
      <c r="L8">
        <f t="shared" si="3"/>
        <v>143055808</v>
      </c>
      <c r="M8">
        <f t="shared" si="4"/>
        <v>56857920</v>
      </c>
      <c r="N8">
        <f t="shared" si="5"/>
        <v>4.0270982742722072</v>
      </c>
    </row>
    <row r="9" spans="1:14">
      <c r="A9">
        <f>1024*1024</f>
        <v>1048576</v>
      </c>
      <c r="B9" s="1" t="s">
        <v>5</v>
      </c>
      <c r="C9" s="11">
        <v>20</v>
      </c>
      <c r="D9">
        <v>806751</v>
      </c>
      <c r="E9" s="11">
        <v>49642128</v>
      </c>
      <c r="F9">
        <v>21611962</v>
      </c>
      <c r="G9">
        <f t="shared" si="0"/>
        <v>51632064</v>
      </c>
      <c r="H9">
        <f t="shared" si="1"/>
        <v>86447848</v>
      </c>
      <c r="I9">
        <f t="shared" si="2"/>
        <v>2.7815067073675812</v>
      </c>
      <c r="K9">
        <v>374593</v>
      </c>
      <c r="L9">
        <f t="shared" si="3"/>
        <v>51632064</v>
      </c>
      <c r="M9">
        <f t="shared" si="4"/>
        <v>23973952</v>
      </c>
      <c r="N9">
        <f t="shared" si="5"/>
        <v>1.5230212532387815</v>
      </c>
    </row>
    <row r="10" spans="1:14">
      <c r="A10">
        <f>2*1024*1024</f>
        <v>2097152</v>
      </c>
      <c r="B10" s="1" t="s">
        <v>6</v>
      </c>
      <c r="C10" s="11">
        <v>21</v>
      </c>
      <c r="D10">
        <v>595588</v>
      </c>
      <c r="E10" s="11">
        <v>49642128</v>
      </c>
      <c r="F10">
        <v>21611962</v>
      </c>
      <c r="G10">
        <f t="shared" si="0"/>
        <v>38117632</v>
      </c>
      <c r="H10">
        <f t="shared" si="1"/>
        <v>86447848</v>
      </c>
      <c r="I10">
        <f t="shared" si="2"/>
        <v>2.5092695462209034</v>
      </c>
      <c r="K10">
        <v>323427</v>
      </c>
      <c r="L10">
        <f t="shared" si="3"/>
        <v>38117632</v>
      </c>
      <c r="M10">
        <f t="shared" si="4"/>
        <v>20699328</v>
      </c>
      <c r="N10">
        <f t="shared" si="5"/>
        <v>1.1848194742981204</v>
      </c>
    </row>
    <row r="11" spans="1:14">
      <c r="A11">
        <f>4*1024*1024</f>
        <v>4194304</v>
      </c>
      <c r="B11" s="1" t="s">
        <v>7</v>
      </c>
      <c r="C11" s="11">
        <v>22</v>
      </c>
      <c r="D11">
        <v>410845</v>
      </c>
      <c r="E11" s="11">
        <v>49642128</v>
      </c>
      <c r="F11">
        <v>21611962</v>
      </c>
      <c r="G11">
        <f t="shared" si="0"/>
        <v>26294080</v>
      </c>
      <c r="H11">
        <f t="shared" si="1"/>
        <v>86447848</v>
      </c>
      <c r="I11">
        <f t="shared" si="2"/>
        <v>2.2710937774464464</v>
      </c>
      <c r="K11">
        <v>260065</v>
      </c>
      <c r="L11">
        <f t="shared" si="3"/>
        <v>26294080</v>
      </c>
      <c r="M11">
        <f t="shared" si="4"/>
        <v>16644160</v>
      </c>
      <c r="N11">
        <f t="shared" si="5"/>
        <v>0.86495566829850645</v>
      </c>
    </row>
    <row r="12" spans="1:14">
      <c r="C12" s="1"/>
    </row>
    <row r="17" spans="2:2">
      <c r="B17" t="s">
        <v>56</v>
      </c>
    </row>
    <row r="18" spans="2:2">
      <c r="B18" t="s">
        <v>57</v>
      </c>
    </row>
    <row r="19" spans="2:2">
      <c r="B19" t="s">
        <v>58</v>
      </c>
    </row>
  </sheetData>
  <mergeCells count="2">
    <mergeCell ref="G1:H1"/>
    <mergeCell ref="L1:M1"/>
  </mergeCells>
  <pageMargins left="0.75" right="0.75" top="1" bottom="1" header="0.5" footer="0.5"/>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6"/>
  <sheetViews>
    <sheetView showRuler="0" workbookViewId="0">
      <selection activeCell="A7" sqref="A7"/>
    </sheetView>
  </sheetViews>
  <sheetFormatPr baseColWidth="10" defaultRowHeight="15" x14ac:dyDescent="0"/>
  <cols>
    <col min="1" max="1" width="23.5" customWidth="1"/>
    <col min="2" max="2" width="18.33203125" customWidth="1"/>
    <col min="3" max="3" width="23.1640625" customWidth="1"/>
    <col min="4" max="4" width="22.6640625" customWidth="1"/>
    <col min="7" max="7" width="20.5" customWidth="1"/>
    <col min="9" max="9" width="20" customWidth="1"/>
  </cols>
  <sheetData>
    <row r="2" spans="1:9">
      <c r="A2" s="4" t="s">
        <v>1</v>
      </c>
      <c r="B2" s="5" t="s">
        <v>0</v>
      </c>
      <c r="C2" s="5" t="s">
        <v>59</v>
      </c>
      <c r="D2" s="5" t="s">
        <v>9</v>
      </c>
      <c r="E2" s="5" t="s">
        <v>10</v>
      </c>
      <c r="F2" s="5" t="s">
        <v>11</v>
      </c>
      <c r="G2" s="5" t="s">
        <v>60</v>
      </c>
      <c r="H2" s="5" t="s">
        <v>61</v>
      </c>
      <c r="I2" s="5" t="s">
        <v>62</v>
      </c>
    </row>
    <row r="3" spans="1:9">
      <c r="A3" s="1">
        <v>256</v>
      </c>
      <c r="B3">
        <v>8</v>
      </c>
      <c r="C3">
        <f>F3/D3 * 100</f>
        <v>27.498994402496201</v>
      </c>
      <c r="D3">
        <f>SUM(E3:F3)</f>
        <v>49642128</v>
      </c>
      <c r="E3">
        <v>35991042</v>
      </c>
      <c r="F3">
        <v>13651086</v>
      </c>
      <c r="G3">
        <v>36567016</v>
      </c>
      <c r="H3">
        <f>D3-G3</f>
        <v>13075112</v>
      </c>
      <c r="I3">
        <f>H3/D3*100</f>
        <v>26.338741965292062</v>
      </c>
    </row>
    <row r="4" spans="1:9">
      <c r="A4" s="1">
        <v>512</v>
      </c>
      <c r="B4">
        <v>9</v>
      </c>
      <c r="C4">
        <f t="shared" ref="C4:C11" si="0">F4/D4 * 100</f>
        <v>22.50601948409625</v>
      </c>
      <c r="D4">
        <f t="shared" ref="D4:D11" si="1">SUM(E4:F4)</f>
        <v>49642128</v>
      </c>
      <c r="E4">
        <v>38469661</v>
      </c>
      <c r="F4">
        <v>11172467</v>
      </c>
      <c r="G4">
        <v>38951479</v>
      </c>
      <c r="H4">
        <f t="shared" ref="H4:H11" si="2">D4-G4</f>
        <v>10690649</v>
      </c>
      <c r="I4">
        <f t="shared" ref="I4:I11" si="3">H4/D4*100</f>
        <v>21.535436595304695</v>
      </c>
    </row>
    <row r="5" spans="1:9">
      <c r="A5" s="1">
        <v>1024</v>
      </c>
      <c r="B5">
        <v>10</v>
      </c>
      <c r="C5">
        <f t="shared" si="0"/>
        <v>18.452242820855705</v>
      </c>
      <c r="D5">
        <f t="shared" si="1"/>
        <v>49642128</v>
      </c>
      <c r="E5">
        <v>40482042</v>
      </c>
      <c r="F5">
        <v>9160086</v>
      </c>
      <c r="G5">
        <v>41040904</v>
      </c>
      <c r="H5">
        <f t="shared" si="2"/>
        <v>8601224</v>
      </c>
      <c r="I5">
        <f t="shared" si="3"/>
        <v>17.326461105776932</v>
      </c>
    </row>
    <row r="6" spans="1:9">
      <c r="A6" s="1" t="s">
        <v>8</v>
      </c>
      <c r="B6">
        <v>14</v>
      </c>
      <c r="C6">
        <f t="shared" si="0"/>
        <v>8.5514041622067456</v>
      </c>
      <c r="D6">
        <f t="shared" si="1"/>
        <v>49642128</v>
      </c>
      <c r="E6">
        <v>45397029</v>
      </c>
      <c r="F6">
        <v>4245099</v>
      </c>
      <c r="G6">
        <v>45750288</v>
      </c>
      <c r="H6">
        <f t="shared" si="2"/>
        <v>3891840</v>
      </c>
      <c r="I6">
        <f t="shared" si="3"/>
        <v>7.839792846914218</v>
      </c>
    </row>
    <row r="7" spans="1:9">
      <c r="A7" s="1" t="s">
        <v>3</v>
      </c>
      <c r="B7">
        <v>15</v>
      </c>
      <c r="C7">
        <f t="shared" si="0"/>
        <v>6.3521330108975178</v>
      </c>
      <c r="D7">
        <f t="shared" si="1"/>
        <v>49642128</v>
      </c>
      <c r="E7">
        <v>46488794</v>
      </c>
      <c r="F7">
        <v>3153334</v>
      </c>
      <c r="G7">
        <v>46826794</v>
      </c>
      <c r="H7">
        <f t="shared" si="2"/>
        <v>2815334</v>
      </c>
      <c r="I7">
        <f t="shared" si="3"/>
        <v>5.6712597010345727</v>
      </c>
    </row>
    <row r="8" spans="1:9">
      <c r="A8" s="1" t="s">
        <v>4</v>
      </c>
      <c r="B8">
        <v>16</v>
      </c>
      <c r="C8">
        <f t="shared" si="0"/>
        <v>4.5027219622817141</v>
      </c>
      <c r="D8">
        <f t="shared" si="1"/>
        <v>49642128</v>
      </c>
      <c r="E8">
        <v>47406881</v>
      </c>
      <c r="F8">
        <v>2235247</v>
      </c>
      <c r="G8">
        <v>47692004</v>
      </c>
      <c r="H8">
        <f t="shared" si="2"/>
        <v>1950124</v>
      </c>
      <c r="I8">
        <f t="shared" si="3"/>
        <v>3.9283650370507885</v>
      </c>
    </row>
    <row r="9" spans="1:9">
      <c r="A9" s="1" t="s">
        <v>5</v>
      </c>
      <c r="B9">
        <v>20</v>
      </c>
      <c r="C9">
        <f t="shared" si="0"/>
        <v>1.6251337976486424</v>
      </c>
      <c r="D9">
        <f t="shared" si="1"/>
        <v>49642128</v>
      </c>
      <c r="E9">
        <v>48835377</v>
      </c>
      <c r="F9">
        <v>806751</v>
      </c>
      <c r="G9">
        <v>49021494</v>
      </c>
      <c r="H9">
        <f t="shared" si="2"/>
        <v>620634</v>
      </c>
      <c r="I9">
        <f t="shared" si="3"/>
        <v>1.2502163485014179</v>
      </c>
    </row>
    <row r="10" spans="1:9">
      <c r="A10" s="1" t="s">
        <v>6</v>
      </c>
      <c r="B10">
        <v>21</v>
      </c>
      <c r="C10">
        <f t="shared" si="0"/>
        <v>1.1997632333569586</v>
      </c>
      <c r="D10">
        <f t="shared" si="1"/>
        <v>49642128</v>
      </c>
      <c r="E10">
        <v>49046540</v>
      </c>
      <c r="F10">
        <v>595588</v>
      </c>
      <c r="G10">
        <v>49177236</v>
      </c>
      <c r="H10">
        <f t="shared" si="2"/>
        <v>464892</v>
      </c>
      <c r="I10">
        <f t="shared" si="3"/>
        <v>0.93648684842841545</v>
      </c>
    </row>
    <row r="11" spans="1:9">
      <c r="A11" s="1" t="s">
        <v>7</v>
      </c>
      <c r="B11">
        <v>22</v>
      </c>
      <c r="C11">
        <f t="shared" si="0"/>
        <v>0.82761359464686923</v>
      </c>
      <c r="D11">
        <f t="shared" si="1"/>
        <v>49642128</v>
      </c>
      <c r="E11">
        <v>49231283</v>
      </c>
      <c r="F11">
        <v>410845</v>
      </c>
      <c r="G11">
        <v>49349275</v>
      </c>
      <c r="H11">
        <f t="shared" si="2"/>
        <v>292853</v>
      </c>
      <c r="I11">
        <f t="shared" si="3"/>
        <v>0.58992837696240585</v>
      </c>
    </row>
    <row r="14" spans="1:9">
      <c r="A14" s="1" t="s">
        <v>63</v>
      </c>
    </row>
    <row r="15" spans="1:9">
      <c r="A15" s="1" t="s">
        <v>64</v>
      </c>
    </row>
    <row r="16" spans="1:9">
      <c r="A16" s="1" t="s">
        <v>65</v>
      </c>
    </row>
  </sheetData>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showRuler="0" topLeftCell="A16" workbookViewId="0">
      <selection activeCell="G6" sqref="G6"/>
    </sheetView>
  </sheetViews>
  <sheetFormatPr baseColWidth="10" defaultRowHeight="15" x14ac:dyDescent="0"/>
  <cols>
    <col min="5" max="5" width="15.6640625" customWidth="1"/>
    <col min="6" max="6" width="13" customWidth="1"/>
    <col min="7" max="7" width="13.33203125" customWidth="1"/>
    <col min="12" max="12" width="15.5" customWidth="1"/>
    <col min="13" max="13" width="12.5" customWidth="1"/>
    <col min="19" max="19" width="22.6640625" customWidth="1"/>
    <col min="20" max="20" width="32.6640625" customWidth="1"/>
    <col min="21" max="21" width="13.83203125" customWidth="1"/>
    <col min="22" max="22" width="12.1640625" customWidth="1"/>
    <col min="30" max="30" width="17.33203125" customWidth="1"/>
  </cols>
  <sheetData>
    <row r="1" spans="1:31">
      <c r="A1" t="s">
        <v>28</v>
      </c>
      <c r="B1" t="s">
        <v>41</v>
      </c>
      <c r="C1" t="s">
        <v>39</v>
      </c>
      <c r="D1" t="s">
        <v>40</v>
      </c>
      <c r="E1" t="s">
        <v>46</v>
      </c>
      <c r="F1" t="s">
        <v>44</v>
      </c>
      <c r="G1" t="s">
        <v>45</v>
      </c>
      <c r="H1" t="s">
        <v>28</v>
      </c>
      <c r="I1" t="s">
        <v>41</v>
      </c>
      <c r="J1" t="s">
        <v>39</v>
      </c>
      <c r="K1" t="s">
        <v>40</v>
      </c>
      <c r="L1" t="s">
        <v>47</v>
      </c>
      <c r="M1" t="s">
        <v>44</v>
      </c>
      <c r="O1" t="s">
        <v>28</v>
      </c>
      <c r="P1" t="s">
        <v>41</v>
      </c>
      <c r="Q1" t="s">
        <v>48</v>
      </c>
      <c r="R1" t="s">
        <v>49</v>
      </c>
      <c r="S1" t="s">
        <v>32</v>
      </c>
      <c r="T1" t="s">
        <v>97</v>
      </c>
      <c r="U1" t="s">
        <v>50</v>
      </c>
      <c r="V1" t="s">
        <v>98</v>
      </c>
      <c r="X1" t="s">
        <v>28</v>
      </c>
      <c r="Y1" t="s">
        <v>41</v>
      </c>
      <c r="Z1" t="s">
        <v>48</v>
      </c>
      <c r="AA1" t="s">
        <v>49</v>
      </c>
      <c r="AB1" t="s">
        <v>96</v>
      </c>
      <c r="AD1" t="s">
        <v>50</v>
      </c>
      <c r="AE1" t="s">
        <v>95</v>
      </c>
    </row>
    <row r="2" spans="1:31">
      <c r="A2" t="s">
        <v>42</v>
      </c>
      <c r="B2">
        <v>4</v>
      </c>
      <c r="C2">
        <v>28090820</v>
      </c>
      <c r="D2">
        <f>F2-C2</f>
        <v>21551308</v>
      </c>
      <c r="E2">
        <f>D2/F2*100</f>
        <v>43.413344407798149</v>
      </c>
      <c r="F2">
        <v>49642128</v>
      </c>
      <c r="G2">
        <v>2</v>
      </c>
      <c r="H2" t="s">
        <v>43</v>
      </c>
      <c r="I2">
        <v>4</v>
      </c>
      <c r="J2">
        <v>39706694</v>
      </c>
      <c r="K2">
        <f t="shared" ref="K2:K10" si="0">M2-J2</f>
        <v>9935434</v>
      </c>
      <c r="L2">
        <f t="shared" ref="L2:L10" si="1">K2/M2*100</f>
        <v>20.014117847647466</v>
      </c>
      <c r="M2">
        <v>49642128</v>
      </c>
      <c r="O2" t="s">
        <v>42</v>
      </c>
      <c r="P2">
        <v>4</v>
      </c>
      <c r="Q2">
        <v>21611962</v>
      </c>
      <c r="R2">
        <v>21551308</v>
      </c>
      <c r="S2" s="11">
        <v>49642128</v>
      </c>
      <c r="T2">
        <f>(R2*64 + Q2* 4)/S2</f>
        <v>29.525961497863268</v>
      </c>
      <c r="U2">
        <v>12087782</v>
      </c>
      <c r="V2">
        <f>(R2*64 + U2 *64)/S2</f>
        <v>43.36844222310534</v>
      </c>
      <c r="X2" t="s">
        <v>43</v>
      </c>
      <c r="Y2">
        <v>4</v>
      </c>
      <c r="Z2">
        <v>21611962</v>
      </c>
      <c r="AA2">
        <v>9935434</v>
      </c>
      <c r="AB2">
        <f>(Z2*4+AA2*64)/S2</f>
        <v>14.550456499366828</v>
      </c>
      <c r="AD2">
        <v>5713735</v>
      </c>
      <c r="AE2">
        <f>(AA2*64+AD2*64)/S2</f>
        <v>20.175340106290367</v>
      </c>
    </row>
    <row r="3" spans="1:31">
      <c r="A3" t="s">
        <v>42</v>
      </c>
      <c r="B3">
        <v>8</v>
      </c>
      <c r="C3">
        <v>38436527</v>
      </c>
      <c r="D3">
        <f t="shared" ref="D3:D10" si="2">F3-C3</f>
        <v>11205601</v>
      </c>
      <c r="E3">
        <f t="shared" ref="E3:E10" si="3">D3/F3*100</f>
        <v>22.572765212643585</v>
      </c>
      <c r="F3">
        <v>49642128</v>
      </c>
      <c r="G3">
        <v>3</v>
      </c>
      <c r="H3" t="s">
        <v>43</v>
      </c>
      <c r="I3">
        <v>8</v>
      </c>
      <c r="J3">
        <v>44401432</v>
      </c>
      <c r="K3">
        <f t="shared" si="0"/>
        <v>5240696</v>
      </c>
      <c r="L3">
        <f t="shared" si="1"/>
        <v>10.556952755933429</v>
      </c>
      <c r="M3">
        <v>49642128</v>
      </c>
      <c r="O3" t="s">
        <v>42</v>
      </c>
      <c r="P3">
        <v>8</v>
      </c>
      <c r="Q3">
        <v>21611962</v>
      </c>
      <c r="R3">
        <v>11205601</v>
      </c>
      <c r="S3" s="11">
        <v>49642128</v>
      </c>
      <c r="T3">
        <f t="shared" ref="T3:T10" si="4">(R3*64 + Q3* 4)/S3</f>
        <v>16.187990812964344</v>
      </c>
      <c r="U3">
        <v>6151843</v>
      </c>
      <c r="V3">
        <f t="shared" ref="V3:V10" si="5">(R3*64 + U3 *64)/S3</f>
        <v>22.377695331674744</v>
      </c>
      <c r="X3" t="s">
        <v>43</v>
      </c>
      <c r="Y3">
        <v>8</v>
      </c>
      <c r="Z3">
        <v>21611962</v>
      </c>
      <c r="AA3">
        <v>5240696</v>
      </c>
      <c r="AB3">
        <f t="shared" ref="AB3:AB10" si="6">(Z3*4+AA3*64)/S3</f>
        <v>8.4978708406698438</v>
      </c>
      <c r="AD3">
        <v>2952328</v>
      </c>
      <c r="AE3">
        <f t="shared" ref="AE3:AE10" si="7">(AA3*64+AD3*64)/S3</f>
        <v>10.562672414043169</v>
      </c>
    </row>
    <row r="4" spans="1:31">
      <c r="A4" t="s">
        <v>42</v>
      </c>
      <c r="B4">
        <v>16</v>
      </c>
      <c r="C4">
        <v>43613016</v>
      </c>
      <c r="D4">
        <f t="shared" si="2"/>
        <v>6029112</v>
      </c>
      <c r="E4">
        <f t="shared" si="3"/>
        <v>12.14515219814912</v>
      </c>
      <c r="F4">
        <v>49642128</v>
      </c>
      <c r="G4">
        <v>4</v>
      </c>
      <c r="H4" t="s">
        <v>43</v>
      </c>
      <c r="I4">
        <v>16</v>
      </c>
      <c r="J4">
        <v>46806123</v>
      </c>
      <c r="K4">
        <f t="shared" si="0"/>
        <v>2836005</v>
      </c>
      <c r="L4">
        <f t="shared" si="1"/>
        <v>5.7128997370942685</v>
      </c>
      <c r="M4">
        <v>49642128</v>
      </c>
      <c r="O4" t="s">
        <v>42</v>
      </c>
      <c r="P4">
        <v>16</v>
      </c>
      <c r="Q4">
        <v>21611962</v>
      </c>
      <c r="R4">
        <v>6029112</v>
      </c>
      <c r="S4" s="11">
        <v>49642128</v>
      </c>
      <c r="T4">
        <f t="shared" si="4"/>
        <v>9.5143184836878874</v>
      </c>
      <c r="U4">
        <v>3186613</v>
      </c>
      <c r="V4">
        <f t="shared" si="5"/>
        <v>11.881166738057644</v>
      </c>
      <c r="X4" t="s">
        <v>43</v>
      </c>
      <c r="Y4">
        <v>16</v>
      </c>
      <c r="Z4">
        <v>21611962</v>
      </c>
      <c r="AA4">
        <v>2836005</v>
      </c>
      <c r="AB4">
        <f t="shared" si="6"/>
        <v>5.3976769086127812</v>
      </c>
      <c r="AD4">
        <v>1551938</v>
      </c>
      <c r="AE4">
        <f t="shared" si="7"/>
        <v>5.6570570866744472</v>
      </c>
    </row>
    <row r="5" spans="1:31">
      <c r="A5" t="s">
        <v>42</v>
      </c>
      <c r="B5">
        <v>32</v>
      </c>
      <c r="C5">
        <v>46186104</v>
      </c>
      <c r="D5">
        <f t="shared" si="2"/>
        <v>3456024</v>
      </c>
      <c r="E5">
        <f t="shared" si="3"/>
        <v>6.9618772184786275</v>
      </c>
      <c r="F5">
        <v>49642128</v>
      </c>
      <c r="G5">
        <v>5</v>
      </c>
      <c r="H5" t="s">
        <v>43</v>
      </c>
      <c r="I5">
        <v>32</v>
      </c>
      <c r="J5">
        <v>48051653</v>
      </c>
      <c r="K5">
        <f t="shared" si="0"/>
        <v>1590475</v>
      </c>
      <c r="L5">
        <f t="shared" si="1"/>
        <v>3.2038815902493143</v>
      </c>
      <c r="M5">
        <v>49642128</v>
      </c>
      <c r="O5" t="s">
        <v>42</v>
      </c>
      <c r="P5">
        <v>32</v>
      </c>
      <c r="Q5">
        <v>21611962</v>
      </c>
      <c r="R5">
        <v>3456024</v>
      </c>
      <c r="S5" s="11">
        <v>49642128</v>
      </c>
      <c r="T5">
        <f t="shared" si="4"/>
        <v>6.1970224966987715</v>
      </c>
      <c r="U5">
        <v>1718195</v>
      </c>
      <c r="V5">
        <f t="shared" si="5"/>
        <v>6.6707457826948922</v>
      </c>
      <c r="X5" t="s">
        <v>43</v>
      </c>
      <c r="Y5">
        <v>32</v>
      </c>
      <c r="Z5">
        <v>21611962</v>
      </c>
      <c r="AA5">
        <v>1590475</v>
      </c>
      <c r="AB5">
        <f t="shared" si="6"/>
        <v>3.7919052946320111</v>
      </c>
      <c r="AD5">
        <v>833638</v>
      </c>
      <c r="AE5">
        <f t="shared" si="7"/>
        <v>3.1252333099016223</v>
      </c>
    </row>
    <row r="6" spans="1:31">
      <c r="A6" t="s">
        <v>42</v>
      </c>
      <c r="B6">
        <v>64</v>
      </c>
      <c r="C6">
        <v>47407327</v>
      </c>
      <c r="D6">
        <f t="shared" si="2"/>
        <v>2234801</v>
      </c>
      <c r="E6">
        <f t="shared" si="3"/>
        <v>4.5018235318195865</v>
      </c>
      <c r="F6">
        <v>49642128</v>
      </c>
      <c r="G6">
        <v>6</v>
      </c>
      <c r="H6" t="s">
        <v>43</v>
      </c>
      <c r="I6">
        <v>64</v>
      </c>
      <c r="J6">
        <v>48675572</v>
      </c>
      <c r="K6">
        <f t="shared" si="0"/>
        <v>966556</v>
      </c>
      <c r="L6">
        <f t="shared" si="1"/>
        <v>1.9470478783665357</v>
      </c>
      <c r="M6">
        <v>49642128</v>
      </c>
      <c r="O6" t="s">
        <v>42</v>
      </c>
      <c r="P6">
        <v>64</v>
      </c>
      <c r="Q6">
        <v>21611962</v>
      </c>
      <c r="R6">
        <v>2234801</v>
      </c>
      <c r="S6" s="11">
        <v>49642128</v>
      </c>
      <c r="T6">
        <f t="shared" si="4"/>
        <v>4.6225881372369857</v>
      </c>
      <c r="U6">
        <v>1013942</v>
      </c>
      <c r="V6">
        <f t="shared" si="5"/>
        <v>4.1883690401023905</v>
      </c>
      <c r="X6" t="s">
        <v>43</v>
      </c>
      <c r="Y6">
        <v>64</v>
      </c>
      <c r="Z6">
        <v>21611962</v>
      </c>
      <c r="AA6">
        <v>966556</v>
      </c>
      <c r="AB6">
        <f t="shared" si="6"/>
        <v>2.9875317190270327</v>
      </c>
      <c r="AD6">
        <v>469885</v>
      </c>
      <c r="AE6">
        <f t="shared" si="7"/>
        <v>1.8518993384006424</v>
      </c>
    </row>
    <row r="7" spans="1:31">
      <c r="A7" t="s">
        <v>42</v>
      </c>
      <c r="B7">
        <v>128</v>
      </c>
      <c r="C7">
        <v>47825038</v>
      </c>
      <c r="D7">
        <f t="shared" si="2"/>
        <v>1817090</v>
      </c>
      <c r="E7">
        <f t="shared" si="3"/>
        <v>3.660378942659348</v>
      </c>
      <c r="F7">
        <v>49642128</v>
      </c>
      <c r="G7">
        <v>7</v>
      </c>
      <c r="H7" t="s">
        <v>43</v>
      </c>
      <c r="I7">
        <v>128</v>
      </c>
      <c r="J7">
        <v>48969562</v>
      </c>
      <c r="K7">
        <f t="shared" si="0"/>
        <v>672566</v>
      </c>
      <c r="L7">
        <f t="shared" si="1"/>
        <v>1.3548291080511294</v>
      </c>
      <c r="M7">
        <v>49642128</v>
      </c>
      <c r="O7" t="s">
        <v>42</v>
      </c>
      <c r="P7">
        <v>128</v>
      </c>
      <c r="Q7">
        <v>21611962</v>
      </c>
      <c r="R7">
        <v>1817090</v>
      </c>
      <c r="S7" s="11">
        <v>49642128</v>
      </c>
      <c r="T7">
        <f t="shared" si="4"/>
        <v>4.0840636001744324</v>
      </c>
      <c r="U7">
        <v>745650</v>
      </c>
      <c r="V7">
        <f t="shared" si="5"/>
        <v>3.3039550601054009</v>
      </c>
      <c r="X7" t="s">
        <v>43</v>
      </c>
      <c r="Y7">
        <v>128</v>
      </c>
      <c r="Z7">
        <v>21611962</v>
      </c>
      <c r="AA7">
        <v>672566</v>
      </c>
      <c r="AB7">
        <f t="shared" si="6"/>
        <v>2.608511706025173</v>
      </c>
      <c r="AD7">
        <v>292544</v>
      </c>
      <c r="AE7">
        <f t="shared" si="7"/>
        <v>1.2442464190898506</v>
      </c>
    </row>
    <row r="8" spans="1:31">
      <c r="A8" t="s">
        <v>42</v>
      </c>
      <c r="B8">
        <v>256</v>
      </c>
      <c r="C8">
        <v>47908952</v>
      </c>
      <c r="D8">
        <f t="shared" si="2"/>
        <v>1733176</v>
      </c>
      <c r="E8">
        <f t="shared" si="3"/>
        <v>3.4913410641864506</v>
      </c>
      <c r="F8">
        <v>49642128</v>
      </c>
      <c r="G8">
        <v>8</v>
      </c>
      <c r="H8" t="s">
        <v>43</v>
      </c>
      <c r="I8">
        <v>256</v>
      </c>
      <c r="J8">
        <v>49071087</v>
      </c>
      <c r="K8">
        <f t="shared" si="0"/>
        <v>571041</v>
      </c>
      <c r="L8">
        <f t="shared" si="1"/>
        <v>1.1503153128326811</v>
      </c>
      <c r="M8">
        <v>49642128</v>
      </c>
      <c r="O8" t="s">
        <v>42</v>
      </c>
      <c r="P8">
        <v>256</v>
      </c>
      <c r="Q8">
        <v>21611962</v>
      </c>
      <c r="R8">
        <v>1733176</v>
      </c>
      <c r="S8" s="11">
        <v>49642128</v>
      </c>
      <c r="T8">
        <f t="shared" si="4"/>
        <v>3.9758793579517784</v>
      </c>
      <c r="U8">
        <v>654014</v>
      </c>
      <c r="V8">
        <f t="shared" si="5"/>
        <v>3.0776311603724964</v>
      </c>
      <c r="X8" t="s">
        <v>43</v>
      </c>
      <c r="Y8">
        <v>256</v>
      </c>
      <c r="Z8">
        <v>21611962</v>
      </c>
      <c r="AA8">
        <v>571041</v>
      </c>
      <c r="AB8">
        <f t="shared" si="6"/>
        <v>2.4776228770853659</v>
      </c>
      <c r="AD8">
        <v>221558</v>
      </c>
      <c r="AE8">
        <f t="shared" si="7"/>
        <v>1.0218404819390499</v>
      </c>
    </row>
    <row r="9" spans="1:31">
      <c r="A9" t="s">
        <v>42</v>
      </c>
      <c r="B9">
        <v>512</v>
      </c>
      <c r="C9">
        <v>47493475</v>
      </c>
      <c r="D9">
        <f t="shared" si="2"/>
        <v>2148653</v>
      </c>
      <c r="E9">
        <f t="shared" si="3"/>
        <v>4.3282854433637494</v>
      </c>
      <c r="F9">
        <v>49642128</v>
      </c>
      <c r="G9">
        <v>9</v>
      </c>
      <c r="H9" t="s">
        <v>43</v>
      </c>
      <c r="I9">
        <v>512</v>
      </c>
      <c r="J9">
        <v>48972332</v>
      </c>
      <c r="K9">
        <f t="shared" si="0"/>
        <v>669796</v>
      </c>
      <c r="L9">
        <f t="shared" si="1"/>
        <v>1.3492491699791758</v>
      </c>
      <c r="M9">
        <v>49642128</v>
      </c>
      <c r="O9" t="s">
        <v>42</v>
      </c>
      <c r="P9">
        <v>512</v>
      </c>
      <c r="Q9">
        <v>21611962</v>
      </c>
      <c r="R9">
        <v>2148653</v>
      </c>
      <c r="S9" s="11">
        <v>49642128</v>
      </c>
      <c r="T9">
        <f t="shared" si="4"/>
        <v>4.5115237606252494</v>
      </c>
      <c r="U9">
        <v>771170</v>
      </c>
      <c r="V9">
        <f t="shared" si="5"/>
        <v>3.7643163081163644</v>
      </c>
      <c r="X9" t="s">
        <v>43</v>
      </c>
      <c r="Y9">
        <v>512</v>
      </c>
      <c r="Z9">
        <v>21611962</v>
      </c>
      <c r="AA9">
        <v>669796</v>
      </c>
      <c r="AB9">
        <f t="shared" si="6"/>
        <v>2.6049405456591224</v>
      </c>
      <c r="AD9">
        <v>247292</v>
      </c>
      <c r="AE9">
        <f t="shared" si="7"/>
        <v>1.1823351327727127</v>
      </c>
    </row>
    <row r="10" spans="1:31">
      <c r="A10" t="s">
        <v>42</v>
      </c>
      <c r="B10">
        <v>1024</v>
      </c>
      <c r="C10">
        <v>46637378</v>
      </c>
      <c r="D10">
        <f t="shared" si="2"/>
        <v>3004750</v>
      </c>
      <c r="E10">
        <f t="shared" si="3"/>
        <v>6.0528227154162284</v>
      </c>
      <c r="F10">
        <v>49642128</v>
      </c>
      <c r="G10">
        <v>10</v>
      </c>
      <c r="H10" t="s">
        <v>43</v>
      </c>
      <c r="I10">
        <v>1024</v>
      </c>
      <c r="J10">
        <v>48679020</v>
      </c>
      <c r="K10">
        <f t="shared" si="0"/>
        <v>963108</v>
      </c>
      <c r="L10">
        <f t="shared" si="1"/>
        <v>1.9401021648387033</v>
      </c>
      <c r="M10">
        <v>49642128</v>
      </c>
      <c r="O10" t="s">
        <v>42</v>
      </c>
      <c r="P10">
        <v>1024</v>
      </c>
      <c r="Q10">
        <v>21611962</v>
      </c>
      <c r="R10">
        <v>3004750</v>
      </c>
      <c r="S10" s="11">
        <v>49642128</v>
      </c>
      <c r="T10">
        <f t="shared" si="4"/>
        <v>5.6152276147388367</v>
      </c>
      <c r="U10">
        <v>1003517</v>
      </c>
      <c r="V10">
        <f t="shared" si="5"/>
        <v>5.1675683201977156</v>
      </c>
      <c r="X10" t="s">
        <v>43</v>
      </c>
      <c r="Y10">
        <v>1024</v>
      </c>
      <c r="Z10">
        <v>21611962</v>
      </c>
      <c r="AA10">
        <v>963108</v>
      </c>
      <c r="AB10">
        <f t="shared" si="6"/>
        <v>2.9830864623692199</v>
      </c>
      <c r="AD10">
        <v>327111</v>
      </c>
      <c r="AE10">
        <f t="shared" si="7"/>
        <v>1.6633859048105271</v>
      </c>
    </row>
    <row r="11" spans="1:31">
      <c r="S11" s="11"/>
    </row>
    <row r="16" spans="1:31">
      <c r="J16" t="s">
        <v>51</v>
      </c>
    </row>
    <row r="17" spans="10:10">
      <c r="J17" t="s">
        <v>52</v>
      </c>
    </row>
    <row r="33" spans="6:6">
      <c r="F33" t="s">
        <v>53</v>
      </c>
    </row>
  </sheetData>
  <pageMargins left="0.75" right="0.75" top="1" bottom="1" header="0.5" footer="0.5"/>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78"/>
  <sheetViews>
    <sheetView tabSelected="1" showRuler="0" topLeftCell="A61" workbookViewId="0">
      <selection activeCell="G92" sqref="G92"/>
    </sheetView>
  </sheetViews>
  <sheetFormatPr baseColWidth="10" defaultRowHeight="15" x14ac:dyDescent="0"/>
  <cols>
    <col min="3" max="3" width="8.83203125" bestFit="1" customWidth="1"/>
    <col min="6" max="6" width="16.1640625" customWidth="1"/>
    <col min="7" max="7" width="19.33203125" customWidth="1"/>
    <col min="8" max="8" width="26.33203125" customWidth="1"/>
    <col min="9" max="9" width="29.6640625" customWidth="1"/>
    <col min="10" max="10" width="19.33203125" customWidth="1"/>
    <col min="14" max="15" width="16.83203125" customWidth="1"/>
    <col min="16" max="16" width="39.83203125" customWidth="1"/>
    <col min="17" max="17" width="34.33203125" customWidth="1"/>
    <col min="18" max="18" width="38.5" customWidth="1"/>
    <col min="19" max="19" width="16.83203125" customWidth="1"/>
    <col min="23" max="23" width="18.1640625" customWidth="1"/>
    <col min="24" max="24" width="15" customWidth="1"/>
    <col min="25" max="25" width="36" customWidth="1"/>
    <col min="26" max="26" width="35.1640625" customWidth="1"/>
    <col min="27" max="27" width="26.6640625" customWidth="1"/>
    <col min="28" max="28" width="20.33203125" customWidth="1"/>
    <col min="32" max="32" width="19.5" customWidth="1"/>
    <col min="33" max="33" width="14.33203125" customWidth="1"/>
    <col min="35" max="35" width="38.6640625" customWidth="1"/>
    <col min="36" max="36" width="32.6640625" customWidth="1"/>
    <col min="37" max="37" width="31.33203125" customWidth="1"/>
  </cols>
  <sheetData>
    <row r="1" spans="1:37">
      <c r="D1" s="31" t="s">
        <v>70</v>
      </c>
      <c r="E1" s="31"/>
      <c r="F1" s="31"/>
      <c r="G1" s="31"/>
      <c r="H1" s="15"/>
      <c r="I1" s="15"/>
      <c r="J1" s="15"/>
      <c r="K1" s="30" t="s">
        <v>71</v>
      </c>
      <c r="L1" s="30"/>
      <c r="M1" s="30"/>
      <c r="N1" s="30"/>
      <c r="O1" s="18"/>
      <c r="P1" s="18"/>
      <c r="Q1" s="18"/>
      <c r="R1" s="18"/>
      <c r="S1" s="16"/>
      <c r="T1" s="29" t="s">
        <v>73</v>
      </c>
      <c r="U1" s="29"/>
      <c r="V1" s="29"/>
      <c r="W1" s="29"/>
      <c r="X1" s="29"/>
      <c r="Y1" s="29"/>
      <c r="Z1" s="29"/>
      <c r="AA1" s="29"/>
      <c r="AB1" s="20"/>
      <c r="AC1" s="32" t="s">
        <v>74</v>
      </c>
      <c r="AD1" s="32"/>
      <c r="AE1" s="32"/>
      <c r="AF1" s="32"/>
      <c r="AG1" s="19"/>
      <c r="AH1" s="19"/>
      <c r="AI1" s="27" t="s">
        <v>81</v>
      </c>
      <c r="AJ1" s="28"/>
      <c r="AK1" s="28"/>
    </row>
    <row r="2" spans="1:37">
      <c r="D2" s="15"/>
      <c r="E2" s="15"/>
      <c r="F2" s="15"/>
      <c r="G2" s="15"/>
      <c r="H2" s="15"/>
      <c r="I2" s="15"/>
      <c r="J2" s="15"/>
      <c r="K2" s="18"/>
      <c r="L2" s="18"/>
      <c r="M2" s="18"/>
      <c r="N2" s="18"/>
      <c r="O2" s="18"/>
      <c r="P2" s="30" t="s">
        <v>85</v>
      </c>
      <c r="Q2" s="26"/>
      <c r="R2" s="26"/>
      <c r="S2" s="17"/>
      <c r="T2" s="17"/>
      <c r="U2" s="17"/>
      <c r="V2" s="17"/>
      <c r="W2" s="17"/>
      <c r="X2" s="17"/>
      <c r="Y2" s="29" t="s">
        <v>85</v>
      </c>
      <c r="Z2" s="26"/>
      <c r="AA2" s="26"/>
      <c r="AB2" s="20"/>
      <c r="AC2" s="20"/>
      <c r="AD2" s="20"/>
      <c r="AE2" s="20"/>
      <c r="AF2" s="20"/>
      <c r="AG2" s="19"/>
      <c r="AH2" s="19"/>
      <c r="AI2" s="19"/>
      <c r="AJ2" s="21"/>
      <c r="AK2" s="21"/>
    </row>
    <row r="3" spans="1:37">
      <c r="A3" t="s">
        <v>28</v>
      </c>
      <c r="B3" t="s">
        <v>41</v>
      </c>
      <c r="C3" t="s">
        <v>66</v>
      </c>
      <c r="D3" t="s">
        <v>67</v>
      </c>
      <c r="E3" t="s">
        <v>68</v>
      </c>
      <c r="F3" t="s">
        <v>76</v>
      </c>
      <c r="G3" t="s">
        <v>69</v>
      </c>
      <c r="H3" t="s">
        <v>89</v>
      </c>
      <c r="I3" t="s">
        <v>83</v>
      </c>
      <c r="J3" t="s">
        <v>90</v>
      </c>
      <c r="K3" t="s">
        <v>67</v>
      </c>
      <c r="L3" t="s">
        <v>68</v>
      </c>
      <c r="M3" t="s">
        <v>77</v>
      </c>
      <c r="N3" t="s">
        <v>69</v>
      </c>
      <c r="O3" s="11" t="s">
        <v>75</v>
      </c>
      <c r="P3" t="s">
        <v>82</v>
      </c>
      <c r="Q3" t="s">
        <v>83</v>
      </c>
      <c r="R3" t="s">
        <v>88</v>
      </c>
      <c r="S3" t="s">
        <v>72</v>
      </c>
      <c r="T3" t="s">
        <v>67</v>
      </c>
      <c r="U3" t="s">
        <v>68</v>
      </c>
      <c r="V3" t="s">
        <v>78</v>
      </c>
      <c r="W3" t="s">
        <v>69</v>
      </c>
      <c r="X3" t="s">
        <v>75</v>
      </c>
      <c r="Y3" t="s">
        <v>82</v>
      </c>
      <c r="Z3" t="s">
        <v>83</v>
      </c>
      <c r="AA3" t="s">
        <v>87</v>
      </c>
      <c r="AB3" t="s">
        <v>72</v>
      </c>
      <c r="AC3" t="s">
        <v>67</v>
      </c>
      <c r="AD3" t="s">
        <v>68</v>
      </c>
      <c r="AE3" t="s">
        <v>80</v>
      </c>
      <c r="AF3" t="s">
        <v>69</v>
      </c>
      <c r="AG3" t="s">
        <v>75</v>
      </c>
      <c r="AH3" t="s">
        <v>79</v>
      </c>
      <c r="AI3" t="s">
        <v>82</v>
      </c>
      <c r="AJ3" t="s">
        <v>83</v>
      </c>
      <c r="AK3" t="s">
        <v>86</v>
      </c>
    </row>
    <row r="4" spans="1:37">
      <c r="A4">
        <v>32768</v>
      </c>
      <c r="B4">
        <v>4</v>
      </c>
      <c r="C4">
        <v>2</v>
      </c>
      <c r="D4">
        <v>32362067</v>
      </c>
      <c r="E4">
        <f>49642128-D4</f>
        <v>17280061</v>
      </c>
      <c r="F4">
        <f xml:space="preserve"> E4/49642128 *100</f>
        <v>34.809267241726623</v>
      </c>
      <c r="G4">
        <v>10838950</v>
      </c>
      <c r="H4">
        <f>E4*64</f>
        <v>1105923904</v>
      </c>
      <c r="I4">
        <f>G4*64</f>
        <v>693692800</v>
      </c>
      <c r="J4">
        <f>(H4+I4)/S4</f>
        <v>36.251804193406052</v>
      </c>
      <c r="K4">
        <v>43565585</v>
      </c>
      <c r="L4">
        <f>49642128-K4</f>
        <v>6076543</v>
      </c>
      <c r="M4">
        <f xml:space="preserve"> L4/49642128*100</f>
        <v>12.240698061936426</v>
      </c>
      <c r="N4">
        <v>6351430</v>
      </c>
      <c r="O4">
        <v>5186187</v>
      </c>
      <c r="P4">
        <f>(L4+O4)*64</f>
        <v>720814720</v>
      </c>
      <c r="Q4">
        <f>N4*64</f>
        <v>406491520</v>
      </c>
      <c r="R4">
        <f>(P4+Q4)/S4</f>
        <v>22.708660676270767</v>
      </c>
      <c r="S4">
        <v>49642128</v>
      </c>
      <c r="T4">
        <v>44802777</v>
      </c>
      <c r="U4">
        <f>S4-T4</f>
        <v>4839351</v>
      </c>
      <c r="V4">
        <f>U4/S4*100</f>
        <v>9.7484761330134759</v>
      </c>
      <c r="W4">
        <v>6283754</v>
      </c>
      <c r="X4">
        <v>6491038</v>
      </c>
      <c r="Y4">
        <f>(X4+U4)*64</f>
        <v>725144896</v>
      </c>
      <c r="Z4">
        <f>W4*64</f>
        <v>402160256</v>
      </c>
      <c r="AA4">
        <f>(Y4+Z4)/S4</f>
        <v>22.708638759402096</v>
      </c>
      <c r="AB4">
        <v>49642128</v>
      </c>
      <c r="AC4">
        <v>45817993</v>
      </c>
      <c r="AD4">
        <f>AB4-AC4</f>
        <v>3824135</v>
      </c>
      <c r="AE4">
        <f>AD4/AB4*100</f>
        <v>7.7034066710435942</v>
      </c>
      <c r="AF4">
        <v>6226744</v>
      </c>
      <c r="AG4">
        <v>7572971</v>
      </c>
      <c r="AH4">
        <v>3899434</v>
      </c>
      <c r="AI4">
        <f>(AD4+AG4)*64</f>
        <v>729414784</v>
      </c>
      <c r="AJ4">
        <f>AF4*64</f>
        <v>398511616</v>
      </c>
      <c r="AK4">
        <f>(AI4+AJ4)/AB4</f>
        <v>22.721153291414097</v>
      </c>
    </row>
    <row r="5" spans="1:37">
      <c r="A5">
        <v>32768</v>
      </c>
      <c r="B5">
        <v>8</v>
      </c>
      <c r="C5">
        <v>3</v>
      </c>
      <c r="D5">
        <v>40655531</v>
      </c>
      <c r="E5">
        <f t="shared" ref="E5:E12" si="0">49642128-D5</f>
        <v>8986597</v>
      </c>
      <c r="F5">
        <f t="shared" ref="F5:F12" si="1" xml:space="preserve"> E5/49642128 *100</f>
        <v>18.102763443178745</v>
      </c>
      <c r="G5">
        <v>5484340</v>
      </c>
      <c r="H5">
        <f t="shared" ref="H5:H12" si="2">E5*64</f>
        <v>575142208</v>
      </c>
      <c r="I5">
        <f t="shared" ref="I5:I12" si="3">G5*64</f>
        <v>350997760</v>
      </c>
      <c r="J5">
        <f t="shared" ref="J5:J12" si="4">(H5+I5)/S5</f>
        <v>18.656330929246224</v>
      </c>
      <c r="K5">
        <v>46413028</v>
      </c>
      <c r="L5">
        <f t="shared" ref="L5:L12" si="5">49642128-K5</f>
        <v>3229100</v>
      </c>
      <c r="M5">
        <f t="shared" ref="M5:M12" si="6" xml:space="preserve"> L5/49642128*100</f>
        <v>6.5047574108829496</v>
      </c>
      <c r="N5">
        <v>3266680</v>
      </c>
      <c r="O5">
        <v>2765996</v>
      </c>
      <c r="P5">
        <f t="shared" ref="P5:P12" si="7">(L5+O5)*64</f>
        <v>383686144</v>
      </c>
      <c r="Q5">
        <f t="shared" ref="Q5:Q12" si="8">N5*64</f>
        <v>209067520</v>
      </c>
      <c r="R5">
        <f t="shared" ref="R5:R12" si="9">(P5+Q5)/S5</f>
        <v>11.940536956836338</v>
      </c>
      <c r="S5">
        <v>49642128</v>
      </c>
      <c r="T5">
        <v>47034202</v>
      </c>
      <c r="U5">
        <f t="shared" ref="U5:U12" si="10">S5-T5</f>
        <v>2607926</v>
      </c>
      <c r="V5">
        <f t="shared" ref="V5:V12" si="11">U5/S5*100</f>
        <v>5.2534532766202124</v>
      </c>
      <c r="W5">
        <v>3255867</v>
      </c>
      <c r="X5">
        <v>3451562</v>
      </c>
      <c r="Y5">
        <f t="shared" ref="Y5:Y12" si="12">(X5+U5)*64</f>
        <v>387807232</v>
      </c>
      <c r="Z5">
        <f t="shared" ref="Z5:Z12" si="13">W5*64</f>
        <v>208375488</v>
      </c>
      <c r="AA5">
        <f t="shared" ref="AA5:AA12" si="14">(Y5+Z5)/S5</f>
        <v>12.009612480754249</v>
      </c>
      <c r="AB5">
        <v>49642128</v>
      </c>
      <c r="AC5">
        <v>47528207</v>
      </c>
      <c r="AD5">
        <f t="shared" ref="AD5:AD12" si="15">AB5-AC5</f>
        <v>2113921</v>
      </c>
      <c r="AE5">
        <f t="shared" ref="AE5:AE12" si="16">AD5/AB5*100</f>
        <v>4.2583206747301405</v>
      </c>
      <c r="AF5">
        <v>3236061</v>
      </c>
      <c r="AG5">
        <v>4130849</v>
      </c>
      <c r="AH5">
        <v>2210914</v>
      </c>
      <c r="AI5">
        <f t="shared" ref="AI5:AI12" si="17">(AD5+AG5)*64</f>
        <v>399665280</v>
      </c>
      <c r="AJ5">
        <f t="shared" ref="AJ5:AJ12" si="18">AF5*64</f>
        <v>207107904</v>
      </c>
      <c r="AK5">
        <f t="shared" ref="AK5:AK12" si="19">(AI5+AJ5)/AB5</f>
        <v>12.222948701957337</v>
      </c>
    </row>
    <row r="6" spans="1:37">
      <c r="A6">
        <v>32768</v>
      </c>
      <c r="B6">
        <v>16</v>
      </c>
      <c r="C6">
        <v>4</v>
      </c>
      <c r="D6">
        <v>44392056</v>
      </c>
      <c r="E6">
        <f t="shared" si="0"/>
        <v>5250072</v>
      </c>
      <c r="F6">
        <f t="shared" si="1"/>
        <v>10.575839939818858</v>
      </c>
      <c r="G6">
        <v>3020669</v>
      </c>
      <c r="H6">
        <f t="shared" si="2"/>
        <v>336004608</v>
      </c>
      <c r="I6">
        <f t="shared" si="3"/>
        <v>193322816</v>
      </c>
      <c r="J6">
        <f t="shared" si="4"/>
        <v>10.662867313020909</v>
      </c>
      <c r="K6">
        <v>47809802</v>
      </c>
      <c r="L6">
        <f t="shared" si="5"/>
        <v>1832326</v>
      </c>
      <c r="M6">
        <f t="shared" si="6"/>
        <v>3.6910706164731697</v>
      </c>
      <c r="N6">
        <v>1712767</v>
      </c>
      <c r="O6">
        <v>1470163</v>
      </c>
      <c r="P6">
        <f t="shared" si="7"/>
        <v>211359296</v>
      </c>
      <c r="Q6">
        <f t="shared" si="8"/>
        <v>109617088</v>
      </c>
      <c r="R6">
        <f t="shared" si="9"/>
        <v>6.4658063006485138</v>
      </c>
      <c r="S6">
        <v>49642128</v>
      </c>
      <c r="T6">
        <v>48138005</v>
      </c>
      <c r="U6">
        <f t="shared" si="10"/>
        <v>1504123</v>
      </c>
      <c r="V6">
        <f t="shared" si="11"/>
        <v>3.0299325605058671</v>
      </c>
      <c r="W6">
        <v>1727093</v>
      </c>
      <c r="X6">
        <v>1957400</v>
      </c>
      <c r="Y6">
        <f t="shared" si="12"/>
        <v>221537472</v>
      </c>
      <c r="Z6">
        <f t="shared" si="13"/>
        <v>110533952</v>
      </c>
      <c r="AA6">
        <f t="shared" si="14"/>
        <v>6.6893067920053708</v>
      </c>
      <c r="AB6">
        <v>49642128</v>
      </c>
      <c r="AC6">
        <v>48402231</v>
      </c>
      <c r="AD6">
        <f t="shared" si="15"/>
        <v>1239897</v>
      </c>
      <c r="AE6">
        <f t="shared" si="16"/>
        <v>2.4976709298199307</v>
      </c>
      <c r="AF6">
        <v>1720221</v>
      </c>
      <c r="AG6">
        <v>2396141</v>
      </c>
      <c r="AH6">
        <v>1323550</v>
      </c>
      <c r="AI6">
        <f t="shared" si="17"/>
        <v>232706432</v>
      </c>
      <c r="AJ6">
        <f t="shared" si="18"/>
        <v>110094144</v>
      </c>
      <c r="AK6">
        <f t="shared" si="19"/>
        <v>6.9054367693504197</v>
      </c>
    </row>
    <row r="7" spans="1:37">
      <c r="A7">
        <v>32768</v>
      </c>
      <c r="B7">
        <v>32</v>
      </c>
      <c r="C7">
        <v>5</v>
      </c>
      <c r="D7">
        <v>46892495</v>
      </c>
      <c r="E7">
        <f t="shared" si="0"/>
        <v>2749633</v>
      </c>
      <c r="F7">
        <f t="shared" si="1"/>
        <v>5.5389104189892908</v>
      </c>
      <c r="G7">
        <v>1475140</v>
      </c>
      <c r="H7">
        <f t="shared" si="2"/>
        <v>175976512</v>
      </c>
      <c r="I7">
        <f t="shared" si="3"/>
        <v>94408960</v>
      </c>
      <c r="J7">
        <f t="shared" si="4"/>
        <v>5.4466938242454068</v>
      </c>
      <c r="K7">
        <v>48520325</v>
      </c>
      <c r="L7">
        <f t="shared" si="5"/>
        <v>1121803</v>
      </c>
      <c r="M7">
        <f t="shared" si="6"/>
        <v>2.2597802414916623</v>
      </c>
      <c r="N7">
        <v>937742</v>
      </c>
      <c r="O7">
        <v>846726</v>
      </c>
      <c r="P7">
        <f t="shared" si="7"/>
        <v>125985856</v>
      </c>
      <c r="Q7">
        <f t="shared" si="8"/>
        <v>60015488</v>
      </c>
      <c r="R7">
        <f t="shared" si="9"/>
        <v>3.7468446961016659</v>
      </c>
      <c r="S7">
        <v>49642128</v>
      </c>
      <c r="T7">
        <v>48697298</v>
      </c>
      <c r="U7">
        <f t="shared" si="10"/>
        <v>944830</v>
      </c>
      <c r="V7">
        <f t="shared" si="11"/>
        <v>1.9032826312361146</v>
      </c>
      <c r="W7">
        <v>953712</v>
      </c>
      <c r="X7">
        <v>1213890</v>
      </c>
      <c r="Y7">
        <f t="shared" si="12"/>
        <v>138158080</v>
      </c>
      <c r="Z7">
        <f t="shared" si="13"/>
        <v>61037568</v>
      </c>
      <c r="AA7">
        <f t="shared" si="14"/>
        <v>4.0126331409483491</v>
      </c>
      <c r="AB7">
        <v>49642128</v>
      </c>
      <c r="AC7">
        <v>48828536</v>
      </c>
      <c r="AD7">
        <f t="shared" si="15"/>
        <v>813592</v>
      </c>
      <c r="AE7">
        <f t="shared" si="16"/>
        <v>1.6389144317100992</v>
      </c>
      <c r="AF7">
        <v>955923</v>
      </c>
      <c r="AG7">
        <v>1533850</v>
      </c>
      <c r="AH7">
        <v>906926</v>
      </c>
      <c r="AI7">
        <f t="shared" si="17"/>
        <v>150236288</v>
      </c>
      <c r="AJ7">
        <f t="shared" si="18"/>
        <v>61179072</v>
      </c>
      <c r="AK7">
        <f t="shared" si="19"/>
        <v>4.2587892283747388</v>
      </c>
    </row>
    <row r="8" spans="1:37">
      <c r="A8">
        <v>32768</v>
      </c>
      <c r="B8">
        <v>64</v>
      </c>
      <c r="C8">
        <v>6</v>
      </c>
      <c r="D8">
        <v>47839920</v>
      </c>
      <c r="E8">
        <f t="shared" si="0"/>
        <v>1802208</v>
      </c>
      <c r="F8">
        <f t="shared" si="1"/>
        <v>3.6304003728446133</v>
      </c>
      <c r="G8">
        <v>855492</v>
      </c>
      <c r="H8">
        <f t="shared" si="2"/>
        <v>115341312</v>
      </c>
      <c r="I8">
        <f t="shared" si="3"/>
        <v>54751488</v>
      </c>
      <c r="J8">
        <f t="shared" si="4"/>
        <v>3.4263801100549114</v>
      </c>
      <c r="K8">
        <v>48847302</v>
      </c>
      <c r="L8">
        <f t="shared" si="5"/>
        <v>794826</v>
      </c>
      <c r="M8">
        <f t="shared" si="6"/>
        <v>1.60111186208617</v>
      </c>
      <c r="N8">
        <v>562073</v>
      </c>
      <c r="O8">
        <v>559780</v>
      </c>
      <c r="P8">
        <f t="shared" si="7"/>
        <v>86694784</v>
      </c>
      <c r="Q8">
        <f t="shared" si="8"/>
        <v>35972672</v>
      </c>
      <c r="R8">
        <f t="shared" si="9"/>
        <v>2.471035407668261</v>
      </c>
      <c r="S8">
        <v>49642128</v>
      </c>
      <c r="T8">
        <v>48954776</v>
      </c>
      <c r="U8">
        <f t="shared" si="10"/>
        <v>687352</v>
      </c>
      <c r="V8">
        <f t="shared" si="11"/>
        <v>1.3846142937305186</v>
      </c>
      <c r="W8">
        <v>563607</v>
      </c>
      <c r="X8">
        <v>851073</v>
      </c>
      <c r="Y8">
        <f t="shared" si="12"/>
        <v>98459200</v>
      </c>
      <c r="Z8">
        <f t="shared" si="13"/>
        <v>36070848</v>
      </c>
      <c r="AA8">
        <f t="shared" si="14"/>
        <v>2.7099976052597907</v>
      </c>
      <c r="AB8">
        <v>49642128</v>
      </c>
      <c r="AC8">
        <v>49005513</v>
      </c>
      <c r="AD8">
        <f t="shared" si="15"/>
        <v>636615</v>
      </c>
      <c r="AE8">
        <f t="shared" si="16"/>
        <v>1.2824087637822457</v>
      </c>
      <c r="AF8">
        <v>579784</v>
      </c>
      <c r="AG8">
        <v>1174930</v>
      </c>
      <c r="AH8">
        <v>734915</v>
      </c>
      <c r="AI8">
        <f t="shared" si="17"/>
        <v>115938880</v>
      </c>
      <c r="AJ8">
        <f t="shared" si="18"/>
        <v>37106176</v>
      </c>
      <c r="AK8">
        <f t="shared" si="19"/>
        <v>3.0829672732804685</v>
      </c>
    </row>
    <row r="9" spans="1:37">
      <c r="A9">
        <v>32768</v>
      </c>
      <c r="B9">
        <v>128</v>
      </c>
      <c r="C9">
        <v>7</v>
      </c>
      <c r="D9">
        <v>48148234</v>
      </c>
      <c r="E9">
        <f t="shared" si="0"/>
        <v>1493894</v>
      </c>
      <c r="F9">
        <f t="shared" si="1"/>
        <v>3.0093270780011685</v>
      </c>
      <c r="G9">
        <v>603538</v>
      </c>
      <c r="H9">
        <f t="shared" si="2"/>
        <v>95609216</v>
      </c>
      <c r="I9">
        <f t="shared" si="3"/>
        <v>38626432</v>
      </c>
      <c r="J9">
        <f t="shared" si="4"/>
        <v>2.7040671584425229</v>
      </c>
      <c r="K9">
        <v>48982559</v>
      </c>
      <c r="L9">
        <f t="shared" si="5"/>
        <v>659569</v>
      </c>
      <c r="M9">
        <f t="shared" si="6"/>
        <v>1.3286477163106305</v>
      </c>
      <c r="N9">
        <v>363909</v>
      </c>
      <c r="O9">
        <v>412196</v>
      </c>
      <c r="P9">
        <f t="shared" si="7"/>
        <v>68592960</v>
      </c>
      <c r="Q9">
        <f t="shared" si="8"/>
        <v>23290176</v>
      </c>
      <c r="R9">
        <f t="shared" si="9"/>
        <v>1.8509105008552413</v>
      </c>
      <c r="S9">
        <v>49642128</v>
      </c>
      <c r="T9">
        <v>49007722</v>
      </c>
      <c r="U9">
        <f t="shared" si="10"/>
        <v>634406</v>
      </c>
      <c r="V9">
        <f t="shared" si="11"/>
        <v>1.2779589142512182</v>
      </c>
      <c r="W9">
        <v>389990</v>
      </c>
      <c r="X9">
        <v>738845</v>
      </c>
      <c r="Y9">
        <f t="shared" si="12"/>
        <v>87888064</v>
      </c>
      <c r="Z9">
        <f t="shared" si="13"/>
        <v>24959360</v>
      </c>
      <c r="AA9">
        <f t="shared" si="14"/>
        <v>2.2732189079404495</v>
      </c>
      <c r="AB9">
        <v>49642128</v>
      </c>
      <c r="AC9">
        <v>49000742</v>
      </c>
      <c r="AD9">
        <f t="shared" si="15"/>
        <v>641386</v>
      </c>
      <c r="AE9">
        <f t="shared" si="16"/>
        <v>1.2920195524253111</v>
      </c>
      <c r="AF9">
        <v>411128</v>
      </c>
      <c r="AG9">
        <v>1123432</v>
      </c>
      <c r="AH9">
        <v>800726</v>
      </c>
      <c r="AI9">
        <f t="shared" si="17"/>
        <v>112948352</v>
      </c>
      <c r="AJ9">
        <f t="shared" si="18"/>
        <v>26312192</v>
      </c>
      <c r="AK9">
        <f t="shared" si="19"/>
        <v>2.805289571792732</v>
      </c>
    </row>
    <row r="10" spans="1:37">
      <c r="A10">
        <v>32768</v>
      </c>
      <c r="B10">
        <v>256</v>
      </c>
      <c r="C10">
        <v>8</v>
      </c>
      <c r="D10">
        <v>48166766</v>
      </c>
      <c r="E10">
        <f t="shared" si="0"/>
        <v>1475362</v>
      </c>
      <c r="F10">
        <f t="shared" si="1"/>
        <v>2.9719958822071448</v>
      </c>
      <c r="G10">
        <v>522546</v>
      </c>
      <c r="H10">
        <f t="shared" si="2"/>
        <v>94423168</v>
      </c>
      <c r="I10">
        <f t="shared" si="3"/>
        <v>33442944</v>
      </c>
      <c r="J10">
        <f t="shared" si="4"/>
        <v>2.5757580738682275</v>
      </c>
      <c r="K10">
        <v>48938165</v>
      </c>
      <c r="L10">
        <f t="shared" si="5"/>
        <v>703963</v>
      </c>
      <c r="M10">
        <f t="shared" si="6"/>
        <v>1.4180757923995524</v>
      </c>
      <c r="N10">
        <v>314018</v>
      </c>
      <c r="O10">
        <v>401439</v>
      </c>
      <c r="P10">
        <f t="shared" si="7"/>
        <v>70745728</v>
      </c>
      <c r="Q10">
        <f t="shared" si="8"/>
        <v>20097152</v>
      </c>
      <c r="R10">
        <f t="shared" si="9"/>
        <v>1.8299553959491826</v>
      </c>
      <c r="S10">
        <v>49642128</v>
      </c>
      <c r="T10">
        <v>48922430</v>
      </c>
      <c r="U10">
        <f t="shared" si="10"/>
        <v>719698</v>
      </c>
      <c r="V10">
        <f t="shared" si="11"/>
        <v>1.4497726608335566</v>
      </c>
      <c r="W10">
        <v>343518</v>
      </c>
      <c r="X10">
        <v>838762</v>
      </c>
      <c r="Y10">
        <f t="shared" si="12"/>
        <v>99741440</v>
      </c>
      <c r="Z10">
        <f t="shared" si="13"/>
        <v>21985152</v>
      </c>
      <c r="AA10">
        <f t="shared" si="14"/>
        <v>2.4520824731768145</v>
      </c>
      <c r="AB10">
        <v>49642128</v>
      </c>
      <c r="AC10">
        <v>48882542</v>
      </c>
      <c r="AD10">
        <f t="shared" si="15"/>
        <v>759586</v>
      </c>
      <c r="AE10">
        <f t="shared" si="16"/>
        <v>1.5301237690696901</v>
      </c>
      <c r="AF10">
        <v>375098</v>
      </c>
      <c r="AG10">
        <v>1372112</v>
      </c>
      <c r="AH10">
        <v>906646</v>
      </c>
      <c r="AI10">
        <f t="shared" si="17"/>
        <v>136428672</v>
      </c>
      <c r="AJ10">
        <f t="shared" si="18"/>
        <v>24006272</v>
      </c>
      <c r="AK10">
        <f t="shared" si="19"/>
        <v>3.231830512986873</v>
      </c>
    </row>
    <row r="11" spans="1:37">
      <c r="A11">
        <v>32768</v>
      </c>
      <c r="B11">
        <v>512</v>
      </c>
      <c r="C11">
        <v>9</v>
      </c>
      <c r="D11">
        <v>47596171</v>
      </c>
      <c r="E11">
        <f t="shared" si="0"/>
        <v>2045957</v>
      </c>
      <c r="F11">
        <f t="shared" si="1"/>
        <v>4.1214127645776992</v>
      </c>
      <c r="G11">
        <v>683856</v>
      </c>
      <c r="H11">
        <f t="shared" si="2"/>
        <v>130941248</v>
      </c>
      <c r="I11">
        <f t="shared" si="3"/>
        <v>43766784</v>
      </c>
      <c r="J11">
        <f t="shared" si="4"/>
        <v>3.5193501777361358</v>
      </c>
      <c r="K11">
        <v>48660373</v>
      </c>
      <c r="L11">
        <f t="shared" si="5"/>
        <v>981755</v>
      </c>
      <c r="M11">
        <f t="shared" si="6"/>
        <v>1.9776650187115268</v>
      </c>
      <c r="N11">
        <v>392997</v>
      </c>
      <c r="O11">
        <v>548127</v>
      </c>
      <c r="P11">
        <f t="shared" si="7"/>
        <v>97912448</v>
      </c>
      <c r="Q11">
        <f t="shared" si="8"/>
        <v>25151808</v>
      </c>
      <c r="R11">
        <f t="shared" si="9"/>
        <v>2.479028618595883</v>
      </c>
      <c r="S11">
        <v>49642128</v>
      </c>
      <c r="T11">
        <v>48634651</v>
      </c>
      <c r="U11">
        <f t="shared" si="10"/>
        <v>1007477</v>
      </c>
      <c r="V11">
        <f t="shared" si="11"/>
        <v>2.0294798804757122</v>
      </c>
      <c r="W11">
        <v>411911</v>
      </c>
      <c r="X11">
        <v>1241899</v>
      </c>
      <c r="Y11">
        <f t="shared" si="12"/>
        <v>143960064</v>
      </c>
      <c r="Z11">
        <f t="shared" si="13"/>
        <v>26362304</v>
      </c>
      <c r="AA11">
        <f t="shared" si="14"/>
        <v>3.4310045693448115</v>
      </c>
      <c r="AB11">
        <v>49642128</v>
      </c>
      <c r="AC11">
        <v>48511929</v>
      </c>
      <c r="AD11">
        <f t="shared" si="15"/>
        <v>1130199</v>
      </c>
      <c r="AE11">
        <f t="shared" si="16"/>
        <v>2.2766932956621035</v>
      </c>
      <c r="AF11">
        <v>463548</v>
      </c>
      <c r="AG11">
        <v>2157510</v>
      </c>
      <c r="AH11">
        <v>1233087</v>
      </c>
      <c r="AI11">
        <f t="shared" si="17"/>
        <v>210413376</v>
      </c>
      <c r="AJ11">
        <f t="shared" si="18"/>
        <v>29667072</v>
      </c>
      <c r="AK11">
        <f t="shared" si="19"/>
        <v>4.8362239426964129</v>
      </c>
    </row>
    <row r="12" spans="1:37">
      <c r="A12">
        <v>32768</v>
      </c>
      <c r="B12">
        <v>1024</v>
      </c>
      <c r="C12">
        <v>10</v>
      </c>
      <c r="D12">
        <v>47030974</v>
      </c>
      <c r="E12">
        <f t="shared" si="0"/>
        <v>2611154</v>
      </c>
      <c r="F12">
        <f t="shared" si="1"/>
        <v>5.2599558181712114</v>
      </c>
      <c r="G12">
        <v>771229</v>
      </c>
      <c r="H12">
        <f t="shared" si="2"/>
        <v>167113856</v>
      </c>
      <c r="I12">
        <f t="shared" si="3"/>
        <v>49358656</v>
      </c>
      <c r="J12">
        <f t="shared" si="4"/>
        <v>4.3606614124197094</v>
      </c>
      <c r="K12">
        <v>48285672</v>
      </c>
      <c r="L12">
        <f t="shared" si="5"/>
        <v>1356456</v>
      </c>
      <c r="M12">
        <f t="shared" si="6"/>
        <v>2.7324694864007442</v>
      </c>
      <c r="N12">
        <v>427688</v>
      </c>
      <c r="O12">
        <v>785875</v>
      </c>
      <c r="P12">
        <f t="shared" si="7"/>
        <v>137109184</v>
      </c>
      <c r="Q12">
        <f t="shared" si="8"/>
        <v>27372032</v>
      </c>
      <c r="R12">
        <f t="shared" si="9"/>
        <v>3.3133393475799426</v>
      </c>
      <c r="S12">
        <v>49642128</v>
      </c>
      <c r="T12">
        <v>48121759</v>
      </c>
      <c r="U12">
        <f t="shared" si="10"/>
        <v>1520369</v>
      </c>
      <c r="V12">
        <f t="shared" si="11"/>
        <v>3.0626587965769718</v>
      </c>
      <c r="W12">
        <v>495311</v>
      </c>
      <c r="X12">
        <v>1928568</v>
      </c>
      <c r="Y12">
        <f t="shared" si="12"/>
        <v>220731968</v>
      </c>
      <c r="Z12">
        <f t="shared" si="13"/>
        <v>31699904</v>
      </c>
      <c r="AA12">
        <f t="shared" si="14"/>
        <v>5.0850332604597446</v>
      </c>
      <c r="AB12">
        <v>49642128</v>
      </c>
      <c r="AC12">
        <v>47910528</v>
      </c>
      <c r="AD12">
        <f t="shared" si="15"/>
        <v>1731600</v>
      </c>
      <c r="AE12">
        <f t="shared" si="16"/>
        <v>3.488166341297859</v>
      </c>
      <c r="AF12">
        <v>574577</v>
      </c>
      <c r="AG12">
        <v>3488861</v>
      </c>
      <c r="AH12">
        <v>1705939</v>
      </c>
      <c r="AI12">
        <f t="shared" si="17"/>
        <v>334109504</v>
      </c>
      <c r="AJ12">
        <f t="shared" si="18"/>
        <v>36772928</v>
      </c>
      <c r="AK12">
        <f t="shared" si="19"/>
        <v>7.4711227528360586</v>
      </c>
    </row>
    <row r="13" spans="1:37">
      <c r="J13">
        <f>J4+J5+J6+J7+J8+J9+J10+J11+J12</f>
        <v>87.603913192440075</v>
      </c>
      <c r="AK13">
        <f>AK4+AK5+AK7+AK6+AK8+AK9+AK10+AK11+AK12</f>
        <v>67.535762044689136</v>
      </c>
    </row>
    <row r="18" spans="44:46">
      <c r="AR18" s="27"/>
      <c r="AS18" s="28"/>
      <c r="AT18" s="28"/>
    </row>
    <row r="19" spans="44:46">
      <c r="AR19" s="19"/>
      <c r="AS19" s="21"/>
      <c r="AT19" s="21"/>
    </row>
    <row r="20" spans="44:46">
      <c r="AR20" t="s">
        <v>82</v>
      </c>
      <c r="AS20" t="s">
        <v>83</v>
      </c>
      <c r="AT20" t="s">
        <v>84</v>
      </c>
    </row>
    <row r="75" spans="2:2">
      <c r="B75" t="s">
        <v>92</v>
      </c>
    </row>
    <row r="76" spans="2:2">
      <c r="B76" t="s">
        <v>91</v>
      </c>
    </row>
    <row r="77" spans="2:2">
      <c r="B77" t="s">
        <v>93</v>
      </c>
    </row>
    <row r="78" spans="2:2">
      <c r="B78" t="s">
        <v>94</v>
      </c>
    </row>
  </sheetData>
  <mergeCells count="8">
    <mergeCell ref="AR18:AT18"/>
    <mergeCell ref="Y2:AA2"/>
    <mergeCell ref="P2:R2"/>
    <mergeCell ref="D1:G1"/>
    <mergeCell ref="K1:N1"/>
    <mergeCell ref="T1:AA1"/>
    <mergeCell ref="AC1:AF1"/>
    <mergeCell ref="AI1:AK1"/>
  </mergeCells>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Q4</vt:lpstr>
      <vt:lpstr>Q6</vt:lpstr>
      <vt:lpstr>Q7</vt:lpstr>
      <vt:lpstr>Q8</vt:lpstr>
      <vt:lpstr>Q9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Guri</dc:creator>
  <cp:lastModifiedBy>Guri</cp:lastModifiedBy>
  <dcterms:created xsi:type="dcterms:W3CDTF">2015-06-30T22:13:42Z</dcterms:created>
  <dcterms:modified xsi:type="dcterms:W3CDTF">2015-07-11T03:03:55Z</dcterms:modified>
</cp:coreProperties>
</file>