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 Konya\Downloads\Fablab -Data Analytics and visualization\Excel\LoanManagementSystem\"/>
    </mc:Choice>
  </mc:AlternateContent>
  <xr:revisionPtr revIDLastSave="0" documentId="13_ncr:1_{BD4D69F4-A2D9-4358-8D57-A8BA9BC0CFDB}" xr6:coauthVersionLast="47" xr6:coauthVersionMax="47" xr10:uidLastSave="{00000000-0000-0000-0000-000000000000}"/>
  <bookViews>
    <workbookView xWindow="-120" yWindow="-120" windowWidth="20730" windowHeight="11760" xr2:uid="{D45ECFA9-0EF8-446D-AF0B-F9EF2BA9B9A2}"/>
  </bookViews>
  <sheets>
    <sheet name="Loan Manangement System" sheetId="1" r:id="rId1"/>
    <sheet name="Total Loan Inter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C27" i="1"/>
  <c r="J23" i="1"/>
  <c r="F23" i="1"/>
  <c r="C12" i="2"/>
  <c r="O26" i="1"/>
  <c r="O14" i="1"/>
  <c r="O15" i="1"/>
  <c r="O16" i="1"/>
  <c r="O17" i="1"/>
  <c r="O18" i="1"/>
  <c r="O19" i="1"/>
  <c r="O13" i="1"/>
  <c r="R14" i="1"/>
  <c r="R15" i="1"/>
  <c r="R16" i="1"/>
  <c r="R17" i="1"/>
  <c r="R18" i="1"/>
  <c r="R19" i="1"/>
  <c r="R13" i="1"/>
  <c r="P6" i="1"/>
  <c r="Q17" i="1" s="1"/>
  <c r="P5" i="1"/>
  <c r="Q16" i="1" s="1"/>
  <c r="P4" i="1"/>
  <c r="Q13" i="1" s="1"/>
  <c r="P3" i="1"/>
  <c r="Q14" i="1" s="1"/>
  <c r="N14" i="1"/>
  <c r="N15" i="1"/>
  <c r="N16" i="1"/>
  <c r="N17" i="1"/>
  <c r="N18" i="1"/>
  <c r="N19" i="1"/>
  <c r="N13" i="1"/>
  <c r="S13" i="1" l="1"/>
  <c r="S14" i="1"/>
  <c r="S17" i="1"/>
  <c r="S16" i="1"/>
  <c r="Q15" i="1"/>
  <c r="S15" i="1" s="1"/>
  <c r="Q19" i="1"/>
  <c r="S19" i="1" s="1"/>
  <c r="Q18" i="1"/>
  <c r="S18" i="1" s="1"/>
  <c r="Q26" i="1" l="1"/>
  <c r="P26" i="1"/>
  <c r="B28" i="1"/>
  <c r="P31" i="1" l="1"/>
  <c r="P35" i="1"/>
  <c r="P30" i="1"/>
  <c r="P28" i="1"/>
  <c r="P32" i="1"/>
  <c r="P36" i="1"/>
  <c r="P34" i="1"/>
  <c r="P29" i="1"/>
  <c r="P33" i="1"/>
  <c r="P37" i="1"/>
  <c r="P27" i="1"/>
  <c r="R26" i="1"/>
  <c r="S26" i="1" s="1"/>
  <c r="O27" i="1" s="1"/>
  <c r="Q27" i="1" s="1"/>
  <c r="D3" i="1"/>
  <c r="E3" i="1" s="1"/>
  <c r="G3" i="1" s="1"/>
  <c r="H3" i="1" s="1"/>
  <c r="D5" i="1"/>
  <c r="E5" i="1" s="1"/>
  <c r="G5" i="1" s="1"/>
  <c r="H5" i="1" s="1"/>
  <c r="D7" i="1"/>
  <c r="E7" i="1" s="1"/>
  <c r="G7" i="1" s="1"/>
  <c r="H7" i="1" s="1"/>
  <c r="D9" i="1"/>
  <c r="E9" i="1" s="1"/>
  <c r="G9" i="1" s="1"/>
  <c r="H9" i="1" s="1"/>
  <c r="D11" i="1"/>
  <c r="E11" i="1" s="1"/>
  <c r="G11" i="1" s="1"/>
  <c r="H11" i="1" s="1"/>
  <c r="D13" i="1"/>
  <c r="E13" i="1" s="1"/>
  <c r="G13" i="1" s="1"/>
  <c r="H13" i="1" s="1"/>
  <c r="D15" i="1"/>
  <c r="E15" i="1" s="1"/>
  <c r="G15" i="1" s="1"/>
  <c r="H15" i="1" s="1"/>
  <c r="D17" i="1"/>
  <c r="E17" i="1" s="1"/>
  <c r="G17" i="1" s="1"/>
  <c r="H17" i="1" s="1"/>
  <c r="D19" i="1"/>
  <c r="E19" i="1" s="1"/>
  <c r="G19" i="1" s="1"/>
  <c r="H19" i="1" s="1"/>
  <c r="D21" i="1"/>
  <c r="E21" i="1" s="1"/>
  <c r="G21" i="1" s="1"/>
  <c r="H21" i="1" s="1"/>
  <c r="D22" i="1"/>
  <c r="E22" i="1" s="1"/>
  <c r="G22" i="1" s="1"/>
  <c r="H22" i="1" s="1"/>
  <c r="D4" i="1"/>
  <c r="E4" i="1" s="1"/>
  <c r="G4" i="1" s="1"/>
  <c r="H4" i="1" s="1"/>
  <c r="D6" i="1"/>
  <c r="E6" i="1" s="1"/>
  <c r="G6" i="1" s="1"/>
  <c r="H6" i="1" s="1"/>
  <c r="D8" i="1"/>
  <c r="E8" i="1" s="1"/>
  <c r="G8" i="1" s="1"/>
  <c r="H8" i="1" s="1"/>
  <c r="D10" i="1"/>
  <c r="E10" i="1" s="1"/>
  <c r="G10" i="1" s="1"/>
  <c r="H10" i="1" s="1"/>
  <c r="D12" i="1"/>
  <c r="E12" i="1" s="1"/>
  <c r="G12" i="1" s="1"/>
  <c r="H12" i="1" s="1"/>
  <c r="D14" i="1"/>
  <c r="E14" i="1" s="1"/>
  <c r="G14" i="1" s="1"/>
  <c r="H14" i="1" s="1"/>
  <c r="D16" i="1"/>
  <c r="E16" i="1" s="1"/>
  <c r="G16" i="1" s="1"/>
  <c r="H16" i="1" s="1"/>
  <c r="D18" i="1"/>
  <c r="E18" i="1" s="1"/>
  <c r="G18" i="1" s="1"/>
  <c r="H18" i="1" s="1"/>
  <c r="D20" i="1"/>
  <c r="E20" i="1" s="1"/>
  <c r="G20" i="1" s="1"/>
  <c r="H20" i="1" s="1"/>
  <c r="R27" i="1" l="1"/>
  <c r="S27" i="1" s="1"/>
  <c r="O28" i="1" s="1"/>
  <c r="Q28" i="1" s="1"/>
  <c r="R28" i="1" s="1"/>
  <c r="S28" i="1" s="1"/>
  <c r="O29" i="1" s="1"/>
  <c r="Q29" i="1" s="1"/>
  <c r="R29" i="1" s="1"/>
  <c r="S29" i="1" s="1"/>
  <c r="O30" i="1" s="1"/>
  <c r="Q30" i="1" s="1"/>
  <c r="R30" i="1" s="1"/>
  <c r="S30" i="1" s="1"/>
  <c r="O31" i="1" s="1"/>
  <c r="Q31" i="1" s="1"/>
  <c r="R31" i="1" s="1"/>
  <c r="S31" i="1" s="1"/>
  <c r="O32" i="1" s="1"/>
  <c r="Q32" i="1" s="1"/>
  <c r="R32" i="1" s="1"/>
  <c r="S32" i="1" s="1"/>
  <c r="O33" i="1" s="1"/>
  <c r="H23" i="1"/>
  <c r="G23" i="1"/>
  <c r="Q33" i="1" l="1"/>
  <c r="R33" i="1" s="1"/>
  <c r="S33" i="1" s="1"/>
  <c r="O34" i="1" s="1"/>
  <c r="Q34" i="1" l="1"/>
  <c r="R34" i="1" l="1"/>
  <c r="S34" i="1" s="1"/>
  <c r="O35" i="1" s="1"/>
  <c r="Q35" i="1" l="1"/>
  <c r="R35" i="1" l="1"/>
  <c r="S35" i="1" s="1"/>
  <c r="O36" i="1" s="1"/>
  <c r="Q36" i="1" l="1"/>
  <c r="R36" i="1" l="1"/>
  <c r="S36" i="1" s="1"/>
  <c r="O37" i="1" s="1"/>
  <c r="Q37" i="1" l="1"/>
  <c r="R37" i="1" l="1"/>
  <c r="S37" i="1" s="1"/>
  <c r="Q50" i="1" l="1"/>
</calcChain>
</file>

<file path=xl/sharedStrings.xml><?xml version="1.0" encoding="utf-8"?>
<sst xmlns="http://schemas.openxmlformats.org/spreadsheetml/2006/main" count="152" uniqueCount="89">
  <si>
    <t>MemberID</t>
  </si>
  <si>
    <t>Registration Date</t>
  </si>
  <si>
    <t>Weekly Contribution</t>
  </si>
  <si>
    <t>Total Contribution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</si>
  <si>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</si>
  <si>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</si>
  <si>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</si>
  <si>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</si>
  <si>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</si>
  <si>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</si>
  <si>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</si>
  <si>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</si>
  <si>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</si>
  <si>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</si>
  <si>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</si>
  <si>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</si>
  <si>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</si>
  <si>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</si>
  <si>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</si>
  <si>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</si>
  <si>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</si>
  <si>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</si>
  <si>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</si>
  <si>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</si>
  <si>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Repayment period(Months)</t>
  </si>
  <si>
    <t>L01</t>
  </si>
  <si>
    <t>L02</t>
  </si>
  <si>
    <t>L03</t>
  </si>
  <si>
    <t>L04</t>
  </si>
  <si>
    <t>Interest Rate(P.A)</t>
  </si>
  <si>
    <t>LOAN PRODUCTS</t>
  </si>
  <si>
    <t>Personal loan</t>
  </si>
  <si>
    <t>Emergency loan</t>
  </si>
  <si>
    <t>Business loan</t>
  </si>
  <si>
    <t>Educationl loan</t>
  </si>
  <si>
    <t>UNGANA SACCO</t>
  </si>
  <si>
    <t>Allan  Ramos</t>
  </si>
  <si>
    <t>Andrew  Meyer</t>
  </si>
  <si>
    <t>Arturo  Francis</t>
  </si>
  <si>
    <t>Austin  Reynolds</t>
  </si>
  <si>
    <t>Ben  Perez</t>
  </si>
  <si>
    <t>Bernadette  Page</t>
  </si>
  <si>
    <t>Beth  Tucker</t>
  </si>
  <si>
    <t>Bethany  Pena</t>
  </si>
  <si>
    <t>Billie  Chandler</t>
  </si>
  <si>
    <t>Blake  Bridges</t>
  </si>
  <si>
    <t>Bobbie  Ryan</t>
  </si>
  <si>
    <t>Brooke  Horton</t>
  </si>
  <si>
    <t>Carla  Mccormick</t>
  </si>
  <si>
    <t>Cassandra  Franklin</t>
  </si>
  <si>
    <t>Cecilia  Manning</t>
  </si>
  <si>
    <t>Charlie  Wood</t>
  </si>
  <si>
    <t>Christina  Fuller</t>
  </si>
  <si>
    <t>Christy  Olson</t>
  </si>
  <si>
    <t>Dan  Peterson</t>
  </si>
  <si>
    <t>Della  Jensen</t>
  </si>
  <si>
    <t>LoanID</t>
  </si>
  <si>
    <t>N/A</t>
  </si>
  <si>
    <t>No of weeks</t>
  </si>
  <si>
    <t>DEFAULTERS TABLE</t>
  </si>
  <si>
    <t>No of mothns</t>
  </si>
  <si>
    <t>Today's Date</t>
  </si>
  <si>
    <r>
      <rPr>
        <b/>
        <sz val="11"/>
        <color theme="1"/>
        <rFont val="Calibri"/>
        <family val="2"/>
        <scheme val="minor"/>
      </rPr>
      <t>Registration fees</t>
    </r>
    <r>
      <rPr>
        <sz val="11"/>
        <color theme="1"/>
        <rFont val="Calibri"/>
        <family val="2"/>
        <scheme val="minor"/>
      </rPr>
      <t xml:space="preserve"> </t>
    </r>
  </si>
  <si>
    <t>Loan Amount</t>
  </si>
  <si>
    <t>Interest Rate(P.M)</t>
  </si>
  <si>
    <t>No Loan Taken</t>
  </si>
  <si>
    <t>Type of Loan</t>
  </si>
  <si>
    <t>Repayment Period(Months)</t>
  </si>
  <si>
    <t>Opening balance</t>
  </si>
  <si>
    <t>Instalments</t>
  </si>
  <si>
    <t>Interest</t>
  </si>
  <si>
    <t>Principal</t>
  </si>
  <si>
    <t>Closing balance</t>
  </si>
  <si>
    <t>Period</t>
  </si>
  <si>
    <t>Total loan Taken</t>
  </si>
  <si>
    <t>Installment</t>
  </si>
  <si>
    <t>TOTAL</t>
  </si>
  <si>
    <t>Total Loan Interest</t>
  </si>
  <si>
    <t>Total</t>
  </si>
  <si>
    <t>LOANS TAKEN</t>
  </si>
  <si>
    <t>defaulter penalty</t>
  </si>
  <si>
    <t>Eligible Loan Amount(1.5X TC)</t>
  </si>
  <si>
    <t>Names</t>
  </si>
  <si>
    <t xml:space="preserve">LOAN INTEREST </t>
  </si>
  <si>
    <t>Default Month</t>
  </si>
  <si>
    <t xml:space="preserve">penalty </t>
  </si>
  <si>
    <t>penalty rate</t>
  </si>
  <si>
    <t>Outstanding Amount</t>
  </si>
  <si>
    <t>LOAN AMORTISATION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</si>
</sst>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10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Font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center"/>
    </xf>
    <xf numFmtId="8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/>
    <xf numFmtId="0" fontId="0" fillId="4" borderId="0" xfId="0" applyFill="1"/>
    <xf numFmtId="166" fontId="0" fillId="0" borderId="0" xfId="0" applyNumberFormat="1"/>
    <xf numFmtId="166" fontId="0" fillId="0" borderId="0" xfId="0" applyNumberFormat="1" applyFont="1"/>
    <xf numFmtId="166" fontId="1" fillId="4" borderId="0" xfId="0" applyNumberFormat="1" applyFont="1" applyFill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NumberFormat="1"/>
    <xf numFmtId="0" fontId="1" fillId="0" borderId="0" xfId="0" applyNumberFormat="1" applyFont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AF8D1-B484-497E-9163-B0A68CAA0D33}">
  <dimension ref="A1:Z50"/>
  <sheetViews>
    <sheetView tabSelected="1" topLeftCell="L16" zoomScale="95" zoomScaleNormal="95" workbookViewId="0">
      <selection activeCell="M24" sqref="M24"/>
    </sheetView>
  </sheetViews>
  <sheetFormatPr defaultRowHeight="15" x14ac:dyDescent="0.25"/>
  <cols>
    <col min="1" max="1" width="16.5703125" bestFit="1" customWidth="1"/>
    <col min="2" max="2" width="18.140625" bestFit="1" customWidth="1"/>
    <col min="3" max="3" width="16.42578125" bestFit="1" customWidth="1"/>
    <col min="4" max="5" width="16.42578125" customWidth="1"/>
    <col min="6" max="6" width="19.7109375" bestFit="1" customWidth="1"/>
    <col min="7" max="7" width="17.42578125" bestFit="1" customWidth="1"/>
    <col min="8" max="8" width="26.42578125" bestFit="1" customWidth="1"/>
    <col min="9" max="9" width="10.5703125" customWidth="1"/>
    <col min="10" max="10" width="19.140625" bestFit="1" customWidth="1"/>
    <col min="12" max="12" width="10.42578125" bestFit="1" customWidth="1"/>
    <col min="13" max="13" width="26.140625" bestFit="1" customWidth="1"/>
    <col min="14" max="15" width="19" bestFit="1" customWidth="1"/>
    <col min="16" max="16" width="17" bestFit="1" customWidth="1"/>
    <col min="17" max="18" width="26.28515625" bestFit="1" customWidth="1"/>
    <col min="19" max="19" width="14.85546875" bestFit="1" customWidth="1"/>
    <col min="20" max="20" width="16.5703125" bestFit="1" customWidth="1"/>
    <col min="21" max="21" width="15.140625" bestFit="1" customWidth="1"/>
    <col min="22" max="22" width="11" customWidth="1"/>
  </cols>
  <sheetData>
    <row r="1" spans="1:26" x14ac:dyDescent="0.25">
      <c r="A1" s="32" t="s">
        <v>35</v>
      </c>
      <c r="B1" s="33"/>
      <c r="C1" s="33"/>
      <c r="D1" s="33"/>
      <c r="E1" s="33"/>
      <c r="F1" s="33"/>
      <c r="G1" s="33"/>
      <c r="H1" s="2"/>
      <c r="I1" s="2"/>
      <c r="J1" s="2"/>
      <c r="M1" s="25" t="s">
        <v>30</v>
      </c>
      <c r="N1" s="26"/>
      <c r="O1" s="26"/>
      <c r="P1" s="26"/>
      <c r="Q1" s="26"/>
      <c r="R1" s="13"/>
    </row>
    <row r="2" spans="1:26" x14ac:dyDescent="0.25">
      <c r="A2" s="1" t="s">
        <v>0</v>
      </c>
      <c r="B2" s="1" t="s">
        <v>82</v>
      </c>
      <c r="C2" s="1" t="s">
        <v>1</v>
      </c>
      <c r="D2" s="1" t="s">
        <v>60</v>
      </c>
      <c r="E2" s="1" t="s">
        <v>58</v>
      </c>
      <c r="F2" s="1" t="s">
        <v>2</v>
      </c>
      <c r="G2" s="1" t="s">
        <v>3</v>
      </c>
      <c r="H2" s="1" t="s">
        <v>81</v>
      </c>
      <c r="I2" s="1" t="s">
        <v>56</v>
      </c>
      <c r="J2" s="1" t="s">
        <v>74</v>
      </c>
      <c r="M2" s="1" t="s">
        <v>66</v>
      </c>
      <c r="N2" s="1" t="s">
        <v>56</v>
      </c>
      <c r="O2" s="1" t="s">
        <v>29</v>
      </c>
      <c r="P2" s="1" t="s">
        <v>64</v>
      </c>
      <c r="Q2" s="1" t="s">
        <v>24</v>
      </c>
      <c r="T2" s="16"/>
      <c r="U2" s="16"/>
      <c r="V2" s="16"/>
      <c r="W2" s="16"/>
    </row>
    <row r="3" spans="1:26" x14ac:dyDescent="0.25">
      <c r="A3" t="s">
        <v>4</v>
      </c>
      <c r="B3" s="5" t="s">
        <v>36</v>
      </c>
      <c r="C3" s="9">
        <v>45292</v>
      </c>
      <c r="D3">
        <f ca="1">DATEDIF($C3,$B$28,"YM")</f>
        <v>6</v>
      </c>
      <c r="E3">
        <f t="shared" ref="E3:E22" ca="1" si="0">$D3*4</f>
        <v>24</v>
      </c>
      <c r="F3">
        <v>1523</v>
      </c>
      <c r="G3">
        <f t="shared" ref="G3:G22" ca="1" si="1">$E3*$F3</f>
        <v>36552</v>
      </c>
      <c r="H3">
        <f ca="1">$G3*1.5</f>
        <v>54828</v>
      </c>
      <c r="I3" s="8" t="s">
        <v>57</v>
      </c>
      <c r="J3" s="1">
        <v>0</v>
      </c>
      <c r="K3" s="8"/>
      <c r="M3" s="1" t="s">
        <v>31</v>
      </c>
      <c r="N3" s="12" t="s">
        <v>25</v>
      </c>
      <c r="O3" s="10">
        <v>0.22</v>
      </c>
      <c r="P3" s="11">
        <f>$O3/12</f>
        <v>1.8333333333333333E-2</v>
      </c>
      <c r="Q3">
        <v>24</v>
      </c>
    </row>
    <row r="4" spans="1:26" x14ac:dyDescent="0.25">
      <c r="A4" t="s">
        <v>5</v>
      </c>
      <c r="B4" s="5" t="s">
        <v>37</v>
      </c>
      <c r="C4" s="9">
        <v>45292</v>
      </c>
      <c r="D4">
        <f ca="1">DATEDIF($C4,$B$28,"YM")</f>
        <v>6</v>
      </c>
      <c r="E4">
        <f t="shared" ca="1" si="0"/>
        <v>24</v>
      </c>
      <c r="F4">
        <v>4370</v>
      </c>
      <c r="G4">
        <f t="shared" ca="1" si="1"/>
        <v>104880</v>
      </c>
      <c r="H4">
        <f t="shared" ref="H4:H22" ca="1" si="2">$G4*1.5</f>
        <v>157320</v>
      </c>
      <c r="I4" s="8" t="s">
        <v>26</v>
      </c>
      <c r="J4">
        <v>15000</v>
      </c>
      <c r="K4" s="8"/>
      <c r="M4" s="1" t="s">
        <v>32</v>
      </c>
      <c r="N4" s="12" t="s">
        <v>26</v>
      </c>
      <c r="O4" s="10">
        <v>0.21</v>
      </c>
      <c r="P4" s="11">
        <f>$O4/12</f>
        <v>1.7499999999999998E-2</v>
      </c>
      <c r="Q4">
        <v>15</v>
      </c>
      <c r="W4" s="10"/>
    </row>
    <row r="5" spans="1:26" x14ac:dyDescent="0.25">
      <c r="A5" t="s">
        <v>6</v>
      </c>
      <c r="B5" s="5" t="s">
        <v>38</v>
      </c>
      <c r="C5" s="9">
        <v>45292</v>
      </c>
      <c r="D5">
        <f ca="1">DATEDIF($C5,$B$28,"YM")</f>
        <v>6</v>
      </c>
      <c r="E5">
        <f t="shared" ca="1" si="0"/>
        <v>24</v>
      </c>
      <c r="F5">
        <v>4880</v>
      </c>
      <c r="G5">
        <f t="shared" ca="1" si="1"/>
        <v>117120</v>
      </c>
      <c r="H5">
        <f t="shared" ca="1" si="2"/>
        <v>175680</v>
      </c>
      <c r="I5" s="8" t="s">
        <v>57</v>
      </c>
      <c r="J5" s="1">
        <v>0</v>
      </c>
      <c r="K5" s="8"/>
      <c r="M5" s="1" t="s">
        <v>33</v>
      </c>
      <c r="N5" s="12" t="s">
        <v>27</v>
      </c>
      <c r="O5" s="10">
        <v>0.23</v>
      </c>
      <c r="P5" s="11">
        <f>$O5/12</f>
        <v>1.9166666666666669E-2</v>
      </c>
      <c r="Q5">
        <v>12</v>
      </c>
      <c r="W5" s="10"/>
    </row>
    <row r="6" spans="1:26" x14ac:dyDescent="0.25">
      <c r="A6" t="s">
        <v>7</v>
      </c>
      <c r="B6" s="5" t="s">
        <v>39</v>
      </c>
      <c r="C6" s="9">
        <v>45292</v>
      </c>
      <c r="D6">
        <f ca="1">DATEDIF($C6,$B$28,"YM")</f>
        <v>6</v>
      </c>
      <c r="E6">
        <f t="shared" ca="1" si="0"/>
        <v>24</v>
      </c>
      <c r="F6">
        <v>3656</v>
      </c>
      <c r="G6">
        <f t="shared" ca="1" si="1"/>
        <v>87744</v>
      </c>
      <c r="H6">
        <f t="shared" ca="1" si="2"/>
        <v>131616</v>
      </c>
      <c r="I6" s="8" t="s">
        <v>57</v>
      </c>
      <c r="J6" s="1">
        <v>0</v>
      </c>
      <c r="K6" s="8"/>
      <c r="M6" s="1" t="s">
        <v>34</v>
      </c>
      <c r="N6" s="12" t="s">
        <v>28</v>
      </c>
      <c r="O6" s="10">
        <v>0.14000000000000001</v>
      </c>
      <c r="P6" s="11">
        <f>$O6/12</f>
        <v>1.1666666666666667E-2</v>
      </c>
      <c r="Q6">
        <v>20</v>
      </c>
    </row>
    <row r="7" spans="1:26" x14ac:dyDescent="0.25">
      <c r="A7" t="s">
        <v>8</v>
      </c>
      <c r="B7" s="5" t="s">
        <v>40</v>
      </c>
      <c r="C7" s="9">
        <v>45292</v>
      </c>
      <c r="D7">
        <f ca="1">DATEDIF($C7,$B$28,"YM")</f>
        <v>6</v>
      </c>
      <c r="E7">
        <f t="shared" ca="1" si="0"/>
        <v>24</v>
      </c>
      <c r="F7">
        <v>2818</v>
      </c>
      <c r="G7">
        <f t="shared" ca="1" si="1"/>
        <v>67632</v>
      </c>
      <c r="H7">
        <f t="shared" ca="1" si="2"/>
        <v>101448</v>
      </c>
      <c r="I7" s="8" t="s">
        <v>57</v>
      </c>
      <c r="J7" s="1">
        <v>0</v>
      </c>
      <c r="K7" s="8"/>
      <c r="M7" s="1" t="s">
        <v>65</v>
      </c>
      <c r="N7" s="12" t="s">
        <v>57</v>
      </c>
      <c r="O7" t="s">
        <v>57</v>
      </c>
      <c r="P7" t="s">
        <v>57</v>
      </c>
      <c r="Q7" t="s">
        <v>57</v>
      </c>
    </row>
    <row r="8" spans="1:26" x14ac:dyDescent="0.25">
      <c r="A8" t="s">
        <v>9</v>
      </c>
      <c r="B8" s="5" t="s">
        <v>41</v>
      </c>
      <c r="C8" s="9">
        <v>45292</v>
      </c>
      <c r="D8">
        <f ca="1">DATEDIF($C8,$B$28,"YM")</f>
        <v>6</v>
      </c>
      <c r="E8">
        <f t="shared" ca="1" si="0"/>
        <v>24</v>
      </c>
      <c r="F8">
        <v>2868</v>
      </c>
      <c r="G8">
        <f t="shared" ca="1" si="1"/>
        <v>68832</v>
      </c>
      <c r="H8">
        <f t="shared" ca="1" si="2"/>
        <v>103248</v>
      </c>
      <c r="I8" s="8" t="s">
        <v>57</v>
      </c>
      <c r="J8" s="1">
        <v>0</v>
      </c>
      <c r="K8" s="8"/>
      <c r="Z8" s="1"/>
    </row>
    <row r="9" spans="1:26" x14ac:dyDescent="0.25">
      <c r="A9" t="s">
        <v>10</v>
      </c>
      <c r="B9" s="5" t="s">
        <v>42</v>
      </c>
      <c r="C9" s="9">
        <v>45292</v>
      </c>
      <c r="D9">
        <f ca="1">DATEDIF($C9,$B$28,"YM")</f>
        <v>6</v>
      </c>
      <c r="E9">
        <f t="shared" ca="1" si="0"/>
        <v>24</v>
      </c>
      <c r="F9">
        <v>3623</v>
      </c>
      <c r="G9">
        <f t="shared" ca="1" si="1"/>
        <v>86952</v>
      </c>
      <c r="H9">
        <f t="shared" ca="1" si="2"/>
        <v>130428</v>
      </c>
      <c r="I9" s="8" t="s">
        <v>57</v>
      </c>
      <c r="J9" s="1">
        <v>0</v>
      </c>
      <c r="K9" s="8"/>
      <c r="V9" s="1"/>
      <c r="W9" s="3"/>
      <c r="X9" s="4"/>
      <c r="Y9" s="4"/>
      <c r="Z9" s="4"/>
    </row>
    <row r="10" spans="1:26" x14ac:dyDescent="0.25">
      <c r="A10" t="s">
        <v>11</v>
      </c>
      <c r="B10" s="5" t="s">
        <v>43</v>
      </c>
      <c r="C10" s="9">
        <v>45292</v>
      </c>
      <c r="D10">
        <f ca="1">DATEDIF($C10,$B$28,"YM")</f>
        <v>6</v>
      </c>
      <c r="E10">
        <f t="shared" ca="1" si="0"/>
        <v>24</v>
      </c>
      <c r="F10">
        <v>2562</v>
      </c>
      <c r="G10">
        <f t="shared" ca="1" si="1"/>
        <v>61488</v>
      </c>
      <c r="H10">
        <f t="shared" ca="1" si="2"/>
        <v>92232</v>
      </c>
      <c r="I10" s="8" t="s">
        <v>25</v>
      </c>
      <c r="J10" s="30">
        <v>90000</v>
      </c>
      <c r="K10" s="8"/>
      <c r="M10" s="25" t="s">
        <v>79</v>
      </c>
      <c r="N10" s="26"/>
      <c r="O10" s="26"/>
      <c r="P10" s="26"/>
      <c r="Q10" s="26"/>
      <c r="R10" s="26"/>
      <c r="S10" s="26"/>
      <c r="V10" s="1"/>
      <c r="W10" s="10"/>
      <c r="X10" s="10"/>
      <c r="Y10" s="10"/>
      <c r="Z10" s="10"/>
    </row>
    <row r="11" spans="1:26" x14ac:dyDescent="0.25">
      <c r="A11" t="s">
        <v>12</v>
      </c>
      <c r="B11" s="5" t="s">
        <v>44</v>
      </c>
      <c r="C11" s="9">
        <v>45292</v>
      </c>
      <c r="D11">
        <f ca="1">DATEDIF($C11,$B$28,"YM")</f>
        <v>6</v>
      </c>
      <c r="E11">
        <f t="shared" ca="1" si="0"/>
        <v>24</v>
      </c>
      <c r="F11">
        <v>1457</v>
      </c>
      <c r="G11">
        <f t="shared" ca="1" si="1"/>
        <v>34968</v>
      </c>
      <c r="H11">
        <f t="shared" ca="1" si="2"/>
        <v>52452</v>
      </c>
      <c r="I11" s="8" t="s">
        <v>57</v>
      </c>
      <c r="J11" s="1">
        <v>0</v>
      </c>
      <c r="K11" s="8"/>
      <c r="W11" s="11"/>
      <c r="X11" s="11"/>
      <c r="Y11" s="11"/>
      <c r="Z11" s="11"/>
    </row>
    <row r="12" spans="1:26" x14ac:dyDescent="0.25">
      <c r="A12" t="s">
        <v>13</v>
      </c>
      <c r="B12" s="5" t="s">
        <v>45</v>
      </c>
      <c r="C12" s="9">
        <v>45292</v>
      </c>
      <c r="D12">
        <f ca="1">DATEDIF($C12,$B$28,"YM")</f>
        <v>6</v>
      </c>
      <c r="E12">
        <f t="shared" ca="1" si="0"/>
        <v>24</v>
      </c>
      <c r="F12">
        <v>1555</v>
      </c>
      <c r="G12">
        <f t="shared" ca="1" si="1"/>
        <v>37320</v>
      </c>
      <c r="H12">
        <f t="shared" ca="1" si="2"/>
        <v>55980</v>
      </c>
      <c r="I12" s="8" t="s">
        <v>57</v>
      </c>
      <c r="J12" s="1">
        <v>0</v>
      </c>
      <c r="K12" s="8"/>
      <c r="M12" s="1" t="s">
        <v>0</v>
      </c>
      <c r="N12" s="1" t="s">
        <v>56</v>
      </c>
      <c r="O12" s="1" t="s">
        <v>63</v>
      </c>
      <c r="P12" s="1" t="s">
        <v>66</v>
      </c>
      <c r="Q12" s="1" t="s">
        <v>64</v>
      </c>
      <c r="R12" s="1" t="s">
        <v>67</v>
      </c>
      <c r="S12" s="1" t="s">
        <v>75</v>
      </c>
      <c r="V12" s="1"/>
    </row>
    <row r="13" spans="1:26" x14ac:dyDescent="0.25">
      <c r="A13" t="s">
        <v>14</v>
      </c>
      <c r="B13" s="5" t="s">
        <v>46</v>
      </c>
      <c r="C13" s="9">
        <v>45292</v>
      </c>
      <c r="D13">
        <f ca="1">DATEDIF($C13,$B$28,"YM")</f>
        <v>6</v>
      </c>
      <c r="E13">
        <f t="shared" ca="1" si="0"/>
        <v>24</v>
      </c>
      <c r="F13">
        <v>1625</v>
      </c>
      <c r="G13">
        <f t="shared" ca="1" si="1"/>
        <v>39000</v>
      </c>
      <c r="H13">
        <f t="shared" ca="1" si="2"/>
        <v>58500</v>
      </c>
      <c r="I13" s="8" t="s">
        <v>28</v>
      </c>
      <c r="J13" s="31">
        <v>55000</v>
      </c>
      <c r="K13" s="8"/>
      <c r="M13" s="8" t="s">
        <v>5</v>
      </c>
      <c r="N13" t="str">
        <f t="shared" ref="N13:N19" si="3">VLOOKUP($M13,$A$3:$I$22,9,FALSE)</f>
        <v>L02</v>
      </c>
      <c r="O13">
        <f>VLOOKUP($M13,$A$3:$J$24,10,FALSE)</f>
        <v>15000</v>
      </c>
      <c r="P13" s="8" t="s">
        <v>32</v>
      </c>
      <c r="Q13" s="11">
        <f>VLOOKUP($P13,$M$2:$Q$7,4,FALSE)</f>
        <v>1.7499999999999998E-2</v>
      </c>
      <c r="R13">
        <f>VLOOKUP($P13,$M$2:$Q$7,5,FALSE)</f>
        <v>15</v>
      </c>
      <c r="S13" s="14">
        <f>-PMT($Q13,$R13,$O13)</f>
        <v>1145.6608074188232</v>
      </c>
    </row>
    <row r="14" spans="1:26" x14ac:dyDescent="0.25">
      <c r="A14" t="s">
        <v>15</v>
      </c>
      <c r="B14" s="5" t="s">
        <v>47</v>
      </c>
      <c r="C14" s="9">
        <v>45292</v>
      </c>
      <c r="D14">
        <f ca="1">DATEDIF($C14,$B$28,"YM")</f>
        <v>6</v>
      </c>
      <c r="E14">
        <f t="shared" ca="1" si="0"/>
        <v>24</v>
      </c>
      <c r="F14">
        <v>2490</v>
      </c>
      <c r="G14">
        <f t="shared" ca="1" si="1"/>
        <v>59760</v>
      </c>
      <c r="H14">
        <f t="shared" ca="1" si="2"/>
        <v>89640</v>
      </c>
      <c r="I14" s="8" t="s">
        <v>57</v>
      </c>
      <c r="J14" s="1">
        <v>0</v>
      </c>
      <c r="K14" s="8"/>
      <c r="M14" s="8" t="s">
        <v>11</v>
      </c>
      <c r="N14" t="str">
        <f t="shared" si="3"/>
        <v>L01</v>
      </c>
      <c r="O14">
        <f t="shared" ref="O14:O19" si="4">VLOOKUP($M14,$A$3:$J$24,10,FALSE)</f>
        <v>90000</v>
      </c>
      <c r="P14" s="8" t="s">
        <v>31</v>
      </c>
      <c r="Q14" s="11">
        <f t="shared" ref="Q14:Q19" si="5">VLOOKUP($P14,$M$2:$Q$7,4,FALSE)</f>
        <v>1.8333333333333333E-2</v>
      </c>
      <c r="R14">
        <f t="shared" ref="R14:R19" si="6">VLOOKUP($P14,$M$2:$Q$7,5,FALSE)</f>
        <v>24</v>
      </c>
      <c r="S14" s="14">
        <f t="shared" ref="S14:S19" si="7">-PMT($Q14,$R14,$O14)</f>
        <v>4669.033918296218</v>
      </c>
    </row>
    <row r="15" spans="1:26" x14ac:dyDescent="0.25">
      <c r="A15" t="s">
        <v>16</v>
      </c>
      <c r="B15" s="5" t="s">
        <v>48</v>
      </c>
      <c r="C15" s="9">
        <v>45292</v>
      </c>
      <c r="D15">
        <f ca="1">DATEDIF($C15,$B$28,"YM")</f>
        <v>6</v>
      </c>
      <c r="E15">
        <f t="shared" ca="1" si="0"/>
        <v>24</v>
      </c>
      <c r="F15">
        <v>3080</v>
      </c>
      <c r="G15">
        <f t="shared" ca="1" si="1"/>
        <v>73920</v>
      </c>
      <c r="H15">
        <f t="shared" ca="1" si="2"/>
        <v>110880</v>
      </c>
      <c r="I15" s="8" t="s">
        <v>28</v>
      </c>
      <c r="J15" s="31">
        <v>100000</v>
      </c>
      <c r="K15" s="8"/>
      <c r="M15" s="8" t="s">
        <v>14</v>
      </c>
      <c r="N15" t="str">
        <f t="shared" si="3"/>
        <v>L04</v>
      </c>
      <c r="O15">
        <f t="shared" si="4"/>
        <v>55000</v>
      </c>
      <c r="P15" s="8" t="s">
        <v>34</v>
      </c>
      <c r="Q15" s="11">
        <f t="shared" si="5"/>
        <v>1.1666666666666667E-2</v>
      </c>
      <c r="R15">
        <f t="shared" si="6"/>
        <v>20</v>
      </c>
      <c r="S15" s="14">
        <f t="shared" si="7"/>
        <v>3099.2375079927742</v>
      </c>
    </row>
    <row r="16" spans="1:26" x14ac:dyDescent="0.25">
      <c r="A16" t="s">
        <v>17</v>
      </c>
      <c r="B16" s="5" t="s">
        <v>49</v>
      </c>
      <c r="C16" s="9">
        <v>45323</v>
      </c>
      <c r="D16">
        <f ca="1">DATEDIF($C16,$B$28,"YM")</f>
        <v>5</v>
      </c>
      <c r="E16">
        <f t="shared" ca="1" si="0"/>
        <v>20</v>
      </c>
      <c r="F16">
        <v>714</v>
      </c>
      <c r="G16">
        <f t="shared" ca="1" si="1"/>
        <v>14280</v>
      </c>
      <c r="H16">
        <f t="shared" ca="1" si="2"/>
        <v>21420</v>
      </c>
      <c r="I16" s="8" t="s">
        <v>57</v>
      </c>
      <c r="J16" s="1">
        <v>0</v>
      </c>
      <c r="K16" s="8"/>
      <c r="M16" s="8" t="s">
        <v>16</v>
      </c>
      <c r="N16" t="str">
        <f t="shared" si="3"/>
        <v>L04</v>
      </c>
      <c r="O16">
        <f t="shared" si="4"/>
        <v>100000</v>
      </c>
      <c r="P16" s="8" t="s">
        <v>33</v>
      </c>
      <c r="Q16" s="11">
        <f t="shared" si="5"/>
        <v>1.9166666666666669E-2</v>
      </c>
      <c r="R16">
        <f t="shared" si="6"/>
        <v>12</v>
      </c>
      <c r="S16" s="14">
        <f t="shared" si="7"/>
        <v>9407.6321335610664</v>
      </c>
    </row>
    <row r="17" spans="1:20" x14ac:dyDescent="0.25">
      <c r="A17" t="s">
        <v>18</v>
      </c>
      <c r="B17" s="5" t="s">
        <v>50</v>
      </c>
      <c r="C17" s="9">
        <v>45323</v>
      </c>
      <c r="D17">
        <f ca="1">DATEDIF($C17,$B$28,"YM")</f>
        <v>5</v>
      </c>
      <c r="E17">
        <f t="shared" ca="1" si="0"/>
        <v>20</v>
      </c>
      <c r="F17">
        <v>1552</v>
      </c>
      <c r="G17">
        <f t="shared" ca="1" si="1"/>
        <v>31040</v>
      </c>
      <c r="H17">
        <f t="shared" ca="1" si="2"/>
        <v>46560</v>
      </c>
      <c r="I17" s="8" t="s">
        <v>57</v>
      </c>
      <c r="J17" s="1">
        <v>0</v>
      </c>
      <c r="K17" s="8"/>
      <c r="M17" s="8" t="s">
        <v>19</v>
      </c>
      <c r="N17" t="str">
        <f t="shared" si="3"/>
        <v>L04</v>
      </c>
      <c r="O17">
        <f t="shared" si="4"/>
        <v>100000</v>
      </c>
      <c r="P17" s="8" t="s">
        <v>34</v>
      </c>
      <c r="Q17" s="11">
        <f t="shared" si="5"/>
        <v>1.1666666666666667E-2</v>
      </c>
      <c r="R17">
        <f t="shared" si="6"/>
        <v>20</v>
      </c>
      <c r="S17" s="14">
        <f t="shared" si="7"/>
        <v>5634.9772872595904</v>
      </c>
    </row>
    <row r="18" spans="1:20" x14ac:dyDescent="0.25">
      <c r="A18" t="s">
        <v>19</v>
      </c>
      <c r="B18" s="5" t="s">
        <v>51</v>
      </c>
      <c r="C18" s="9">
        <v>45323</v>
      </c>
      <c r="D18">
        <f ca="1">DATEDIF($C18,$B$28,"YM")</f>
        <v>5</v>
      </c>
      <c r="E18">
        <f t="shared" ca="1" si="0"/>
        <v>20</v>
      </c>
      <c r="F18">
        <v>4488</v>
      </c>
      <c r="G18">
        <f t="shared" ca="1" si="1"/>
        <v>89760</v>
      </c>
      <c r="H18">
        <f t="shared" ca="1" si="2"/>
        <v>134640</v>
      </c>
      <c r="I18" s="8" t="s">
        <v>28</v>
      </c>
      <c r="J18" s="1">
        <v>100000</v>
      </c>
      <c r="K18" s="8"/>
      <c r="M18" s="8" t="s">
        <v>20</v>
      </c>
      <c r="N18" t="str">
        <f t="shared" si="3"/>
        <v>L03</v>
      </c>
      <c r="O18">
        <f t="shared" si="4"/>
        <v>84000</v>
      </c>
      <c r="P18" s="8" t="s">
        <v>33</v>
      </c>
      <c r="Q18" s="11">
        <f t="shared" si="5"/>
        <v>1.9166666666666669E-2</v>
      </c>
      <c r="R18">
        <f t="shared" si="6"/>
        <v>12</v>
      </c>
      <c r="S18" s="14">
        <f t="shared" si="7"/>
        <v>7902.410992191295</v>
      </c>
    </row>
    <row r="19" spans="1:20" x14ac:dyDescent="0.25">
      <c r="A19" t="s">
        <v>20</v>
      </c>
      <c r="B19" s="5" t="s">
        <v>52</v>
      </c>
      <c r="C19" s="9">
        <v>45323</v>
      </c>
      <c r="D19">
        <f ca="1">DATEDIF($C19,$B$28,"YM")</f>
        <v>5</v>
      </c>
      <c r="E19">
        <f t="shared" ca="1" si="0"/>
        <v>20</v>
      </c>
      <c r="F19">
        <v>2808</v>
      </c>
      <c r="G19">
        <f t="shared" ca="1" si="1"/>
        <v>56160</v>
      </c>
      <c r="H19">
        <f t="shared" ca="1" si="2"/>
        <v>84240</v>
      </c>
      <c r="I19" s="8" t="s">
        <v>27</v>
      </c>
      <c r="J19" s="1">
        <v>84000</v>
      </c>
      <c r="K19" s="8"/>
      <c r="M19" s="8" t="s">
        <v>23</v>
      </c>
      <c r="N19" t="str">
        <f t="shared" si="3"/>
        <v>L03</v>
      </c>
      <c r="O19">
        <f t="shared" si="4"/>
        <v>100000</v>
      </c>
      <c r="P19" s="8" t="s">
        <v>33</v>
      </c>
      <c r="Q19" s="11">
        <f t="shared" si="5"/>
        <v>1.9166666666666669E-2</v>
      </c>
      <c r="R19">
        <f t="shared" si="6"/>
        <v>12</v>
      </c>
      <c r="S19" s="14">
        <f t="shared" si="7"/>
        <v>9407.6321335610664</v>
      </c>
    </row>
    <row r="20" spans="1:20" x14ac:dyDescent="0.25">
      <c r="A20" t="s">
        <v>21</v>
      </c>
      <c r="B20" s="5" t="s">
        <v>53</v>
      </c>
      <c r="C20" s="9">
        <v>45323</v>
      </c>
      <c r="D20">
        <f ca="1">DATEDIF($C20,$B$28,"YM")</f>
        <v>5</v>
      </c>
      <c r="E20">
        <f t="shared" ca="1" si="0"/>
        <v>20</v>
      </c>
      <c r="F20">
        <v>1988</v>
      </c>
      <c r="G20">
        <f t="shared" ca="1" si="1"/>
        <v>39760</v>
      </c>
      <c r="H20">
        <f t="shared" ca="1" si="2"/>
        <v>59640</v>
      </c>
      <c r="I20" s="8" t="s">
        <v>57</v>
      </c>
      <c r="J20" s="1">
        <v>0</v>
      </c>
      <c r="K20" s="8"/>
      <c r="M20" s="8"/>
      <c r="P20" s="8"/>
      <c r="Q20" s="11"/>
    </row>
    <row r="21" spans="1:20" x14ac:dyDescent="0.25">
      <c r="A21" t="s">
        <v>22</v>
      </c>
      <c r="B21" s="6" t="s">
        <v>54</v>
      </c>
      <c r="C21" s="9">
        <v>45323</v>
      </c>
      <c r="D21">
        <f ca="1">DATEDIF($C21,$B$28,"YM")</f>
        <v>5</v>
      </c>
      <c r="E21">
        <f t="shared" ca="1" si="0"/>
        <v>20</v>
      </c>
      <c r="F21">
        <v>4770</v>
      </c>
      <c r="G21">
        <f t="shared" ca="1" si="1"/>
        <v>95400</v>
      </c>
      <c r="H21">
        <f t="shared" ca="1" si="2"/>
        <v>143100</v>
      </c>
      <c r="I21" s="8" t="s">
        <v>57</v>
      </c>
      <c r="J21" s="1">
        <v>0</v>
      </c>
      <c r="K21" s="8"/>
    </row>
    <row r="22" spans="1:20" x14ac:dyDescent="0.25">
      <c r="A22" t="s">
        <v>23</v>
      </c>
      <c r="B22" s="7" t="s">
        <v>55</v>
      </c>
      <c r="C22" s="9">
        <v>45323</v>
      </c>
      <c r="D22">
        <f ca="1">DATEDIF($C22,$B$28,"YM")</f>
        <v>5</v>
      </c>
      <c r="E22">
        <f t="shared" ca="1" si="0"/>
        <v>20</v>
      </c>
      <c r="F22">
        <v>3169</v>
      </c>
      <c r="G22">
        <f t="shared" ca="1" si="1"/>
        <v>63380</v>
      </c>
      <c r="H22">
        <f t="shared" ca="1" si="2"/>
        <v>95070</v>
      </c>
      <c r="I22" s="8" t="s">
        <v>27</v>
      </c>
      <c r="J22" s="1">
        <v>100000</v>
      </c>
      <c r="K22" s="8"/>
    </row>
    <row r="23" spans="1:20" x14ac:dyDescent="0.25">
      <c r="A23" s="18" t="s">
        <v>78</v>
      </c>
      <c r="B23" s="24"/>
      <c r="C23" s="19"/>
      <c r="D23" s="19"/>
      <c r="E23" s="19"/>
      <c r="F23" s="18">
        <f>SUBTOTAL(9,F3:F22)</f>
        <v>55996</v>
      </c>
      <c r="G23" s="18">
        <f ca="1">SUBTOTAL(9,G3:G22)</f>
        <v>1265948</v>
      </c>
      <c r="H23" s="18">
        <f ca="1">SUBTOTAL(9,H3:H22)</f>
        <v>1898922</v>
      </c>
      <c r="I23" s="18"/>
      <c r="J23" s="18">
        <f>SUBTOTAL(9,J3:J22)</f>
        <v>544000</v>
      </c>
      <c r="L23" s="29"/>
      <c r="M23" s="25" t="s">
        <v>88</v>
      </c>
      <c r="N23" s="26"/>
      <c r="O23" s="26"/>
      <c r="P23" s="26"/>
      <c r="Q23" s="26"/>
      <c r="R23" s="26"/>
      <c r="S23" s="26"/>
    </row>
    <row r="24" spans="1:20" x14ac:dyDescent="0.25">
      <c r="B24" s="23"/>
      <c r="J24" s="1"/>
    </row>
    <row r="25" spans="1:20" x14ac:dyDescent="0.25">
      <c r="B25" s="23"/>
      <c r="M25" s="1" t="s">
        <v>0</v>
      </c>
      <c r="N25" s="1" t="s">
        <v>73</v>
      </c>
      <c r="O25" s="1" t="s">
        <v>68</v>
      </c>
      <c r="P25" s="1" t="s">
        <v>69</v>
      </c>
      <c r="Q25" s="1" t="s">
        <v>70</v>
      </c>
      <c r="R25" s="1" t="s">
        <v>71</v>
      </c>
      <c r="S25" s="1" t="s">
        <v>72</v>
      </c>
      <c r="T25" s="1" t="s">
        <v>80</v>
      </c>
    </row>
    <row r="26" spans="1:20" x14ac:dyDescent="0.25">
      <c r="B26" s="23"/>
      <c r="M26" s="8" t="s">
        <v>16</v>
      </c>
      <c r="N26">
        <v>1</v>
      </c>
      <c r="O26">
        <f>VLOOKUP(M26,A3:J22,10,FALSE)</f>
        <v>100000</v>
      </c>
      <c r="P26" s="14">
        <f>VLOOKUP($M26,$M$13:$S$19,7,FALSE)</f>
        <v>9407.6321335610664</v>
      </c>
      <c r="Q26" s="15">
        <f>VLOOKUP($M26,$M$13:$S$19,5,FALSE)*O26</f>
        <v>1916.666666666667</v>
      </c>
      <c r="R26" s="15">
        <f>P26-Q26</f>
        <v>7490.9654668943995</v>
      </c>
      <c r="S26" s="14">
        <f>O26-R26</f>
        <v>92509.034533105601</v>
      </c>
    </row>
    <row r="27" spans="1:20" x14ac:dyDescent="0.25">
      <c r="A27" t="s">
        <v>62</v>
      </c>
      <c r="B27">
        <v>3500</v>
      </c>
      <c r="C27">
        <f>B27*20</f>
        <v>70000</v>
      </c>
      <c r="N27">
        <v>2</v>
      </c>
      <c r="O27" s="14">
        <f>$S26</f>
        <v>92509.034533105601</v>
      </c>
      <c r="P27" s="14">
        <f>$P$26</f>
        <v>9407.6321335610664</v>
      </c>
      <c r="Q27" s="15">
        <f>VLOOKUP($M$26,$M$13:$S$19,5,FALSE)*$O27</f>
        <v>1773.089828551191</v>
      </c>
      <c r="R27" s="14">
        <f>$P$27-$Q27</f>
        <v>7634.5423050098752</v>
      </c>
      <c r="S27" s="14">
        <f>$O27-$R27</f>
        <v>84874.492228095725</v>
      </c>
    </row>
    <row r="28" spans="1:20" x14ac:dyDescent="0.25">
      <c r="A28" s="1" t="s">
        <v>61</v>
      </c>
      <c r="B28" s="9">
        <f ca="1">TODAY()</f>
        <v>45504</v>
      </c>
      <c r="N28">
        <v>3</v>
      </c>
      <c r="O28" s="14">
        <f t="shared" ref="O28:O40" si="8">$S27</f>
        <v>84874.492228095725</v>
      </c>
      <c r="P28" s="14">
        <f t="shared" ref="P28:P40" si="9">$P$26</f>
        <v>9407.6321335610664</v>
      </c>
      <c r="Q28" s="15">
        <f t="shared" ref="Q28:Q40" si="10">VLOOKUP($M$26,$M$13:$S$19,5,FALSE)*$O28</f>
        <v>1626.7611010385015</v>
      </c>
      <c r="R28" s="14">
        <f t="shared" ref="R28:R40" si="11">$P$27-$Q28</f>
        <v>7780.8710325225647</v>
      </c>
      <c r="S28" s="14">
        <f t="shared" ref="S28:S40" si="12">$O28-$R28</f>
        <v>77093.621195573156</v>
      </c>
    </row>
    <row r="29" spans="1:20" x14ac:dyDescent="0.25">
      <c r="N29">
        <v>4</v>
      </c>
      <c r="O29" s="14">
        <f t="shared" si="8"/>
        <v>77093.621195573156</v>
      </c>
      <c r="P29" s="14">
        <f t="shared" si="9"/>
        <v>9407.6321335610664</v>
      </c>
      <c r="Q29" s="15">
        <f t="shared" si="10"/>
        <v>1477.627739581819</v>
      </c>
      <c r="R29" s="14">
        <f t="shared" si="11"/>
        <v>7930.0043939792477</v>
      </c>
      <c r="S29" s="14">
        <f t="shared" si="12"/>
        <v>69163.616801593904</v>
      </c>
    </row>
    <row r="30" spans="1:20" x14ac:dyDescent="0.25">
      <c r="N30">
        <v>5</v>
      </c>
      <c r="O30" s="14">
        <f t="shared" si="8"/>
        <v>69163.616801593904</v>
      </c>
      <c r="P30" s="14">
        <f t="shared" si="9"/>
        <v>9407.6321335610664</v>
      </c>
      <c r="Q30" s="15">
        <f t="shared" si="10"/>
        <v>1325.6359886972166</v>
      </c>
      <c r="R30" s="14">
        <f t="shared" si="11"/>
        <v>8081.9961448638496</v>
      </c>
      <c r="S30" s="14">
        <f t="shared" si="12"/>
        <v>61081.620656730054</v>
      </c>
    </row>
    <row r="31" spans="1:20" x14ac:dyDescent="0.25">
      <c r="N31">
        <v>6</v>
      </c>
      <c r="O31" s="14">
        <f t="shared" si="8"/>
        <v>61081.620656730054</v>
      </c>
      <c r="P31" s="14">
        <f t="shared" si="9"/>
        <v>9407.6321335610664</v>
      </c>
      <c r="Q31" s="15">
        <f t="shared" si="10"/>
        <v>1170.7310625873261</v>
      </c>
      <c r="R31" s="14">
        <f t="shared" si="11"/>
        <v>8236.9010709737413</v>
      </c>
      <c r="S31" s="14">
        <f t="shared" si="12"/>
        <v>52844.719585756313</v>
      </c>
    </row>
    <row r="32" spans="1:20" x14ac:dyDescent="0.25">
      <c r="N32">
        <v>7</v>
      </c>
      <c r="O32" s="14">
        <f t="shared" si="8"/>
        <v>52844.719585756313</v>
      </c>
      <c r="P32" s="14">
        <f t="shared" si="9"/>
        <v>9407.6321335610664</v>
      </c>
      <c r="Q32" s="15">
        <f t="shared" si="10"/>
        <v>1012.8571253936627</v>
      </c>
      <c r="R32" s="14">
        <f t="shared" si="11"/>
        <v>8394.7750081674039</v>
      </c>
      <c r="S32" s="14">
        <f t="shared" si="12"/>
        <v>44449.944577588911</v>
      </c>
    </row>
    <row r="33" spans="1:19" x14ac:dyDescent="0.25">
      <c r="A33" s="1"/>
      <c r="D33" s="1"/>
      <c r="E33" s="1"/>
      <c r="F33" s="1"/>
      <c r="G33" s="1"/>
      <c r="H33" s="1"/>
      <c r="N33">
        <v>8</v>
      </c>
      <c r="O33" s="14">
        <f t="shared" si="8"/>
        <v>44449.944577588911</v>
      </c>
      <c r="P33" s="14">
        <f t="shared" si="9"/>
        <v>9407.6321335610664</v>
      </c>
      <c r="Q33" s="15">
        <f t="shared" si="10"/>
        <v>851.95727107045423</v>
      </c>
      <c r="R33" s="14">
        <f t="shared" si="11"/>
        <v>8555.6748624906122</v>
      </c>
      <c r="S33" s="14">
        <f t="shared" si="12"/>
        <v>35894.2697150983</v>
      </c>
    </row>
    <row r="34" spans="1:19" x14ac:dyDescent="0.25">
      <c r="A34" s="1"/>
      <c r="F34" s="17"/>
      <c r="G34" s="17"/>
      <c r="H34" s="17"/>
      <c r="I34" s="17"/>
      <c r="J34" s="17"/>
      <c r="N34">
        <v>9</v>
      </c>
      <c r="O34" s="14">
        <f t="shared" si="8"/>
        <v>35894.2697150983</v>
      </c>
      <c r="P34" s="14">
        <f t="shared" si="9"/>
        <v>9407.6321335610664</v>
      </c>
      <c r="Q34" s="15">
        <f t="shared" si="10"/>
        <v>687.97350287271752</v>
      </c>
      <c r="R34" s="14">
        <f t="shared" si="11"/>
        <v>8719.6586306883491</v>
      </c>
      <c r="S34" s="14">
        <f t="shared" si="12"/>
        <v>27174.611084409953</v>
      </c>
    </row>
    <row r="35" spans="1:19" x14ac:dyDescent="0.25">
      <c r="A35" s="1"/>
      <c r="N35">
        <v>10</v>
      </c>
      <c r="O35" s="14">
        <f t="shared" si="8"/>
        <v>27174.611084409953</v>
      </c>
      <c r="P35" s="14">
        <f t="shared" si="9"/>
        <v>9407.6321335610664</v>
      </c>
      <c r="Q35" s="15">
        <f t="shared" si="10"/>
        <v>520.8467124511908</v>
      </c>
      <c r="R35" s="14">
        <f t="shared" si="11"/>
        <v>8886.7854211098747</v>
      </c>
      <c r="S35" s="14">
        <f t="shared" si="12"/>
        <v>18287.825663300078</v>
      </c>
    </row>
    <row r="36" spans="1:19" x14ac:dyDescent="0.25">
      <c r="A36" s="1"/>
      <c r="N36">
        <v>11</v>
      </c>
      <c r="O36" s="14">
        <f t="shared" si="8"/>
        <v>18287.825663300078</v>
      </c>
      <c r="P36" s="14">
        <f t="shared" si="9"/>
        <v>9407.6321335610664</v>
      </c>
      <c r="Q36" s="15">
        <f t="shared" si="10"/>
        <v>350.51665854658489</v>
      </c>
      <c r="R36" s="14">
        <f t="shared" si="11"/>
        <v>9057.1154750144815</v>
      </c>
      <c r="S36" s="14">
        <f t="shared" si="12"/>
        <v>9230.7101882855968</v>
      </c>
    </row>
    <row r="37" spans="1:19" x14ac:dyDescent="0.25">
      <c r="A37" s="1"/>
      <c r="N37">
        <v>12</v>
      </c>
      <c r="O37" s="14">
        <f t="shared" si="8"/>
        <v>9230.7101882855968</v>
      </c>
      <c r="P37" s="14">
        <f t="shared" si="9"/>
        <v>9407.6321335610664</v>
      </c>
      <c r="Q37" s="15">
        <f t="shared" si="10"/>
        <v>176.92194527547395</v>
      </c>
      <c r="R37" s="14">
        <f t="shared" si="11"/>
        <v>9230.7101882855932</v>
      </c>
      <c r="S37" s="14">
        <f t="shared" si="12"/>
        <v>0</v>
      </c>
    </row>
    <row r="38" spans="1:19" x14ac:dyDescent="0.25">
      <c r="A38" s="1"/>
      <c r="N38">
        <v>13</v>
      </c>
      <c r="O38" s="14"/>
      <c r="P38" s="14"/>
      <c r="Q38" s="15"/>
      <c r="R38" s="14"/>
      <c r="S38" s="14"/>
    </row>
    <row r="39" spans="1:19" x14ac:dyDescent="0.25">
      <c r="A39" s="1"/>
      <c r="N39">
        <v>14</v>
      </c>
      <c r="O39" s="14"/>
      <c r="P39" s="14"/>
      <c r="Q39" s="15"/>
      <c r="R39" s="14"/>
      <c r="S39" s="14"/>
    </row>
    <row r="40" spans="1:19" x14ac:dyDescent="0.25">
      <c r="A40" s="1"/>
      <c r="N40">
        <v>15</v>
      </c>
      <c r="O40" s="14"/>
      <c r="P40" s="14"/>
      <c r="Q40" s="15"/>
      <c r="R40" s="14"/>
      <c r="S40" s="14"/>
    </row>
    <row r="41" spans="1:19" x14ac:dyDescent="0.25">
      <c r="A41" s="1"/>
      <c r="N41">
        <v>16</v>
      </c>
      <c r="O41" s="14"/>
      <c r="P41" s="14"/>
      <c r="Q41" s="15"/>
      <c r="R41" s="14"/>
      <c r="S41" s="14"/>
    </row>
    <row r="42" spans="1:19" x14ac:dyDescent="0.25">
      <c r="A42" s="1"/>
      <c r="N42">
        <v>17</v>
      </c>
      <c r="O42" s="14"/>
      <c r="P42" s="14"/>
      <c r="Q42" s="15"/>
      <c r="R42" s="14"/>
      <c r="S42" s="14"/>
    </row>
    <row r="43" spans="1:19" x14ac:dyDescent="0.25">
      <c r="A43" s="1"/>
      <c r="N43">
        <v>18</v>
      </c>
      <c r="O43" s="14"/>
      <c r="P43" s="14"/>
      <c r="Q43" s="15"/>
      <c r="R43" s="14"/>
      <c r="S43" s="14"/>
    </row>
    <row r="44" spans="1:19" x14ac:dyDescent="0.25">
      <c r="N44">
        <v>19</v>
      </c>
      <c r="O44" s="14"/>
      <c r="P44" s="14"/>
      <c r="Q44" s="15"/>
      <c r="R44" s="14"/>
      <c r="S44" s="14"/>
    </row>
    <row r="45" spans="1:19" x14ac:dyDescent="0.25">
      <c r="N45">
        <v>20</v>
      </c>
      <c r="O45" s="14"/>
      <c r="P45" s="14"/>
      <c r="Q45" s="15"/>
      <c r="R45" s="14"/>
      <c r="S45" s="14"/>
    </row>
    <row r="46" spans="1:19" x14ac:dyDescent="0.25">
      <c r="N46">
        <v>21</v>
      </c>
      <c r="O46" s="14"/>
      <c r="P46" s="14"/>
      <c r="Q46" s="15"/>
      <c r="R46" s="14"/>
      <c r="S46" s="14"/>
    </row>
    <row r="47" spans="1:19" x14ac:dyDescent="0.25">
      <c r="N47">
        <v>22</v>
      </c>
      <c r="O47" s="14"/>
      <c r="P47" s="14"/>
      <c r="Q47" s="15"/>
      <c r="R47" s="14"/>
      <c r="S47" s="14"/>
    </row>
    <row r="48" spans="1:19" x14ac:dyDescent="0.25">
      <c r="N48">
        <v>23</v>
      </c>
      <c r="O48" s="14"/>
      <c r="P48" s="14"/>
      <c r="Q48" s="15"/>
      <c r="R48" s="14"/>
      <c r="S48" s="14"/>
    </row>
    <row r="49" spans="13:19" x14ac:dyDescent="0.25">
      <c r="N49">
        <v>24</v>
      </c>
      <c r="O49" s="14"/>
      <c r="P49" s="14"/>
      <c r="Q49" s="15"/>
      <c r="R49" s="14"/>
      <c r="S49" s="14"/>
    </row>
    <row r="50" spans="13:19" x14ac:dyDescent="0.25">
      <c r="M50" s="18" t="s">
        <v>76</v>
      </c>
      <c r="N50" s="18"/>
      <c r="O50" s="19"/>
      <c r="P50" s="19"/>
      <c r="Q50" s="18">
        <f>SUBTOTAL(9,Q26:Q49)</f>
        <v>12891.585602732805</v>
      </c>
      <c r="R50" s="19"/>
      <c r="S50" s="19"/>
    </row>
  </sheetData>
  <mergeCells count="6">
    <mergeCell ref="A1:G1"/>
    <mergeCell ref="T2:W2"/>
    <mergeCell ref="F34:J34"/>
    <mergeCell ref="M23:S23"/>
    <mergeCell ref="M1:Q1"/>
    <mergeCell ref="M10:S10"/>
  </mergeCells>
  <phoneticPr fontId="2" type="noConversion"/>
  <conditionalFormatting sqref="V9:V10 V12">
    <cfRule type="duplicateValues" dxfId="3" priority="4"/>
  </conditionalFormatting>
  <conditionalFormatting sqref="N2:O2 Q2">
    <cfRule type="duplicateValues" dxfId="2" priority="3"/>
  </conditionalFormatting>
  <conditionalFormatting sqref="K3:K22">
    <cfRule type="containsText" dxfId="1" priority="2" operator="containsText" text="L">
      <formula>NOT(ISERROR(SEARCH("L",K3)))</formula>
    </cfRule>
  </conditionalFormatting>
  <conditionalFormatting sqref="I3:I22">
    <cfRule type="containsText" dxfId="0" priority="1" operator="containsText" text="L">
      <formula>NOT(ISERROR(SEARCH("L",I3)))</formula>
    </cfRule>
  </conditionalFormatting>
  <dataValidations count="4">
    <dataValidation type="list" allowBlank="1" showInputMessage="1" showErrorMessage="1" sqref="M12:M20 M25:M26" xr:uid="{58C9453E-810E-46A2-9140-433AE25A9689}">
      <formula1>$A$3:$A$22</formula1>
    </dataValidation>
    <dataValidation type="list" allowBlank="1" showInputMessage="1" showErrorMessage="1" sqref="I23" xr:uid="{59038AD0-06A5-45B2-A516-1150ACDC566C}">
      <formula1>#REF!</formula1>
    </dataValidation>
    <dataValidation type="list" allowBlank="1" showInputMessage="1" showErrorMessage="1" sqref="P12:P20" xr:uid="{CCE4B299-799C-49F8-9BF3-74844DA3BD82}">
      <formula1>$M$3:$M$7</formula1>
    </dataValidation>
    <dataValidation type="list" allowBlank="1" showInputMessage="1" showErrorMessage="1" sqref="I2:I22 A33:A43" xr:uid="{9781CD54-274E-46E2-9B20-3966F951C1AB}">
      <formula1>$N$3:$N$7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48F1-41ED-4845-B835-3AA9AD73C7B6}">
  <dimension ref="A1:K12"/>
  <sheetViews>
    <sheetView workbookViewId="0">
      <selection activeCell="J13" sqref="J13"/>
    </sheetView>
  </sheetViews>
  <sheetFormatPr defaultRowHeight="15" x14ac:dyDescent="0.25"/>
  <cols>
    <col min="1" max="1" width="10.5703125" bestFit="1" customWidth="1"/>
    <col min="2" max="2" width="7" bestFit="1" customWidth="1"/>
    <col min="3" max="3" width="17.7109375" bestFit="1" customWidth="1"/>
    <col min="7" max="7" width="10.42578125" bestFit="1" customWidth="1"/>
    <col min="8" max="8" width="14" bestFit="1" customWidth="1"/>
    <col min="9" max="9" width="19.7109375" bestFit="1" customWidth="1"/>
    <col min="10" max="10" width="11.7109375" bestFit="1" customWidth="1"/>
  </cols>
  <sheetData>
    <row r="1" spans="1:11" x14ac:dyDescent="0.25">
      <c r="A1" s="25" t="s">
        <v>83</v>
      </c>
      <c r="B1" s="26"/>
      <c r="C1" s="26"/>
      <c r="G1" s="25" t="s">
        <v>59</v>
      </c>
      <c r="H1" s="25"/>
      <c r="I1" s="25"/>
      <c r="J1" s="25"/>
      <c r="K1" s="25"/>
    </row>
    <row r="2" spans="1:11" x14ac:dyDescent="0.25">
      <c r="A2" s="27"/>
      <c r="B2" s="28"/>
      <c r="C2" s="28"/>
      <c r="G2" s="25"/>
      <c r="H2" s="25"/>
      <c r="I2" s="25"/>
      <c r="J2" s="25"/>
      <c r="K2" s="25"/>
    </row>
    <row r="3" spans="1:11" x14ac:dyDescent="0.25">
      <c r="A3" s="27"/>
      <c r="B3" s="28"/>
      <c r="C3" s="28"/>
      <c r="G3" s="1" t="s">
        <v>0</v>
      </c>
      <c r="H3" s="1" t="s">
        <v>84</v>
      </c>
      <c r="I3" s="1" t="s">
        <v>87</v>
      </c>
      <c r="J3" s="1" t="s">
        <v>86</v>
      </c>
      <c r="K3" s="1" t="s">
        <v>85</v>
      </c>
    </row>
    <row r="4" spans="1:11" x14ac:dyDescent="0.25">
      <c r="A4" s="1" t="s">
        <v>0</v>
      </c>
      <c r="B4" s="1" t="s">
        <v>56</v>
      </c>
      <c r="C4" s="1" t="s">
        <v>77</v>
      </c>
      <c r="G4" t="s">
        <v>11</v>
      </c>
      <c r="H4">
        <v>3</v>
      </c>
      <c r="I4">
        <v>30000</v>
      </c>
      <c r="J4" s="10">
        <v>0.2</v>
      </c>
      <c r="K4">
        <f>I4*J4</f>
        <v>6000</v>
      </c>
    </row>
    <row r="5" spans="1:11" x14ac:dyDescent="0.25">
      <c r="A5" t="s">
        <v>5</v>
      </c>
      <c r="B5" t="s">
        <v>26</v>
      </c>
      <c r="C5" s="20">
        <v>45830.716446258499</v>
      </c>
    </row>
    <row r="6" spans="1:11" x14ac:dyDescent="0.25">
      <c r="A6" t="s">
        <v>11</v>
      </c>
      <c r="B6" t="s">
        <v>25</v>
      </c>
      <c r="C6" s="21">
        <v>4166.2870962761899</v>
      </c>
    </row>
    <row r="7" spans="1:11" x14ac:dyDescent="0.25">
      <c r="A7" t="s">
        <v>14</v>
      </c>
      <c r="B7" t="s">
        <v>28</v>
      </c>
      <c r="C7" s="20">
        <v>12699.545745191803</v>
      </c>
    </row>
    <row r="8" spans="1:11" x14ac:dyDescent="0.25">
      <c r="A8" t="s">
        <v>16</v>
      </c>
      <c r="B8" t="s">
        <v>28</v>
      </c>
      <c r="C8" s="20">
        <v>2836.1488326012163</v>
      </c>
    </row>
    <row r="9" spans="1:11" x14ac:dyDescent="0.25">
      <c r="A9" t="s">
        <v>19</v>
      </c>
      <c r="B9" t="s">
        <v>28</v>
      </c>
      <c r="C9" s="20">
        <v>34197.336782652485</v>
      </c>
    </row>
    <row r="10" spans="1:11" x14ac:dyDescent="0.25">
      <c r="A10" t="s">
        <v>20</v>
      </c>
      <c r="B10" t="s">
        <v>27</v>
      </c>
      <c r="C10" s="20">
        <v>21719.743423484244</v>
      </c>
    </row>
    <row r="11" spans="1:11" x14ac:dyDescent="0.25">
      <c r="A11" t="s">
        <v>23</v>
      </c>
      <c r="B11" t="s">
        <v>27</v>
      </c>
      <c r="C11" s="20">
        <v>24512.060865036157</v>
      </c>
    </row>
    <row r="12" spans="1:11" x14ac:dyDescent="0.25">
      <c r="A12" s="18" t="s">
        <v>78</v>
      </c>
      <c r="B12" s="19"/>
      <c r="C12" s="22">
        <f>SUM(C5:C11)</f>
        <v>145961.83919150059</v>
      </c>
    </row>
  </sheetData>
  <mergeCells count="2">
    <mergeCell ref="A1:C1"/>
    <mergeCell ref="G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Manangement System</vt:lpstr>
      <vt:lpstr>Total Loan 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Konya Quinn</dc:creator>
  <cp:lastModifiedBy>Konya Quinn</cp:lastModifiedBy>
  <dcterms:created xsi:type="dcterms:W3CDTF">2024-07-30T08:01:15Z</dcterms:created>
  <dcterms:modified xsi:type="dcterms:W3CDTF">2024-07-31T18:53:05Z</dcterms:modified>
</cp:coreProperties>
</file>